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2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A12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" i="10"/>
  <c r="A18" i="10"/>
  <c r="A17" i="10"/>
  <c r="A15" i="10"/>
  <c r="A11" i="10"/>
  <c r="A7" i="10"/>
  <c r="A3" i="10"/>
  <c r="A2" i="10"/>
  <c r="J15" i="9"/>
  <c r="J16" i="9"/>
  <c r="J17" i="9"/>
  <c r="J18" i="9"/>
  <c r="J19" i="9"/>
  <c r="J14" i="9"/>
  <c r="I15" i="9"/>
  <c r="I16" i="9"/>
  <c r="I17" i="9"/>
  <c r="I18" i="9"/>
  <c r="I19" i="9"/>
  <c r="I14" i="9"/>
  <c r="H15" i="9"/>
  <c r="H16" i="9"/>
  <c r="H17" i="9"/>
  <c r="H18" i="9"/>
  <c r="H19" i="9"/>
  <c r="H14" i="9"/>
  <c r="G15" i="9"/>
  <c r="G16" i="9"/>
  <c r="G17" i="9"/>
  <c r="G18" i="9"/>
  <c r="G19" i="9"/>
  <c r="G14" i="9"/>
  <c r="F15" i="9"/>
  <c r="F16" i="9"/>
  <c r="F17" i="9"/>
  <c r="F18" i="9"/>
  <c r="F19" i="9"/>
  <c r="F14" i="9"/>
  <c r="E15" i="9"/>
  <c r="E16" i="9"/>
  <c r="E17" i="9"/>
  <c r="E18" i="9"/>
  <c r="E19" i="9"/>
  <c r="E14" i="9"/>
  <c r="D15" i="9"/>
  <c r="D16" i="9"/>
  <c r="D17" i="9"/>
  <c r="D18" i="9"/>
  <c r="D19" i="9"/>
  <c r="D14" i="9"/>
  <c r="J13" i="9"/>
  <c r="I13" i="9"/>
  <c r="H13" i="9"/>
  <c r="G13" i="9"/>
  <c r="F13" i="9"/>
  <c r="E13" i="9"/>
  <c r="D13" i="9"/>
  <c r="C15" i="9"/>
  <c r="C16" i="9"/>
  <c r="C17" i="9"/>
  <c r="C18" i="9"/>
  <c r="C19" i="9"/>
  <c r="C14" i="9"/>
  <c r="C13" i="9"/>
  <c r="B15" i="9"/>
  <c r="B16" i="9"/>
  <c r="B17" i="9"/>
  <c r="B18" i="9"/>
  <c r="B19" i="9"/>
  <c r="B14" i="9"/>
  <c r="B13" i="9"/>
  <c r="A15" i="9"/>
  <c r="A16" i="9"/>
  <c r="A17" i="9"/>
  <c r="A18" i="9"/>
  <c r="A19" i="9"/>
  <c r="A14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A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B31" i="5" l="1"/>
  <c r="B86" i="5"/>
  <c r="B85" i="5" s="1"/>
  <c r="A138" i="5" l="1"/>
  <c r="A137" i="5"/>
  <c r="A136" i="5"/>
  <c r="A135" i="5"/>
  <c r="A134" i="5"/>
  <c r="A133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37" i="6" s="1"/>
  <c r="B19" i="3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23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C2" i="8"/>
  <c r="I12" i="8" s="1"/>
  <c r="B29" i="5"/>
  <c r="B30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11" i="8" l="1"/>
  <c r="C25" i="8" s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B5" i="10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A5" i="10" s="1"/>
  <c r="C44" i="6"/>
  <c r="B26" i="3" s="1"/>
  <c r="C22" i="6"/>
  <c r="C34" i="6"/>
  <c r="B16" i="3" s="1"/>
  <c r="C28" i="6"/>
  <c r="B10" i="3" s="1"/>
  <c r="M30" i="6"/>
  <c r="L12" i="3" s="1"/>
  <c r="B24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D23" i="7"/>
  <c r="D17" i="7"/>
  <c r="M25" i="3"/>
  <c r="M31" i="6"/>
  <c r="L13" i="3" s="1"/>
  <c r="L30" i="6"/>
  <c r="K12" i="3" s="1"/>
  <c r="D15" i="7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A9" i="10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41" i="6"/>
  <c r="O23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A19" i="10" l="1"/>
  <c r="I15" i="8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B6" i="10" s="1"/>
  <c r="Q12" i="8"/>
  <c r="P44" i="6"/>
  <c r="O26" i="3" s="1"/>
  <c r="Q41" i="6"/>
  <c r="P23" i="3" s="1"/>
  <c r="Q40" i="6"/>
  <c r="P22" i="3" s="1"/>
  <c r="T35" i="6"/>
  <c r="E17" i="7"/>
  <c r="F17" i="7" s="1"/>
  <c r="N7" i="8"/>
  <c r="C17" i="3"/>
  <c r="R17" i="3" s="1"/>
  <c r="Q45" i="6"/>
  <c r="P27" i="3" s="1"/>
  <c r="R11" i="8"/>
  <c r="D19" i="7"/>
  <c r="L15" i="8"/>
  <c r="D7" i="5" s="1"/>
  <c r="C6" i="10" s="1"/>
  <c r="O12" i="8"/>
  <c r="J15" i="8"/>
  <c r="B7" i="5" s="1"/>
  <c r="A6" i="10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F23" i="7"/>
  <c r="G23" i="7" s="1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A14" i="10" s="1"/>
  <c r="I14" i="8"/>
  <c r="E8" i="5" s="1"/>
  <c r="A12" i="10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A8" i="10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A10" i="10" s="1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C5" i="10" s="1"/>
  <c r="P11" i="8"/>
  <c r="F44" i="6"/>
  <c r="E26" i="3" s="1"/>
  <c r="T38" i="6"/>
  <c r="R10" i="8" l="1"/>
  <c r="R9" i="8"/>
  <c r="R7" i="8"/>
  <c r="R8" i="8"/>
  <c r="Q7" i="8"/>
  <c r="P9" i="8"/>
  <c r="I17" i="7"/>
  <c r="J17" i="7" s="1"/>
  <c r="G17" i="7"/>
  <c r="C10" i="4" s="1"/>
  <c r="H17" i="7"/>
  <c r="I10" i="4" s="1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07" i="5"/>
  <c r="B8" i="5"/>
  <c r="B50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K31" i="8" s="1"/>
  <c r="Q5" i="8"/>
  <c r="N5" i="8"/>
  <c r="O5" i="8"/>
  <c r="N8" i="8"/>
  <c r="O8" i="8"/>
  <c r="H22" i="7"/>
  <c r="I15" i="4" s="1"/>
  <c r="I22" i="7"/>
  <c r="G22" i="7"/>
  <c r="D5" i="5"/>
  <c r="C4" i="10" s="1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B4" i="10" s="1"/>
  <c r="P26" i="8"/>
  <c r="B5" i="5"/>
  <c r="A4" i="10" s="1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L17" i="7"/>
  <c r="N17" i="7" s="1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L15" i="7"/>
  <c r="N15" i="7" s="1"/>
  <c r="R18" i="3"/>
  <c r="R16" i="3"/>
  <c r="P23" i="8"/>
  <c r="Q21" i="8"/>
  <c r="L23" i="7" l="1"/>
  <c r="N23" i="7" s="1"/>
  <c r="J16" i="4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06" i="5" s="1"/>
  <c r="B108" i="5" s="1"/>
  <c r="J31" i="8"/>
  <c r="O30" i="8"/>
  <c r="H5" i="5" s="1"/>
  <c r="M30" i="8"/>
  <c r="F5" i="5" s="1"/>
  <c r="N14" i="8"/>
  <c r="G8" i="5" s="1"/>
  <c r="M23" i="7"/>
  <c r="E16" i="4" s="1"/>
  <c r="D16" i="4"/>
  <c r="L21" i="7"/>
  <c r="N21" i="7" s="1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C9" i="4"/>
  <c r="O16" i="7"/>
  <c r="A13" i="10" l="1"/>
  <c r="K21" i="7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D12" i="4" l="1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09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<sst xmlns="http://schemas.openxmlformats.org/spreadsheetml/2006/main" count="670" uniqueCount="464">
  <si>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</si>
  <si>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</si>
  <si>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</si>
  <si>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</si>
  <si>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</si>
  <si>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</si>
  <si>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</si>
  <si>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</si>
  <si>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</si>
  <si>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</si>
  <si>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</si>
  <si>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</si>
  <si>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</si>
  <si>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</si>
  <si>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</si>
  <si>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</si>
  <si>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</si>
  <si>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</si>
  <si>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</si>
  <si>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</si>
  <si>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</si>
  <si>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</si>
  <si>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</si>
  <si>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</si>
  <si>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</si>
  <si>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</si>
  <si>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</si>
  <si>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</si>
  <si>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</si>
  <si>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</si>
  <si>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</si>
  <si>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</si>
  <si>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</si>
  <si>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</si>
  <si>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</si>
  <si>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</si>
  <si>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</si>
  <si>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</si>
  <si>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</si>
  <si>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</si>
  <si>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</si>
  <si>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</si>
  <si>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</si>
  <si>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</si>
  <si>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</si>
  <si>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</si>
  <si>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</si>
  <si>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</si>
  <si>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</si>
  <si>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</si>
  <si>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</si>
  <si>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</si>
  <si>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</si>
  <si>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</si>
  <si>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</si>
  <si>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</si>
  <si>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</si>
  <si>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</si>
  <si>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</si>
  <si>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</si>
  <si>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</si>
  <si>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</si>
  <si>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</si>
  <si>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</si>
  <si>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</si>
  <si>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</si>
  <si>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</si>
  <si>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</si>
  <si>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</si>
  <si>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</si>
  <si>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</si>
  <si>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</si>
  <si>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</si>
  <si>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</si>
  <si>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</si>
  <si>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</si>
  <si>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</si>
  <si>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</si>
  <si>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</si>
  <si>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</si>
  <si>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</si>
  <si>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</si>
  <si>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</si>
  <si>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</si>
  <si>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</si>
  <si>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</si>
  <si>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</si>
  <si>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</si>
  <si>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</si>
  <si>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</si>
  <si>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</si>
  <si>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</si>
  <si>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</si>
  <si>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</si>
  <si>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</si>
  <si>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</si>
  <si>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</si>
  <si>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</si>
  <si>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</si>
  <si>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</si>
  <si>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</si>
  <si>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</si>
  <si>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</si>
  <si>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</si>
  <si>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</si>
  <si>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</si>
  <si>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</si>
  <si>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</si>
  <si>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</si>
  <si>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</si>
  <si>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</si>
  <si>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</si>
  <si>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</si>
  <si>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</si>
  <si>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</si>
  <si>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</si>
  <si>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</si>
  <si>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</si>
  <si>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</si>
  <si>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</si>
  <si>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</si>
  <si>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</si>
  <si>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</si>
  <si>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</si>
  <si>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</si>
  <si>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</si>
  <si>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</si>
  <si>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</si>
  <si>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</si>
  <si>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</si>
  <si>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</si>
  <si>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</si>
  <si>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</si>
  <si>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</si>
  <si>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</si>
  <si>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</si>
  <si>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</si>
  <si>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</si>
  <si>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</si>
  <si>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</si>
  <si>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</si>
  <si>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</si>
  <si>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</si>
  <si>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</si>
  <si>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</si>
  <si>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</si>
  <si>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</si>
  <si>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</si>
  <si>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</si>
  <si>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</si>
  <si>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</si>
  <si>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</si>
  <si>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</si>
  <si>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</si>
  <si>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</si>
  <si>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</si>
  <si>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</si>
  <si>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</si>
  <si>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</si>
  <si>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</si>
  <si>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</si>
  <si>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</si>
  <si>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</si>
  <si>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</si>
  <si>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</si>
  <si>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</si>
  <si>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</si>
  <si>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</si>
  <si>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</si>
  <si>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</si>
  <si>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</si>
  <si>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</si>
  <si>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</si>
  <si>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</si>
  <si>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</si>
  <si>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</si>
  <si>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</si>
  <si>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</si>
  <si>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</si>
  <si>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</si>
  <si>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</si>
  <si>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</si>
  <si>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</si>
  <si>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</si>
  <si>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</si>
  <si>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</si>
  <si>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</si>
  <si>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</si>
  <si>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</si>
  <si>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</si>
  <si>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</si>
  <si>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</si>
  <si>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</si>
  <si>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</si>
  <si>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</si>
  <si>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</si>
  <si>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</si>
  <si>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</si>
  <si>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</si>
  <si>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</si>
  <si>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</si>
  <si>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</si>
  <si>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</si>
  <si>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</si>
  <si>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</si>
  <si>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</si>
  <si>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</si>
  <si>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</si>
  <si>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</si>
  <si>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</si>
  <si>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</si>
  <si>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</si>
  <si>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</si>
  <si>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</si>
  <si>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</si>
  <si>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</si>
  <si>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</si>
  <si>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</si>
  <si>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</si>
  <si>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</si>
  <si>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</si>
  <si>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</si>
  <si>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</si>
  <si>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</si>
  <si>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</si>
  <si>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</si>
  <si>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</si>
  <si>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</si>
  <si>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</si>
  <si>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</si>
  <si>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</si>
  <si>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</si>
  <si>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</si>
  <si>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</si>
  <si>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</si>
  <si>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</si>
  <si>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</si>
  <si>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</si>
  <si>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</si>
  <si>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</si>
  <si>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</si>
  <si>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</si>
  <si>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</si>
  <si>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</si>
  <si>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</si>
  <si>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</si>
  <si>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</si>
  <si>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</si>
  <si>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</si>
  <si>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</si>
  <si>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</si>
  <si>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</si>
  <si>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</si>
  <si>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</si>
  <si>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</si>
  <si>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</si>
  <si>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</si>
  <si>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</si>
  <si>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</si>
  <si>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</si>
  <si>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</si>
  <si>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</si>
  <si>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</si>
  <si>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</si>
  <si>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</si>
  <si>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</si>
  <si>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</si>
  <si>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</si>
  <si>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</si>
  <si>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</si>
  <si>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</si>
  <si>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</si>
  <si>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</si>
  <si>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</si>
  <si>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</si>
  <si>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</si>
  <si>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</si>
  <si>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</si>
  <si>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</si>
  <si>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</si>
  <si>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</si>
  <si>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</si>
  <si>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</si>
  <si>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</si>
  <si>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</si>
  <si>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</si>
  <si>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</si>
  <si>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</si>
  <si>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</si>
  <si>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</si>
  <si>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</si>
  <si>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</si>
  <si>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</si>
  <si>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</si>
  <si>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</si>
  <si>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</si>
  <si>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</si>
  <si>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</si>
  <si>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</si>
  <si>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</si>
  <si>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</si>
  <si>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</si>
  <si>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</si>
  <si>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</si>
  <si>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</si>
  <si>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</si>
  <si>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</si>
  <si>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</si>
  <si>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</si>
  <si>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</si>
  <si>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</si>
  <si>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</si>
  <si>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</si>
  <si>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</si>
  <si>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</si>
  <si>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</si>
  <si>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</si>
  <si>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</si>
  <si>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</si>
  <si>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</si>
  <si>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</si>
  <si>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</si>
  <si>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</si>
  <si>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</si>
  <si>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</si>
  <si>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</si>
  <si>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</si>
  <si>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</si>
  <si>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</si>
  <si>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</si>
  <si>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</si>
  <si>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</si>
  <si>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</si>
  <si>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</si>
  <si>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</si>
  <si>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</si>
  <si>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</si>
  <si>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</si>
  <si>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</si>
  <si>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</si>
  <si>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</si>
  <si>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</si>
  <si>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</si>
  <si>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</si>
  <si>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</si>
  <si>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</si>
  <si>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</si>
  <si>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</si>
  <si>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</si>
  <si>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</si>
  <si>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</si>
  <si>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</si>
  <si>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</si>
  <si>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</si>
  <si>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</si>
  <si>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</si>
  <si>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</si>
  <si>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</si>
  <si>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</si>
  <si>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</si>
  <si>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</si>
  <si>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</si>
  <si>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</si>
  <si>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</si>
  <si>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</si>
  <si>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</si>
  <si>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</si>
  <si>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</si>
  <si>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</si>
  <si>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</si>
  <si>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</si>
  <si>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</si>
  <si>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</si>
  <si>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</si>
  <si>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</si>
  <si>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</si>
  <si>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</si>
  <si>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</si>
  <si>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</si>
  <si>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</si>
  <si>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</si>
  <si>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</si>
  <si>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</si>
  <si>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</si>
  <si>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</si>
  <si>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</si>
  <si>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</si>
  <si>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</si>
  <si>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</si>
  <si>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</si>
  <si>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</si>
  <si>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</si>
  <si>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</si>
  <si>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</si>
  <si>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</si>
  <si>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</si>
  <si>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</si>
  <si>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</si>
  <si>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</si>
  <si>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</si>
  <si>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</si>
  <si>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</si>
  <si>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</si>
  <si>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</si>
  <si>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</si>
  <si>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</si>
  <si>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0.75 A08</t>
  </si>
  <si>
    <t>Torque control data:</t>
  </si>
  <si>
    <t>Max. Cp</t>
  </si>
  <si>
    <t>Optimal tip-speed ratio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</si>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</sst>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5" borderId="0" xfId="0" applyNumberFormat="1" applyFill="1"/>
    <xf numFmtId="170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3616"/>
        <c:axId val="82865536"/>
      </c:scatterChart>
      <c:valAx>
        <c:axId val="8286361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65536"/>
        <c:crossesAt val="-10"/>
        <c:crossBetween val="midCat"/>
      </c:valAx>
      <c:valAx>
        <c:axId val="8286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636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54</xdr:row>
      <xdr:rowOff>95249</xdr:rowOff>
    </xdr:from>
    <xdr:to>
      <xdr:col>15</xdr:col>
      <xdr:colOff>514350</xdr:colOff>
      <xdr:row>69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41</xdr:row>
      <xdr:rowOff>66675</xdr:rowOff>
    </xdr:from>
    <xdr:to>
      <xdr:col>7</xdr:col>
      <xdr:colOff>542925</xdr:colOff>
      <xdr:row>46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zoomScale="115" zoomScaleNormal="115" workbookViewId="0">
      <selection activeCell="B16" sqref="B16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8" t="s">
        <v>406</v>
      </c>
      <c r="C1" s="396" t="s">
        <v>398</v>
      </c>
      <c r="D1" s="397"/>
      <c r="E1" s="397"/>
      <c r="F1" s="397"/>
      <c r="G1" s="397"/>
      <c r="H1" s="39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0" t="s">
        <v>119</v>
      </c>
      <c r="C3" s="391"/>
      <c r="D3" s="392"/>
      <c r="E3" s="35"/>
      <c r="F3" s="393" t="s">
        <v>18</v>
      </c>
      <c r="G3" s="394"/>
      <c r="H3" s="39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PI()*(B64^4-B65^4)/32/(GECdrivetrain!C7)*GECtwrdata!F7</f>
        <v>129646444.93189973</v>
      </c>
      <c r="D14" s="354" t="s">
        <v>459</v>
      </c>
      <c r="E14" s="355"/>
    </row>
    <row r="15" spans="1:8">
      <c r="A15" s="61" t="s">
        <v>462</v>
      </c>
      <c r="B15" s="385">
        <v>5</v>
      </c>
      <c r="D15" s="354" t="s">
        <v>403</v>
      </c>
      <c r="E15" s="355"/>
    </row>
    <row r="16" spans="1:8">
      <c r="A16" s="61" t="s">
        <v>460</v>
      </c>
      <c r="B16" s="385">
        <v>665139</v>
      </c>
      <c r="D16" s="354" t="s">
        <v>403</v>
      </c>
      <c r="E16" s="355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399" t="s">
        <v>373</v>
      </c>
      <c r="E19" s="398"/>
      <c r="F19" s="398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399" t="s">
        <v>372</v>
      </c>
      <c r="E20" s="398"/>
      <c r="F20" s="398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B86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B89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28.647889756541161</v>
      </c>
    </row>
    <row r="30" spans="1:21" ht="9.75" customHeight="1">
      <c r="A30" s="100" t="s">
        <v>375</v>
      </c>
      <c r="B30" s="267">
        <f>B89*1000/(B29*PI()/30)/(B19-C19-B20-C20)</f>
        <v>270270.2702702703</v>
      </c>
    </row>
    <row r="31" spans="1:21" ht="9.75" customHeight="1">
      <c r="A31" s="357" t="s">
        <v>404</v>
      </c>
      <c r="B31" s="267">
        <f>B89*1000/(B84*PI()/30)/(B19)</f>
        <v>4188.2879761025097</v>
      </c>
      <c r="D31" s="354" t="s">
        <v>405</v>
      </c>
      <c r="E31" s="355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56"/>
      <c r="B37" s="359"/>
    </row>
    <row r="38" spans="1:5" ht="12" customHeight="1">
      <c r="A38" s="109" t="s">
        <v>407</v>
      </c>
      <c r="B38" s="29"/>
      <c r="D38" s="354" t="s">
        <v>403</v>
      </c>
      <c r="E38" s="355"/>
    </row>
    <row r="39" spans="1:5" ht="12" customHeight="1">
      <c r="A39" s="100" t="s">
        <v>408</v>
      </c>
      <c r="B39" s="273">
        <v>0.45</v>
      </c>
      <c r="D39" s="354" t="s">
        <v>403</v>
      </c>
      <c r="E39" s="355"/>
    </row>
    <row r="40" spans="1:5" ht="12" customHeight="1">
      <c r="A40" s="100" t="s">
        <v>409</v>
      </c>
      <c r="B40" s="360">
        <v>7</v>
      </c>
      <c r="D40" s="354" t="s">
        <v>403</v>
      </c>
      <c r="E40" s="355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206</v>
      </c>
      <c r="B43" s="274">
        <v>1.33</v>
      </c>
    </row>
    <row r="44" spans="1:5">
      <c r="A44" s="100" t="s">
        <v>123</v>
      </c>
      <c r="B44" s="275">
        <v>2</v>
      </c>
    </row>
    <row r="45" spans="1:5" ht="15" customHeight="1">
      <c r="A45" s="100" t="s">
        <v>124</v>
      </c>
      <c r="B45" s="275">
        <v>9</v>
      </c>
    </row>
    <row r="46" spans="1:5" ht="11.25" customHeight="1">
      <c r="A46" s="100" t="s">
        <v>125</v>
      </c>
      <c r="B46" s="275">
        <v>3.75</v>
      </c>
    </row>
    <row r="47" spans="1:5" ht="13.5" customHeight="1">
      <c r="A47" s="100" t="s">
        <v>126</v>
      </c>
      <c r="B47" s="275">
        <v>15</v>
      </c>
    </row>
    <row r="48" spans="1:5" ht="13.5" customHeight="1">
      <c r="A48" s="100" t="s">
        <v>384</v>
      </c>
      <c r="B48" s="330">
        <v>5</v>
      </c>
    </row>
    <row r="49" spans="1:4" ht="18" customHeight="1">
      <c r="A49" s="109" t="s">
        <v>382</v>
      </c>
      <c r="B49" s="63"/>
    </row>
    <row r="50" spans="1:4" ht="13.5" customHeight="1">
      <c r="A50" s="100" t="s">
        <v>383</v>
      </c>
      <c r="B50" s="105">
        <f>ABS(B8)+B13/2*(B11+B18)/57.3-0.5*(B44+B13/2/B9*(B46-B44))</f>
        <v>3.1469175392670157</v>
      </c>
    </row>
    <row r="52" spans="1:4">
      <c r="A52" s="2" t="s">
        <v>12</v>
      </c>
      <c r="C52" s="5"/>
    </row>
    <row r="53" spans="1:4">
      <c r="A53" s="110" t="s">
        <v>127</v>
      </c>
      <c r="B53" s="276">
        <v>2.5</v>
      </c>
      <c r="C53" t="s">
        <v>85</v>
      </c>
      <c r="D53" t="s">
        <v>128</v>
      </c>
    </row>
    <row r="54" spans="1:4">
      <c r="A54" s="110" t="s">
        <v>129</v>
      </c>
      <c r="B54" s="276">
        <v>1.35</v>
      </c>
      <c r="C54" t="s">
        <v>85</v>
      </c>
      <c r="D54" s="270" t="s">
        <v>380</v>
      </c>
    </row>
    <row r="55" spans="1:4" ht="10.9" customHeight="1">
      <c r="A55" s="110" t="s">
        <v>130</v>
      </c>
      <c r="B55" s="276">
        <v>1.2</v>
      </c>
      <c r="C55" t="s">
        <v>85</v>
      </c>
      <c r="D55" t="s">
        <v>397</v>
      </c>
    </row>
    <row r="56" spans="1:4">
      <c r="A56" s="110" t="s">
        <v>131</v>
      </c>
      <c r="B56" s="276">
        <v>3.3000000000000002E-2</v>
      </c>
      <c r="C56" t="s">
        <v>85</v>
      </c>
      <c r="D56" s="270" t="s">
        <v>376</v>
      </c>
    </row>
    <row r="57" spans="1:4">
      <c r="A57" s="18" t="s">
        <v>132</v>
      </c>
      <c r="B57" s="277">
        <v>7850</v>
      </c>
      <c r="C57" t="s">
        <v>102</v>
      </c>
    </row>
    <row r="58" spans="1:4">
      <c r="A58" s="18" t="s">
        <v>133</v>
      </c>
      <c r="B58" s="276">
        <v>-2.33</v>
      </c>
      <c r="C58" t="s">
        <v>85</v>
      </c>
      <c r="D58" t="s">
        <v>134</v>
      </c>
    </row>
    <row r="59" spans="1:4">
      <c r="A59" s="18" t="s">
        <v>135</v>
      </c>
      <c r="B59" s="276">
        <v>0</v>
      </c>
      <c r="C59" t="s">
        <v>85</v>
      </c>
    </row>
    <row r="60" spans="1:4">
      <c r="A60" s="18" t="s">
        <v>136</v>
      </c>
      <c r="B60" s="276">
        <v>0</v>
      </c>
      <c r="C60" t="s">
        <v>85</v>
      </c>
    </row>
    <row r="61" spans="1:4">
      <c r="A61" s="18"/>
      <c r="B61" s="124"/>
    </row>
    <row r="62" spans="1:4">
      <c r="A62" s="111" t="s">
        <v>137</v>
      </c>
      <c r="B62" s="125"/>
    </row>
    <row r="63" spans="1:4">
      <c r="A63" s="18" t="s">
        <v>138</v>
      </c>
      <c r="B63" s="276">
        <v>1.3979999999999999</v>
      </c>
      <c r="C63" t="s">
        <v>85</v>
      </c>
      <c r="D63" t="s">
        <v>379</v>
      </c>
    </row>
    <row r="64" spans="1:4">
      <c r="A64" s="18" t="s">
        <v>139</v>
      </c>
      <c r="B64" s="276">
        <v>0.4</v>
      </c>
      <c r="C64" t="s">
        <v>85</v>
      </c>
    </row>
    <row r="65" spans="1:4">
      <c r="A65" s="18" t="s">
        <v>140</v>
      </c>
      <c r="B65" s="276">
        <v>0.2</v>
      </c>
      <c r="C65" t="s">
        <v>85</v>
      </c>
      <c r="D65" t="s">
        <v>141</v>
      </c>
    </row>
    <row r="66" spans="1:4">
      <c r="A66" s="18" t="s">
        <v>132</v>
      </c>
      <c r="B66" s="277">
        <v>7850</v>
      </c>
      <c r="C66" t="s">
        <v>102</v>
      </c>
    </row>
    <row r="67" spans="1:4">
      <c r="A67" s="18" t="s">
        <v>135</v>
      </c>
      <c r="B67" s="276">
        <v>0</v>
      </c>
      <c r="C67" t="s">
        <v>85</v>
      </c>
      <c r="D67" t="s">
        <v>142</v>
      </c>
    </row>
    <row r="68" spans="1:4">
      <c r="A68" s="18" t="s">
        <v>136</v>
      </c>
      <c r="B68" s="276">
        <v>0</v>
      </c>
      <c r="C68" t="s">
        <v>85</v>
      </c>
    </row>
    <row r="69" spans="1:4">
      <c r="A69" s="18"/>
      <c r="B69" s="124"/>
    </row>
    <row r="70" spans="1:4">
      <c r="A70" s="111" t="s">
        <v>143</v>
      </c>
      <c r="B70" s="125"/>
    </row>
    <row r="71" spans="1:4">
      <c r="A71" s="18" t="s">
        <v>144</v>
      </c>
      <c r="B71" s="276">
        <v>-1.631</v>
      </c>
      <c r="C71" t="s">
        <v>85</v>
      </c>
      <c r="D71" t="s">
        <v>145</v>
      </c>
    </row>
    <row r="72" spans="1:4">
      <c r="A72" s="18" t="s">
        <v>146</v>
      </c>
      <c r="B72" s="276">
        <v>0</v>
      </c>
      <c r="C72" t="s">
        <v>85</v>
      </c>
    </row>
    <row r="73" spans="1:4">
      <c r="A73" s="18" t="s">
        <v>147</v>
      </c>
      <c r="B73" s="276">
        <v>0</v>
      </c>
      <c r="C73" t="s">
        <v>85</v>
      </c>
    </row>
    <row r="74" spans="1:4">
      <c r="A74" s="18" t="s">
        <v>148</v>
      </c>
      <c r="B74" s="276">
        <v>-0.46600000000000003</v>
      </c>
      <c r="C74" t="s">
        <v>85</v>
      </c>
      <c r="D74" t="s">
        <v>149</v>
      </c>
    </row>
    <row r="75" spans="1:4">
      <c r="A75" s="18" t="s">
        <v>150</v>
      </c>
      <c r="B75" s="276">
        <v>0</v>
      </c>
      <c r="C75" t="s">
        <v>85</v>
      </c>
    </row>
    <row r="76" spans="1:4">
      <c r="A76" s="18" t="s">
        <v>151</v>
      </c>
      <c r="B76" s="276">
        <v>0</v>
      </c>
      <c r="C76" t="s">
        <v>85</v>
      </c>
    </row>
    <row r="77" spans="1:4">
      <c r="A77" s="18"/>
      <c r="B77" s="125"/>
    </row>
    <row r="78" spans="1:4">
      <c r="A78" s="111" t="s">
        <v>152</v>
      </c>
      <c r="B78" s="125"/>
    </row>
    <row r="79" spans="1:4">
      <c r="A79" s="18" t="s">
        <v>153</v>
      </c>
      <c r="B79" s="278">
        <v>4723</v>
      </c>
      <c r="C79" t="s">
        <v>117</v>
      </c>
      <c r="D79" t="s">
        <v>154</v>
      </c>
    </row>
    <row r="80" spans="1:4">
      <c r="A80" s="18" t="s">
        <v>133</v>
      </c>
      <c r="B80" s="276">
        <v>0</v>
      </c>
      <c r="C80" t="s">
        <v>85</v>
      </c>
      <c r="D80" t="s">
        <v>155</v>
      </c>
    </row>
    <row r="81" spans="1:4">
      <c r="A81" s="18" t="s">
        <v>135</v>
      </c>
      <c r="B81" s="276">
        <v>0</v>
      </c>
      <c r="C81" t="s">
        <v>85</v>
      </c>
    </row>
    <row r="82" spans="1:4">
      <c r="A82" s="18" t="s">
        <v>136</v>
      </c>
      <c r="B82" s="276">
        <v>0</v>
      </c>
      <c r="C82" t="s">
        <v>85</v>
      </c>
    </row>
    <row r="83" spans="1:4">
      <c r="A83" s="18" t="s">
        <v>392</v>
      </c>
      <c r="B83" s="276">
        <v>75</v>
      </c>
      <c r="C83" t="s">
        <v>393</v>
      </c>
    </row>
    <row r="84" spans="1:4">
      <c r="A84" s="18" t="s">
        <v>394</v>
      </c>
      <c r="B84" s="276">
        <v>1800</v>
      </c>
      <c r="C84" t="s">
        <v>395</v>
      </c>
    </row>
    <row r="85" spans="1:4">
      <c r="A85" s="18" t="s">
        <v>156</v>
      </c>
      <c r="B85" s="334">
        <f>1800/B86</f>
        <v>62.831853071795862</v>
      </c>
    </row>
    <row r="86" spans="1:4">
      <c r="A86" s="18" t="s">
        <v>157</v>
      </c>
      <c r="B86" s="334">
        <f>B83/B13*2*30/PI()</f>
        <v>28.647889756541161</v>
      </c>
    </row>
    <row r="87" spans="1:4">
      <c r="A87" s="18"/>
      <c r="B87" s="123"/>
    </row>
    <row r="88" spans="1:4">
      <c r="A88" s="111" t="s">
        <v>158</v>
      </c>
      <c r="B88" s="125"/>
    </row>
    <row r="89" spans="1:4">
      <c r="A89" s="18" t="s">
        <v>159</v>
      </c>
      <c r="B89" s="279">
        <v>750</v>
      </c>
      <c r="C89" t="s">
        <v>160</v>
      </c>
    </row>
    <row r="90" spans="1:4">
      <c r="A90" s="18" t="s">
        <v>133</v>
      </c>
      <c r="B90" s="276">
        <v>0.58250000000000002</v>
      </c>
      <c r="C90" t="s">
        <v>85</v>
      </c>
      <c r="D90" t="s">
        <v>161</v>
      </c>
    </row>
    <row r="91" spans="1:4">
      <c r="A91" s="18" t="s">
        <v>135</v>
      </c>
      <c r="B91" s="280">
        <v>0</v>
      </c>
      <c r="C91" t="s">
        <v>85</v>
      </c>
    </row>
    <row r="92" spans="1:4">
      <c r="A92" s="18" t="s">
        <v>136</v>
      </c>
      <c r="B92" s="280">
        <v>0</v>
      </c>
      <c r="C92" t="s">
        <v>85</v>
      </c>
    </row>
    <row r="93" spans="1:4">
      <c r="A93" s="18"/>
      <c r="B93" s="126"/>
    </row>
    <row r="94" spans="1:4">
      <c r="A94" s="111" t="s">
        <v>162</v>
      </c>
      <c r="B94" s="126"/>
    </row>
    <row r="95" spans="1:4">
      <c r="A95" s="18" t="s">
        <v>138</v>
      </c>
      <c r="B95" s="280">
        <v>1.631</v>
      </c>
      <c r="C95" t="s">
        <v>85</v>
      </c>
      <c r="D95" t="s">
        <v>163</v>
      </c>
    </row>
    <row r="96" spans="1:4">
      <c r="A96" s="18" t="s">
        <v>164</v>
      </c>
      <c r="B96" s="276">
        <v>1.7475000000000001</v>
      </c>
      <c r="C96" t="s">
        <v>85</v>
      </c>
      <c r="D96" t="s">
        <v>165</v>
      </c>
    </row>
    <row r="97" spans="1:11">
      <c r="A97" s="18" t="s">
        <v>166</v>
      </c>
      <c r="B97" s="276">
        <v>0.74560000000000004</v>
      </c>
      <c r="C97" t="s">
        <v>85</v>
      </c>
    </row>
    <row r="98" spans="1:11">
      <c r="A98" s="18" t="s">
        <v>167</v>
      </c>
      <c r="B98" s="276">
        <v>0.13</v>
      </c>
      <c r="C98" t="s">
        <v>85</v>
      </c>
    </row>
    <row r="99" spans="1:11">
      <c r="A99" s="18" t="s">
        <v>168</v>
      </c>
      <c r="B99" s="276">
        <v>0.13</v>
      </c>
      <c r="C99" t="s">
        <v>85</v>
      </c>
    </row>
    <row r="100" spans="1:11">
      <c r="A100" s="18" t="s">
        <v>132</v>
      </c>
      <c r="B100" s="277">
        <v>7850</v>
      </c>
      <c r="C100" t="s">
        <v>85</v>
      </c>
    </row>
    <row r="101" spans="1:11">
      <c r="A101" s="18" t="s">
        <v>133</v>
      </c>
      <c r="B101" s="280">
        <v>0</v>
      </c>
      <c r="C101" t="s">
        <v>85</v>
      </c>
    </row>
    <row r="102" spans="1:11">
      <c r="A102" s="18" t="s">
        <v>135</v>
      </c>
      <c r="B102" s="280">
        <v>0</v>
      </c>
      <c r="C102" t="s">
        <v>85</v>
      </c>
    </row>
    <row r="103" spans="1:11">
      <c r="A103" s="18" t="s">
        <v>136</v>
      </c>
      <c r="B103" s="280">
        <v>-0.56850000000000001</v>
      </c>
      <c r="C103" t="s">
        <v>85</v>
      </c>
      <c r="D103" t="s">
        <v>169</v>
      </c>
    </row>
    <row r="105" spans="1:11">
      <c r="A105" s="111" t="s">
        <v>387</v>
      </c>
    </row>
    <row r="106" spans="1:11">
      <c r="A106" s="331" t="s">
        <v>388</v>
      </c>
      <c r="B106" s="332">
        <f>'Blade Data'!R32*B10+E8</f>
        <v>12381.263055221558</v>
      </c>
      <c r="C106" t="s">
        <v>117</v>
      </c>
    </row>
    <row r="107" spans="1:11">
      <c r="A107" s="331" t="s">
        <v>389</v>
      </c>
      <c r="B107" s="332">
        <f>E5+E6+E7</f>
        <v>20950.244259671897</v>
      </c>
      <c r="C107" t="s">
        <v>117</v>
      </c>
    </row>
    <row r="108" spans="1:11">
      <c r="A108" s="331" t="s">
        <v>390</v>
      </c>
      <c r="B108" s="332">
        <f>B106+B107</f>
        <v>33331.507314893453</v>
      </c>
      <c r="C108" t="s">
        <v>117</v>
      </c>
    </row>
    <row r="109" spans="1:11">
      <c r="A109" s="18" t="s">
        <v>396</v>
      </c>
      <c r="B109" s="332">
        <f>GECtwrdata!O26</f>
        <v>53775.756106386892</v>
      </c>
      <c r="C109" t="s">
        <v>117</v>
      </c>
    </row>
    <row r="110" spans="1:11">
      <c r="A110" t="s">
        <v>347</v>
      </c>
      <c r="H110" t="s">
        <v>319</v>
      </c>
      <c r="I110" s="183"/>
      <c r="J110" s="183"/>
    </row>
    <row r="111" spans="1:11" ht="14.25">
      <c r="A111" s="184"/>
      <c r="B111" s="185"/>
      <c r="C111" s="186" t="s">
        <v>320</v>
      </c>
      <c r="D111" s="187"/>
      <c r="E111" s="185"/>
      <c r="F111" s="188" t="s">
        <v>321</v>
      </c>
      <c r="G111" s="189"/>
      <c r="H111" s="184"/>
      <c r="I111" s="190" t="s">
        <v>332</v>
      </c>
      <c r="J111" s="190" t="s">
        <v>333</v>
      </c>
      <c r="K111" s="191" t="s">
        <v>334</v>
      </c>
    </row>
    <row r="112" spans="1:11" ht="13.5">
      <c r="A112" s="192" t="s">
        <v>87</v>
      </c>
      <c r="B112" s="176" t="s">
        <v>335</v>
      </c>
      <c r="C112" s="176" t="s">
        <v>336</v>
      </c>
      <c r="D112" s="177" t="s">
        <v>337</v>
      </c>
      <c r="E112" s="177" t="s">
        <v>338</v>
      </c>
      <c r="F112" s="176" t="s">
        <v>339</v>
      </c>
      <c r="G112" s="193" t="s">
        <v>340</v>
      </c>
      <c r="H112" s="192" t="s">
        <v>87</v>
      </c>
      <c r="I112" s="176" t="s">
        <v>341</v>
      </c>
      <c r="J112" s="176" t="s">
        <v>341</v>
      </c>
      <c r="K112" s="194" t="s">
        <v>341</v>
      </c>
    </row>
    <row r="113" spans="1:13" ht="12">
      <c r="A113" s="281">
        <v>7.0000000000000007E-2</v>
      </c>
      <c r="B113" s="282">
        <v>680.46852313432544</v>
      </c>
      <c r="C113" s="283">
        <v>1557617.3955374449</v>
      </c>
      <c r="D113" s="284">
        <v>3620</v>
      </c>
      <c r="E113" s="285">
        <v>3620</v>
      </c>
      <c r="F113" s="283">
        <v>1557617.3955374449</v>
      </c>
      <c r="G113" s="286">
        <v>3620</v>
      </c>
      <c r="H113" s="287">
        <v>7.0000000000000007E-2</v>
      </c>
      <c r="I113" s="288">
        <v>2.3240623855198695E-3</v>
      </c>
      <c r="J113" s="288">
        <v>2.3240623855198695E-3</v>
      </c>
      <c r="K113" s="289">
        <v>2.3240623855198695E-3</v>
      </c>
    </row>
    <row r="114" spans="1:13" ht="12">
      <c r="A114" s="290">
        <v>0.25</v>
      </c>
      <c r="B114" s="282">
        <v>260.90607125811937</v>
      </c>
      <c r="C114" s="283">
        <v>987620</v>
      </c>
      <c r="D114" s="284">
        <v>3620</v>
      </c>
      <c r="E114" s="285">
        <v>3872.3365369527278</v>
      </c>
      <c r="F114" s="283">
        <v>189109.6258164102</v>
      </c>
      <c r="G114" s="286">
        <v>1263.1593869403541</v>
      </c>
      <c r="H114" s="291">
        <v>0.25</v>
      </c>
      <c r="I114" s="283">
        <v>3.6653773718636723E-3</v>
      </c>
      <c r="J114" s="283">
        <v>3.9208769941401836E-3</v>
      </c>
      <c r="K114" s="292">
        <v>6.6795086790909508E-3</v>
      </c>
    </row>
    <row r="115" spans="1:13" ht="12">
      <c r="A115" s="290">
        <v>0.5</v>
      </c>
      <c r="B115" s="282">
        <v>178.44378866600621</v>
      </c>
      <c r="C115" s="283">
        <v>452000</v>
      </c>
      <c r="D115" s="284">
        <v>3620</v>
      </c>
      <c r="E115" s="285">
        <v>3845.7470139995348</v>
      </c>
      <c r="F115" s="283">
        <v>100924.76937294503</v>
      </c>
      <c r="G115" s="286">
        <v>1263.1593869403541</v>
      </c>
      <c r="H115" s="291">
        <v>0.5</v>
      </c>
      <c r="I115" s="283">
        <v>8.0088495575221241E-3</v>
      </c>
      <c r="J115" s="283">
        <v>8.5082898539812716E-3</v>
      </c>
      <c r="K115" s="292">
        <v>1.2515851111560431E-2</v>
      </c>
    </row>
    <row r="116" spans="1:13" ht="12">
      <c r="A116" s="293">
        <v>0.75</v>
      </c>
      <c r="B116" s="294">
        <v>109.19318519557659</v>
      </c>
      <c r="C116" s="295">
        <v>117633</v>
      </c>
      <c r="D116" s="296">
        <v>3620</v>
      </c>
      <c r="E116" s="297">
        <v>3808.8010680071311</v>
      </c>
      <c r="F116" s="295">
        <v>39845.648743448277</v>
      </c>
      <c r="G116" s="298">
        <v>1263.1593869403541</v>
      </c>
      <c r="H116" s="299">
        <v>0.75</v>
      </c>
      <c r="I116" s="295">
        <v>3.0773677454455809E-2</v>
      </c>
      <c r="J116" s="295">
        <v>3.2378678330121063E-2</v>
      </c>
      <c r="K116" s="300">
        <v>3.1701313111335713E-2</v>
      </c>
    </row>
    <row r="118" spans="1:13">
      <c r="A118" t="s">
        <v>348</v>
      </c>
    </row>
    <row r="119" spans="1:13" ht="13.5">
      <c r="A119" s="184"/>
      <c r="B119" s="188" t="s">
        <v>88</v>
      </c>
      <c r="C119" s="188" t="s">
        <v>322</v>
      </c>
      <c r="D119" s="188" t="s">
        <v>89</v>
      </c>
      <c r="E119" s="195" t="s">
        <v>323</v>
      </c>
      <c r="F119" s="188" t="s">
        <v>324</v>
      </c>
      <c r="G119" s="188" t="s">
        <v>325</v>
      </c>
      <c r="H119" s="188" t="s">
        <v>326</v>
      </c>
      <c r="I119" s="188" t="s">
        <v>342</v>
      </c>
      <c r="J119" s="188" t="s">
        <v>343</v>
      </c>
      <c r="K119" s="188" t="s">
        <v>113</v>
      </c>
      <c r="L119" s="188" t="s">
        <v>112</v>
      </c>
      <c r="M119" s="196" t="s">
        <v>344</v>
      </c>
    </row>
    <row r="120" spans="1:13" ht="13.5">
      <c r="A120" s="192" t="s">
        <v>87</v>
      </c>
      <c r="B120" s="176" t="s">
        <v>90</v>
      </c>
      <c r="C120" s="176" t="s">
        <v>327</v>
      </c>
      <c r="D120" s="176" t="s">
        <v>328</v>
      </c>
      <c r="E120" s="176" t="s">
        <v>329</v>
      </c>
      <c r="F120" s="176" t="s">
        <v>329</v>
      </c>
      <c r="G120" s="176" t="s">
        <v>329</v>
      </c>
      <c r="H120" s="176" t="s">
        <v>330</v>
      </c>
      <c r="I120" s="176" t="s">
        <v>345</v>
      </c>
      <c r="J120" s="176" t="s">
        <v>345</v>
      </c>
      <c r="K120" s="176" t="s">
        <v>331</v>
      </c>
      <c r="L120" s="176" t="s">
        <v>345</v>
      </c>
      <c r="M120" s="194" t="s">
        <v>356</v>
      </c>
    </row>
    <row r="121" spans="1:13">
      <c r="A121" s="301">
        <v>0.05</v>
      </c>
      <c r="B121" s="302">
        <v>1.349657099314199</v>
      </c>
      <c r="C121" s="303">
        <v>1</v>
      </c>
      <c r="D121" s="303" t="s">
        <v>377</v>
      </c>
      <c r="E121" s="351">
        <v>0.25</v>
      </c>
      <c r="F121" s="302">
        <v>0.5</v>
      </c>
      <c r="G121" s="302">
        <v>0.5</v>
      </c>
      <c r="H121" s="305">
        <v>1181.9474017501359</v>
      </c>
      <c r="I121" s="306">
        <v>2362406058.2721553</v>
      </c>
      <c r="J121" s="306">
        <v>2362406058.2721553</v>
      </c>
      <c r="K121" s="306">
        <v>10326627046.93685</v>
      </c>
      <c r="L121" s="306">
        <v>815590611.695804</v>
      </c>
      <c r="M121" s="307">
        <v>538.24909552528584</v>
      </c>
    </row>
    <row r="122" spans="1:13">
      <c r="A122" s="281">
        <v>7.0000000000000007E-2</v>
      </c>
      <c r="B122" s="308">
        <v>1.3496570993141985</v>
      </c>
      <c r="C122" s="309">
        <v>1</v>
      </c>
      <c r="D122" s="309" t="s">
        <v>377</v>
      </c>
      <c r="E122" s="351">
        <v>0.25</v>
      </c>
      <c r="F122" s="308">
        <v>0.5</v>
      </c>
      <c r="G122" s="308">
        <v>0.5</v>
      </c>
      <c r="H122" s="310">
        <v>89.215305458599687</v>
      </c>
      <c r="I122" s="311">
        <v>292871613.66241747</v>
      </c>
      <c r="J122" s="311">
        <v>292871613.66241747</v>
      </c>
      <c r="K122" s="311">
        <v>1295783621.589889</v>
      </c>
      <c r="L122" s="311">
        <v>102340392.98761402</v>
      </c>
      <c r="M122" s="312">
        <v>40.627914067071856</v>
      </c>
    </row>
    <row r="123" spans="1:13">
      <c r="A123" s="290">
        <v>0.25</v>
      </c>
      <c r="B123" s="308">
        <v>2</v>
      </c>
      <c r="C123" s="309">
        <v>0.27</v>
      </c>
      <c r="D123" s="309">
        <v>5.7408195699863462</v>
      </c>
      <c r="E123" s="304">
        <v>0.34</v>
      </c>
      <c r="F123" s="308">
        <v>0.38431406494974252</v>
      </c>
      <c r="G123" s="308">
        <v>0.32303333404645607</v>
      </c>
      <c r="H123" s="310">
        <v>117.20845675339662</v>
      </c>
      <c r="I123" s="311">
        <v>71200412.886402056</v>
      </c>
      <c r="J123" s="311">
        <v>192688198.09657151</v>
      </c>
      <c r="K123" s="313">
        <v>1535809947.6467729</v>
      </c>
      <c r="L123" s="313">
        <v>6059831.2604694702</v>
      </c>
      <c r="M123" s="314">
        <v>24.149591455091301</v>
      </c>
    </row>
    <row r="124" spans="1:13">
      <c r="A124" s="290">
        <v>0.5</v>
      </c>
      <c r="B124" s="308">
        <v>1.5334010668021336</v>
      </c>
      <c r="C124" s="309">
        <v>0.24</v>
      </c>
      <c r="D124" s="309">
        <v>7.8774986568807996</v>
      </c>
      <c r="E124" s="304">
        <v>0.31</v>
      </c>
      <c r="F124" s="308">
        <v>0.37966131849299201</v>
      </c>
      <c r="G124" s="308">
        <v>0.32331172392666518</v>
      </c>
      <c r="H124" s="310">
        <v>82.955569360022096</v>
      </c>
      <c r="I124" s="311">
        <v>22286831.062062379</v>
      </c>
      <c r="J124" s="311">
        <v>79116868.754064709</v>
      </c>
      <c r="K124" s="313">
        <v>1094705409.6217237</v>
      </c>
      <c r="L124" s="313">
        <v>2885752.229026631</v>
      </c>
      <c r="M124" s="314">
        <v>9.0573611452431102</v>
      </c>
    </row>
    <row r="125" spans="1:13">
      <c r="A125" s="290">
        <v>0.75</v>
      </c>
      <c r="B125" s="308">
        <v>1.0670561341122682</v>
      </c>
      <c r="C125" s="309">
        <v>0.21</v>
      </c>
      <c r="D125" s="309">
        <v>7.6422364536705301</v>
      </c>
      <c r="E125" s="304">
        <v>0.28000000000000003</v>
      </c>
      <c r="F125" s="308">
        <v>0.39262047257690491</v>
      </c>
      <c r="G125" s="308">
        <v>0.32643878406891619</v>
      </c>
      <c r="H125" s="310">
        <v>39.129612072462692</v>
      </c>
      <c r="I125" s="311">
        <v>3549221.9475047868</v>
      </c>
      <c r="J125" s="311">
        <v>21323059.849604025</v>
      </c>
      <c r="K125" s="313">
        <v>499093273.18287331</v>
      </c>
      <c r="L125" s="313">
        <v>574933.04560629011</v>
      </c>
      <c r="M125" s="314">
        <v>2.2054187533799334</v>
      </c>
    </row>
    <row r="126" spans="1:13">
      <c r="A126" s="315">
        <v>1</v>
      </c>
      <c r="B126" s="316">
        <v>0.64719329438658879</v>
      </c>
      <c r="C126" s="317">
        <v>0.16</v>
      </c>
      <c r="D126" s="317">
        <v>0</v>
      </c>
      <c r="E126" s="316">
        <v>0.25</v>
      </c>
      <c r="F126" s="316">
        <v>0.49249999999999999</v>
      </c>
      <c r="G126" s="316">
        <v>0.35780000000000001</v>
      </c>
      <c r="H126" s="318">
        <v>7.751396294306554</v>
      </c>
      <c r="I126" s="319">
        <v>79811.599091411103</v>
      </c>
      <c r="J126" s="319">
        <v>2702250.8204062055</v>
      </c>
      <c r="K126" s="320">
        <v>80734393.082686871</v>
      </c>
      <c r="L126" s="320">
        <v>61146.36439630347</v>
      </c>
      <c r="M126" s="321">
        <v>0.25688857997871806</v>
      </c>
    </row>
    <row r="128" spans="1:13">
      <c r="B128" s="18" t="s">
        <v>349</v>
      </c>
      <c r="C128" s="199"/>
      <c r="D128" t="s">
        <v>350</v>
      </c>
      <c r="H128" s="361" t="s">
        <v>415</v>
      </c>
    </row>
    <row r="130" spans="1:7">
      <c r="A130" t="s">
        <v>368</v>
      </c>
    </row>
    <row r="131" spans="1:7">
      <c r="A131" s="184"/>
      <c r="B131" s="230" t="s">
        <v>363</v>
      </c>
      <c r="C131" s="336" t="s">
        <v>399</v>
      </c>
      <c r="D131" s="337"/>
    </row>
    <row r="132" spans="1:7" ht="12">
      <c r="A132" s="192" t="s">
        <v>87</v>
      </c>
      <c r="B132" s="233" t="s">
        <v>366</v>
      </c>
      <c r="C132" s="225"/>
      <c r="D132" s="226"/>
    </row>
    <row r="133" spans="1:7">
      <c r="A133" s="236">
        <f t="shared" ref="A133:A138" si="0">A121</f>
        <v>0.05</v>
      </c>
      <c r="B133" s="338">
        <v>10.5</v>
      </c>
      <c r="C133" s="322"/>
      <c r="D133" s="323">
        <v>1</v>
      </c>
    </row>
    <row r="134" spans="1:7">
      <c r="A134" s="241">
        <f t="shared" si="0"/>
        <v>7.0000000000000007E-2</v>
      </c>
      <c r="B134" s="339">
        <v>10.5</v>
      </c>
      <c r="C134" s="324"/>
      <c r="D134" s="325">
        <v>1</v>
      </c>
    </row>
    <row r="135" spans="1:7">
      <c r="A135" s="241">
        <f t="shared" si="0"/>
        <v>0.25</v>
      </c>
      <c r="B135" s="327">
        <v>10.5</v>
      </c>
      <c r="C135" s="324"/>
      <c r="D135" s="325">
        <v>2</v>
      </c>
    </row>
    <row r="136" spans="1:7">
      <c r="A136" s="241">
        <f t="shared" si="0"/>
        <v>0.5</v>
      </c>
      <c r="B136" s="327">
        <v>2.5</v>
      </c>
      <c r="C136" s="324"/>
      <c r="D136" s="325">
        <v>2.5</v>
      </c>
    </row>
    <row r="137" spans="1:7">
      <c r="A137" s="241">
        <f t="shared" si="0"/>
        <v>0.75</v>
      </c>
      <c r="B137" s="340">
        <v>0</v>
      </c>
      <c r="C137" s="324"/>
      <c r="D137" s="325">
        <v>3</v>
      </c>
    </row>
    <row r="138" spans="1:7">
      <c r="A138" s="247">
        <f t="shared" si="0"/>
        <v>1</v>
      </c>
      <c r="B138" s="328">
        <v>-0.6</v>
      </c>
      <c r="C138" s="341"/>
      <c r="D138" s="326">
        <v>4</v>
      </c>
    </row>
    <row r="140" spans="1:7" ht="12">
      <c r="A140" s="342" t="s">
        <v>400</v>
      </c>
      <c r="B140" s="349" t="s">
        <v>401</v>
      </c>
      <c r="C140" s="350"/>
    </row>
    <row r="141" spans="1:7">
      <c r="A141" s="343">
        <v>1</v>
      </c>
      <c r="B141" s="344"/>
      <c r="C141" s="345" t="s">
        <v>378</v>
      </c>
      <c r="E141" s="362"/>
    </row>
    <row r="142" spans="1:7">
      <c r="A142" s="343">
        <v>2</v>
      </c>
      <c r="B142" s="346"/>
      <c r="C142" s="347" t="s">
        <v>410</v>
      </c>
      <c r="E142" s="354" t="s">
        <v>411</v>
      </c>
      <c r="F142" s="355"/>
      <c r="G142" s="355"/>
    </row>
    <row r="143" spans="1:7">
      <c r="A143" s="343">
        <v>3</v>
      </c>
      <c r="B143" s="346"/>
      <c r="C143" s="347" t="s">
        <v>412</v>
      </c>
      <c r="E143" s="354" t="s">
        <v>411</v>
      </c>
      <c r="F143" s="355"/>
      <c r="G143" s="355"/>
    </row>
    <row r="144" spans="1:7">
      <c r="A144" s="348">
        <v>4</v>
      </c>
      <c r="B144" s="363"/>
      <c r="C144" s="364" t="s">
        <v>413</v>
      </c>
      <c r="E144" s="354" t="s">
        <v>411</v>
      </c>
      <c r="F144" s="355"/>
      <c r="G144" s="355"/>
    </row>
    <row r="145" spans="1:6" ht="12" thickBot="1"/>
    <row r="146" spans="1:6" ht="12" thickBot="1">
      <c r="A146" s="386" t="s">
        <v>402</v>
      </c>
      <c r="B146" s="388"/>
      <c r="C146" s="389"/>
      <c r="E146" s="354" t="s">
        <v>403</v>
      </c>
      <c r="F146" s="355"/>
    </row>
    <row r="147" spans="1:6" ht="12" thickBot="1">
      <c r="A147" s="365" t="s">
        <v>35</v>
      </c>
      <c r="B147" s="366" t="s">
        <v>36</v>
      </c>
      <c r="C147" s="366" t="s">
        <v>37</v>
      </c>
      <c r="E147" s="354" t="s">
        <v>403</v>
      </c>
      <c r="F147" s="355"/>
    </row>
    <row r="148" spans="1:6" ht="12" thickBot="1">
      <c r="A148" s="367">
        <v>3.882E-2</v>
      </c>
      <c r="B148" s="368">
        <v>3.882E-2</v>
      </c>
      <c r="C148" s="378">
        <v>5.8999999999999997E-2</v>
      </c>
      <c r="E148" s="354" t="s">
        <v>403</v>
      </c>
      <c r="F148" s="355"/>
    </row>
    <row r="149" spans="1:6" ht="12" thickBot="1"/>
    <row r="150" spans="1:6" ht="12" thickBot="1">
      <c r="A150" s="386" t="s">
        <v>414</v>
      </c>
      <c r="B150" s="387"/>
      <c r="C150" s="369"/>
      <c r="E150" s="354" t="s">
        <v>403</v>
      </c>
      <c r="F150" s="355"/>
    </row>
    <row r="151" spans="1:6">
      <c r="A151" s="370" t="s">
        <v>50</v>
      </c>
      <c r="B151" s="371">
        <v>3.4349999999999999E-2</v>
      </c>
      <c r="C151" s="353"/>
      <c r="E151" s="354" t="s">
        <v>403</v>
      </c>
      <c r="F151" s="355"/>
    </row>
    <row r="152" spans="1:6">
      <c r="A152" s="372" t="s">
        <v>51</v>
      </c>
      <c r="B152" s="373">
        <v>3.4349999999999999E-2</v>
      </c>
      <c r="C152" s="374"/>
      <c r="E152" s="354" t="s">
        <v>403</v>
      </c>
      <c r="F152" s="355"/>
    </row>
    <row r="153" spans="1:6">
      <c r="A153" s="375" t="s">
        <v>52</v>
      </c>
      <c r="B153" s="373">
        <v>3.4349999999999999E-2</v>
      </c>
      <c r="E153" s="354" t="s">
        <v>403</v>
      </c>
      <c r="F153" s="355"/>
    </row>
    <row r="154" spans="1:6" ht="12" thickBot="1">
      <c r="A154" s="376" t="s">
        <v>53</v>
      </c>
      <c r="B154" s="377">
        <v>3.4349999999999999E-2</v>
      </c>
      <c r="E154" s="354" t="s">
        <v>403</v>
      </c>
      <c r="F154" s="355"/>
    </row>
    <row r="155" spans="1:6">
      <c r="A155" s="5"/>
      <c r="B155" s="352"/>
      <c r="C155" s="352"/>
      <c r="D155" s="352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D35" sqref="D35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50</v>
      </c>
      <c r="W1" t="s">
        <v>416</v>
      </c>
    </row>
    <row r="2" spans="1:23">
      <c r="A2">
        <f>'Main Page'!B53</f>
        <v>2.5</v>
      </c>
      <c r="W2" t="s">
        <v>417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418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61" t="s">
        <v>419</v>
      </c>
    </row>
    <row r="5" spans="1:23">
      <c r="A5" s="380">
        <v>0.05</v>
      </c>
      <c r="B5" s="380">
        <v>7.0000000000000007E-2</v>
      </c>
      <c r="C5" s="380">
        <v>0.1</v>
      </c>
      <c r="D5" s="380">
        <v>0.15</v>
      </c>
      <c r="E5" s="380">
        <v>0.2</v>
      </c>
      <c r="F5" s="380">
        <v>0.25</v>
      </c>
      <c r="G5" s="380">
        <v>0.3</v>
      </c>
      <c r="H5" s="380">
        <v>0.35</v>
      </c>
      <c r="I5" s="380">
        <v>0.4</v>
      </c>
      <c r="J5" s="380">
        <v>0.45</v>
      </c>
      <c r="K5" s="380">
        <v>0.5</v>
      </c>
      <c r="L5" s="380">
        <v>0.55000000000000004</v>
      </c>
      <c r="M5" s="380">
        <v>0.6</v>
      </c>
      <c r="N5" s="380">
        <v>0.65</v>
      </c>
      <c r="O5" s="380">
        <v>0.7</v>
      </c>
      <c r="P5" s="380">
        <v>0.75</v>
      </c>
      <c r="Q5" s="380">
        <v>0.8</v>
      </c>
      <c r="R5" s="380">
        <v>0.85</v>
      </c>
      <c r="S5" s="380">
        <v>0.9</v>
      </c>
      <c r="T5" s="380">
        <v>0.95</v>
      </c>
      <c r="U5" s="380">
        <v>1</v>
      </c>
      <c r="W5" s="361" t="s">
        <v>420</v>
      </c>
    </row>
    <row r="6" spans="1:23">
      <c r="A6" s="381">
        <v>0.05</v>
      </c>
      <c r="B6" s="381">
        <v>0.11333333333333333</v>
      </c>
      <c r="C6" s="381">
        <v>0.17666666666666664</v>
      </c>
      <c r="D6" s="381">
        <v>0.24</v>
      </c>
      <c r="E6" s="381">
        <v>0.30333333333333329</v>
      </c>
      <c r="F6" s="381">
        <v>0.36666666666666664</v>
      </c>
      <c r="G6" s="381">
        <v>0.43</v>
      </c>
      <c r="H6" s="381">
        <v>0.49333333333333329</v>
      </c>
      <c r="I6" s="381">
        <v>0.55666666666666664</v>
      </c>
      <c r="J6" s="381">
        <v>0.62</v>
      </c>
      <c r="K6" s="381">
        <v>0.68333333333333335</v>
      </c>
      <c r="L6" s="381">
        <v>0.74666666666666659</v>
      </c>
      <c r="M6" s="381">
        <v>0.81</v>
      </c>
      <c r="N6" s="381">
        <v>0.87333333333333341</v>
      </c>
      <c r="O6" s="381">
        <v>0.93666666666666665</v>
      </c>
      <c r="P6" s="381">
        <v>1</v>
      </c>
      <c r="Q6" s="101"/>
      <c r="W6" s="361" t="s">
        <v>421</v>
      </c>
    </row>
    <row r="7" spans="1:23">
      <c r="A7">
        <f>'Main Page'!B34</f>
        <v>2.6</v>
      </c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101"/>
      <c r="W7" s="361" t="s">
        <v>422</v>
      </c>
    </row>
    <row r="8" spans="1:23">
      <c r="A8">
        <f>'Main Page'!B35</f>
        <v>90</v>
      </c>
      <c r="B8" s="382"/>
      <c r="C8" s="382"/>
      <c r="D8" s="382"/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101"/>
      <c r="W8" s="361" t="s">
        <v>423</v>
      </c>
    </row>
    <row r="9" spans="1:23">
      <c r="A9">
        <f>'Main Page'!B17</f>
        <v>1.2250000000000001</v>
      </c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101"/>
      <c r="W9" s="361" t="s">
        <v>424</v>
      </c>
    </row>
    <row r="10" spans="1:23">
      <c r="A10">
        <f>'Main Page'!B39</f>
        <v>0.45</v>
      </c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101"/>
      <c r="W10" s="361" t="s">
        <v>425</v>
      </c>
    </row>
    <row r="11" spans="1:23">
      <c r="A11" s="383">
        <f>'Main Page'!B40</f>
        <v>7</v>
      </c>
      <c r="B11" s="382"/>
      <c r="C11" s="382"/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101"/>
      <c r="W11" s="361" t="s">
        <v>426</v>
      </c>
    </row>
    <row r="12" spans="1:23">
      <c r="A12" s="103">
        <f>'Main Page'!B16</f>
        <v>665139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101"/>
      <c r="W12" s="361" t="s">
        <v>461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61" t="s">
        <v>427</v>
      </c>
    </row>
    <row r="14" spans="1:23">
      <c r="A14" s="102">
        <f>'Main Page'!A121</f>
        <v>0.05</v>
      </c>
      <c r="B14" s="102">
        <f>'Main Page'!H121</f>
        <v>1181.9474017501359</v>
      </c>
      <c r="C14" s="102">
        <f>'Main Page'!B133 - 'Main Page'!B$138</f>
        <v>11.1</v>
      </c>
      <c r="D14" s="102">
        <f>'Main Page'!L121</f>
        <v>815590611.695804</v>
      </c>
      <c r="E14" s="102">
        <f>'Main Page'!K121</f>
        <v>10326627046.93685</v>
      </c>
      <c r="F14" s="102">
        <f>'Main Page'!J121</f>
        <v>2362406058.2721553</v>
      </c>
      <c r="G14" s="102">
        <f>'Main Page'!I121</f>
        <v>2362406058.2721553</v>
      </c>
      <c r="H14" s="102">
        <f>'Main Page'!B121</f>
        <v>1.349657099314199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89.215305458599687</v>
      </c>
      <c r="C15" s="102">
        <f>'Main Page'!B134 - 'Main Page'!B$138</f>
        <v>11.1</v>
      </c>
      <c r="D15" s="102">
        <f>'Main Page'!L122</f>
        <v>102340392.98761402</v>
      </c>
      <c r="E15" s="102">
        <f>'Main Page'!K122</f>
        <v>1295783621.589889</v>
      </c>
      <c r="F15" s="102">
        <f>'Main Page'!J122</f>
        <v>292871613.66241747</v>
      </c>
      <c r="G15" s="102">
        <f>'Main Page'!I122</f>
        <v>292871613.66241747</v>
      </c>
      <c r="H15" s="102">
        <f>'Main Page'!B122</f>
        <v>1.3496570993141985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117.20845675339662</v>
      </c>
      <c r="C16" s="102">
        <f>'Main Page'!B135 - 'Main Page'!B$138</f>
        <v>11.1</v>
      </c>
      <c r="D16" s="102">
        <f>'Main Page'!L123</f>
        <v>6059831.2604694702</v>
      </c>
      <c r="E16" s="102">
        <f>'Main Page'!K123</f>
        <v>1535809947.6467729</v>
      </c>
      <c r="F16" s="102">
        <f>'Main Page'!J123</f>
        <v>192688198.09657151</v>
      </c>
      <c r="G16" s="102">
        <f>'Main Page'!I123</f>
        <v>71200412.886402056</v>
      </c>
      <c r="H16" s="102">
        <f>'Main Page'!B123</f>
        <v>2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82.955569360022096</v>
      </c>
      <c r="C17" s="102">
        <f>'Main Page'!B136 - 'Main Page'!B$138</f>
        <v>3.1</v>
      </c>
      <c r="D17" s="102">
        <f>'Main Page'!L124</f>
        <v>2885752.229026631</v>
      </c>
      <c r="E17" s="102">
        <f>'Main Page'!K124</f>
        <v>1094705409.6217237</v>
      </c>
      <c r="F17" s="102">
        <f>'Main Page'!J124</f>
        <v>79116868.754064709</v>
      </c>
      <c r="G17" s="102">
        <f>'Main Page'!I124</f>
        <v>22286831.062062379</v>
      </c>
      <c r="H17" s="102">
        <f>'Main Page'!B124</f>
        <v>1.5334010668021336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39.129612072462692</v>
      </c>
      <c r="C18" s="102">
        <f>'Main Page'!B137 - 'Main Page'!B$138</f>
        <v>0.6</v>
      </c>
      <c r="D18" s="102">
        <f>'Main Page'!L125</f>
        <v>574933.04560629011</v>
      </c>
      <c r="E18" s="102">
        <f>'Main Page'!K125</f>
        <v>499093273.18287331</v>
      </c>
      <c r="F18" s="102">
        <f>'Main Page'!J125</f>
        <v>21323059.849604025</v>
      </c>
      <c r="G18" s="102">
        <f>'Main Page'!I125</f>
        <v>3549221.9475047868</v>
      </c>
      <c r="H18" s="102">
        <f>'Main Page'!B125</f>
        <v>1.0670561341122682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7.751396294306554</v>
      </c>
      <c r="C19" s="102">
        <f>'Main Page'!B138 - 'Main Page'!B$138</f>
        <v>0</v>
      </c>
      <c r="D19" s="102">
        <f>'Main Page'!L126</f>
        <v>61146.36439630347</v>
      </c>
      <c r="E19" s="102">
        <f>'Main Page'!K126</f>
        <v>80734393.082686871</v>
      </c>
      <c r="F19" s="102">
        <f>'Main Page'!J126</f>
        <v>2702250.8204062055</v>
      </c>
      <c r="G19" s="102">
        <f>'Main Page'!I126</f>
        <v>79811.599091411103</v>
      </c>
      <c r="H19" s="102">
        <f>'Main Page'!B126</f>
        <v>0.64719329438658879</v>
      </c>
      <c r="I19" s="102">
        <f>'Main Page'!E126</f>
        <v>0.25</v>
      </c>
      <c r="J19" s="102">
        <f>'Main Page'!D138</f>
        <v>4</v>
      </c>
    </row>
    <row r="27" spans="1:16">
      <c r="A27" s="361" t="s">
        <v>428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0" spans="1:16">
      <c r="A30">
        <f>A28/$B27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4" sqref="E24"/>
    </sheetView>
  </sheetViews>
  <sheetFormatPr defaultRowHeight="11.25"/>
  <cols>
    <col min="1" max="1" width="13.83203125" bestFit="1" customWidth="1"/>
  </cols>
  <sheetData>
    <row r="1" spans="1:5">
      <c r="A1">
        <f>'Main Page'!B83</f>
        <v>75</v>
      </c>
      <c r="E1" t="s">
        <v>429</v>
      </c>
    </row>
    <row r="2" spans="1:5">
      <c r="A2" s="102">
        <f>'Main Page'!B9</f>
        <v>60</v>
      </c>
      <c r="E2" t="s">
        <v>430</v>
      </c>
    </row>
    <row r="3" spans="1:5">
      <c r="A3" s="102">
        <f>'Main Page'!B58</f>
        <v>-2.33</v>
      </c>
      <c r="E3" t="s">
        <v>431</v>
      </c>
    </row>
    <row r="4" spans="1:5">
      <c r="A4" s="103">
        <f>'Main Page'!B5</f>
        <v>6.2266106191414261E-3</v>
      </c>
      <c r="B4" s="103">
        <f>'Main Page'!C5</f>
        <v>0</v>
      </c>
      <c r="C4" s="103">
        <f>'Main Page'!D5</f>
        <v>-0.16898817734177707</v>
      </c>
      <c r="E4" t="s">
        <v>432</v>
      </c>
    </row>
    <row r="5" spans="1:5">
      <c r="A5" s="103">
        <f>'Main Page'!B6</f>
        <v>0.54408382818374879</v>
      </c>
      <c r="B5" s="103">
        <f>'Main Page'!C6</f>
        <v>0</v>
      </c>
      <c r="C5" s="103">
        <f>'Main Page'!D6</f>
        <v>0</v>
      </c>
      <c r="E5" t="s">
        <v>433</v>
      </c>
    </row>
    <row r="6" spans="1:5">
      <c r="A6" s="103">
        <f>'Main Page'!B7</f>
        <v>-0.46437800200458612</v>
      </c>
      <c r="B6" s="103">
        <f>'Main Page'!C7</f>
        <v>0</v>
      </c>
      <c r="C6" s="103">
        <f>'Main Page'!D7</f>
        <v>0</v>
      </c>
      <c r="E6" t="s">
        <v>434</v>
      </c>
    </row>
    <row r="7" spans="1:5">
      <c r="A7" s="103">
        <f>-'Main Page'!B11</f>
        <v>-5</v>
      </c>
      <c r="E7" t="s">
        <v>435</v>
      </c>
    </row>
    <row r="8" spans="1:5">
      <c r="A8" s="103">
        <f>'Main Page'!E5</f>
        <v>15580.140251640041</v>
      </c>
      <c r="E8" s="361" t="s">
        <v>436</v>
      </c>
    </row>
    <row r="9" spans="1:5">
      <c r="A9" s="103">
        <f>'Main Page'!E6</f>
        <v>1131.2074102368219</v>
      </c>
      <c r="E9" s="361" t="s">
        <v>437</v>
      </c>
    </row>
    <row r="10" spans="1:5">
      <c r="A10" s="103">
        <f>'Main Page'!E7</f>
        <v>4238.8965977950375</v>
      </c>
      <c r="E10" s="361" t="s">
        <v>438</v>
      </c>
    </row>
    <row r="11" spans="1:5">
      <c r="A11" s="103">
        <f>-'Main Page'!B18</f>
        <v>0</v>
      </c>
      <c r="E11" t="s">
        <v>439</v>
      </c>
    </row>
    <row r="12" spans="1:5">
      <c r="A12" s="103">
        <f>'Main Page'!E8</f>
        <v>6573.9348557027251</v>
      </c>
      <c r="E12" t="s">
        <v>440</v>
      </c>
    </row>
    <row r="13" spans="1:5">
      <c r="A13" s="333">
        <f>SUM('Main Page'!H5:H7)</f>
        <v>8623.1244137844569</v>
      </c>
      <c r="E13" t="s">
        <v>441</v>
      </c>
    </row>
    <row r="14" spans="1:5">
      <c r="A14" s="103">
        <f>GECdrivetrain!M5</f>
        <v>5160.9544585651756</v>
      </c>
      <c r="E14" t="s">
        <v>442</v>
      </c>
    </row>
    <row r="15" spans="1:5">
      <c r="A15" s="103">
        <f>'Main Page'!B84</f>
        <v>1800</v>
      </c>
      <c r="E15" t="s">
        <v>443</v>
      </c>
    </row>
    <row r="16" spans="1:5">
      <c r="A16" s="103">
        <f>'Main Page'!B14</f>
        <v>129646444.93189973</v>
      </c>
      <c r="E16" t="s">
        <v>444</v>
      </c>
    </row>
    <row r="17" spans="1:5">
      <c r="A17" s="103">
        <f>'Main Page'!B19</f>
        <v>0.95</v>
      </c>
      <c r="E17" t="s">
        <v>445</v>
      </c>
    </row>
    <row r="18" spans="1:5">
      <c r="A18" s="333">
        <f>'Main Page'!B89*1000</f>
        <v>750000</v>
      </c>
      <c r="E18" s="361" t="s">
        <v>446</v>
      </c>
    </row>
    <row r="19" spans="1:5">
      <c r="A19" s="103">
        <f>SUM(GECdrivetrain!M11:'GECdrivetrain'!M12)</f>
        <v>65735.985618380335</v>
      </c>
      <c r="E19" s="361" t="s">
        <v>447</v>
      </c>
    </row>
    <row r="20" spans="1:5">
      <c r="A20" s="103">
        <f>'Main Page'!B15/100</f>
        <v>0.05</v>
      </c>
      <c r="E20" s="361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23" sqref="G23"/>
    </sheetView>
  </sheetViews>
  <sheetFormatPr defaultRowHeight="11.25"/>
  <cols>
    <col min="1" max="1" width="15.83203125" bestFit="1" customWidth="1"/>
  </cols>
  <sheetData>
    <row r="1" spans="1:12">
      <c r="A1" s="384">
        <f>'Main Page'!B43</f>
        <v>1.33</v>
      </c>
      <c r="L1" s="361" t="s">
        <v>448</v>
      </c>
    </row>
    <row r="2" spans="1:12">
      <c r="A2" s="384">
        <f>'Main Page'!B44</f>
        <v>2</v>
      </c>
      <c r="L2" s="361" t="s">
        <v>449</v>
      </c>
    </row>
    <row r="3" spans="1:12">
      <c r="A3" s="384">
        <f>'Main Page'!B45/1000</f>
        <v>8.9999999999999993E-3</v>
      </c>
      <c r="L3" s="361" t="s">
        <v>450</v>
      </c>
    </row>
    <row r="4" spans="1:12">
      <c r="A4" s="384">
        <f>'Main Page'!B46</f>
        <v>3.75</v>
      </c>
      <c r="L4" s="361" t="s">
        <v>451</v>
      </c>
    </row>
    <row r="5" spans="1:12">
      <c r="A5" s="384">
        <f>'Main Page'!B47/1000</f>
        <v>1.4999999999999999E-2</v>
      </c>
      <c r="L5" s="361" t="s">
        <v>452</v>
      </c>
    </row>
    <row r="6" spans="1:12">
      <c r="A6" s="384">
        <f>'Main Page'!B48/100</f>
        <v>0.05</v>
      </c>
      <c r="L6" s="361" t="s">
        <v>453</v>
      </c>
    </row>
    <row r="7" spans="1:12">
      <c r="A7">
        <f>GECtwrdata!F5</f>
        <v>7850</v>
      </c>
      <c r="L7" s="361" t="s">
        <v>454</v>
      </c>
    </row>
    <row r="8" spans="1:12">
      <c r="A8" s="102">
        <f>GECtwrdata!F6</f>
        <v>200000000000</v>
      </c>
      <c r="L8" s="361" t="s">
        <v>455</v>
      </c>
    </row>
    <row r="9" spans="1:12">
      <c r="A9" s="102">
        <f>GECtwrdata!F7</f>
        <v>76923076923.07692</v>
      </c>
      <c r="L9" s="361" t="s">
        <v>456</v>
      </c>
    </row>
    <row r="10" spans="1:12">
      <c r="A10" s="380">
        <f>0/9</f>
        <v>0</v>
      </c>
      <c r="B10" s="380">
        <f>1/9</f>
        <v>0.1111111111111111</v>
      </c>
      <c r="C10" s="380">
        <f>2/9</f>
        <v>0.22222222222222221</v>
      </c>
      <c r="D10" s="380">
        <f>3/9</f>
        <v>0.33333333333333331</v>
      </c>
      <c r="E10" s="380">
        <f>4/9</f>
        <v>0.44444444444444442</v>
      </c>
      <c r="F10" s="380">
        <f>5/9</f>
        <v>0.55555555555555558</v>
      </c>
      <c r="G10" s="380">
        <f>6/9</f>
        <v>0.66666666666666663</v>
      </c>
      <c r="H10" s="380">
        <f>7/9</f>
        <v>0.77777777777777779</v>
      </c>
      <c r="I10" s="380">
        <f>8/9</f>
        <v>0.88888888888888884</v>
      </c>
      <c r="J10" s="380">
        <f>9/9</f>
        <v>1</v>
      </c>
      <c r="L10" s="361" t="s">
        <v>457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61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0" t="s">
        <v>84</v>
      </c>
      <c r="B2" s="401"/>
      <c r="C2" s="401"/>
      <c r="D2" s="40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6" t="s">
        <v>84</v>
      </c>
      <c r="E2" s="388"/>
      <c r="F2" s="389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Page'!A121</f>
        <v>0.05</v>
      </c>
      <c r="C5" s="201">
        <f>'Main Page'!B121</f>
        <v>1.349657099314199</v>
      </c>
      <c r="D5" s="202">
        <f>'Main Page'!C121</f>
        <v>1</v>
      </c>
      <c r="E5" s="202" t="str">
        <f>'Main Page'!D121</f>
        <v>NA</v>
      </c>
      <c r="F5" s="203">
        <f>'Main Page'!E121</f>
        <v>0.25</v>
      </c>
      <c r="G5" s="201">
        <f>'Main Page'!F121</f>
        <v>0.5</v>
      </c>
      <c r="H5" s="201">
        <f>'Main Page'!G121</f>
        <v>0.5</v>
      </c>
      <c r="I5" s="204">
        <f>'Main Page'!H121</f>
        <v>1181.9474017501359</v>
      </c>
      <c r="J5" s="205">
        <f>'Main Page'!I121</f>
        <v>2362406058.2721553</v>
      </c>
      <c r="K5" s="205">
        <f>'Main Page'!J121</f>
        <v>2362406058.2721553</v>
      </c>
      <c r="L5" s="205">
        <f>'Main Page'!K121</f>
        <v>10326627046.93685</v>
      </c>
      <c r="M5" s="205">
        <f>'Main Page'!L121</f>
        <v>815590611.695804</v>
      </c>
      <c r="N5" s="206">
        <f>'Main Page'!M121</f>
        <v>538.24909552528584</v>
      </c>
      <c r="P5" s="103"/>
    </row>
    <row r="6" spans="2:21">
      <c r="B6" s="207">
        <f>'Main Page'!A122</f>
        <v>7.0000000000000007E-2</v>
      </c>
      <c r="C6" s="208">
        <f>'Main Page'!B122</f>
        <v>1.3496570993141985</v>
      </c>
      <c r="D6" s="209">
        <f>'Main Page'!C122</f>
        <v>1</v>
      </c>
      <c r="E6" s="209" t="str">
        <f>'Main Page'!D122</f>
        <v>NA</v>
      </c>
      <c r="F6" s="203">
        <f>'Main Page'!E122</f>
        <v>0.25</v>
      </c>
      <c r="G6" s="208">
        <f>'Main Page'!F122</f>
        <v>0.5</v>
      </c>
      <c r="H6" s="208">
        <f>'Main Page'!G122</f>
        <v>0.5</v>
      </c>
      <c r="I6" s="210">
        <f>'Main Page'!H122</f>
        <v>89.215305458599687</v>
      </c>
      <c r="J6" s="211">
        <f>'Main Page'!I122</f>
        <v>292871613.66241747</v>
      </c>
      <c r="K6" s="211">
        <f>'Main Page'!J122</f>
        <v>292871613.66241747</v>
      </c>
      <c r="L6" s="211">
        <f>'Main Page'!K122</f>
        <v>1295783621.589889</v>
      </c>
      <c r="M6" s="211">
        <f>'Main Page'!L122</f>
        <v>102340392.98761402</v>
      </c>
      <c r="N6" s="212">
        <f>'Main Page'!M122</f>
        <v>40.627914067071856</v>
      </c>
      <c r="P6" s="103"/>
    </row>
    <row r="7" spans="2:21">
      <c r="B7" s="197">
        <f>'Main Page'!A123</f>
        <v>0.25</v>
      </c>
      <c r="C7" s="208">
        <f>'Main Page'!B123</f>
        <v>2</v>
      </c>
      <c r="D7" s="209">
        <f>'Main Page'!C123</f>
        <v>0.27</v>
      </c>
      <c r="E7" s="209">
        <f>'Main Page'!D123</f>
        <v>5.7408195699863462</v>
      </c>
      <c r="F7" s="203">
        <f>'Main Page'!E123</f>
        <v>0.34</v>
      </c>
      <c r="G7" s="208">
        <f>'Main Page'!F123</f>
        <v>0.38431406494974252</v>
      </c>
      <c r="H7" s="208">
        <f>'Main Page'!G123</f>
        <v>0.32303333404645607</v>
      </c>
      <c r="I7" s="210">
        <f>'Main Page'!H123</f>
        <v>117.20845675339662</v>
      </c>
      <c r="J7" s="211">
        <f>'Main Page'!I123</f>
        <v>71200412.886402056</v>
      </c>
      <c r="K7" s="211">
        <f>'Main Page'!J123</f>
        <v>192688198.09657151</v>
      </c>
      <c r="L7" s="198">
        <f>'Main Page'!K123</f>
        <v>1535809947.6467729</v>
      </c>
      <c r="M7" s="198">
        <f>'Main Page'!L123</f>
        <v>6059831.2604694702</v>
      </c>
      <c r="N7" s="213">
        <f>'Main Page'!M123</f>
        <v>24.149591455091301</v>
      </c>
      <c r="P7" s="103"/>
    </row>
    <row r="8" spans="2:21">
      <c r="B8" s="197">
        <f>'Main Page'!A124</f>
        <v>0.5</v>
      </c>
      <c r="C8" s="208">
        <f>'Main Page'!B124</f>
        <v>1.5334010668021336</v>
      </c>
      <c r="D8" s="214">
        <f>'Main Page'!C124</f>
        <v>0.24</v>
      </c>
      <c r="E8" s="209">
        <f>'Main Page'!D124</f>
        <v>7.8774986568807996</v>
      </c>
      <c r="F8" s="203">
        <f>'Main Page'!E124</f>
        <v>0.31</v>
      </c>
      <c r="G8" s="208">
        <f>'Main Page'!F124</f>
        <v>0.37966131849299201</v>
      </c>
      <c r="H8" s="208">
        <f>'Main Page'!G124</f>
        <v>0.32331172392666518</v>
      </c>
      <c r="I8" s="210">
        <f>'Main Page'!H124</f>
        <v>82.955569360022096</v>
      </c>
      <c r="J8" s="211">
        <f>'Main Page'!I124</f>
        <v>22286831.062062379</v>
      </c>
      <c r="K8" s="211">
        <f>'Main Page'!J124</f>
        <v>79116868.754064709</v>
      </c>
      <c r="L8" s="198">
        <f>'Main Page'!K124</f>
        <v>1094705409.6217237</v>
      </c>
      <c r="M8" s="198">
        <f>'Main Page'!L124</f>
        <v>2885752.229026631</v>
      </c>
      <c r="N8" s="213">
        <f>'Main Page'!M124</f>
        <v>9.0573611452431102</v>
      </c>
      <c r="P8" s="103"/>
    </row>
    <row r="9" spans="2:21">
      <c r="B9" s="197">
        <f>'Main Page'!A125</f>
        <v>0.75</v>
      </c>
      <c r="C9" s="208">
        <f>'Main Page'!B125</f>
        <v>1.0670561341122682</v>
      </c>
      <c r="D9" s="214">
        <f>'Main Page'!C125</f>
        <v>0.21</v>
      </c>
      <c r="E9" s="209">
        <f>'Main Page'!D125</f>
        <v>7.6422364536705301</v>
      </c>
      <c r="F9" s="203">
        <f>'Main Page'!E125</f>
        <v>0.28000000000000003</v>
      </c>
      <c r="G9" s="208">
        <f>'Main Page'!F125</f>
        <v>0.39262047257690491</v>
      </c>
      <c r="H9" s="208">
        <f>'Main Page'!G125</f>
        <v>0.32643878406891619</v>
      </c>
      <c r="I9" s="210">
        <f>'Main Page'!H125</f>
        <v>39.129612072462692</v>
      </c>
      <c r="J9" s="211">
        <f>'Main Page'!I125</f>
        <v>3549221.9475047868</v>
      </c>
      <c r="K9" s="211">
        <f>'Main Page'!J125</f>
        <v>21323059.849604025</v>
      </c>
      <c r="L9" s="198">
        <f>'Main Page'!K125</f>
        <v>499093273.18287331</v>
      </c>
      <c r="M9" s="198">
        <f>'Main Page'!L125</f>
        <v>574933.04560629011</v>
      </c>
      <c r="N9" s="213">
        <f>'Main Page'!M125</f>
        <v>2.2054187533799334</v>
      </c>
      <c r="P9" s="103"/>
    </row>
    <row r="10" spans="2:21">
      <c r="B10" s="215">
        <f>'Main Page'!A126</f>
        <v>1</v>
      </c>
      <c r="C10" s="216">
        <f>'Main Page'!B126</f>
        <v>0.64719329438658879</v>
      </c>
      <c r="D10" s="217">
        <f>'Main Page'!C126</f>
        <v>0.16</v>
      </c>
      <c r="E10" s="217">
        <f>'Main Page'!D126</f>
        <v>0</v>
      </c>
      <c r="F10" s="216">
        <f>'Main Page'!E126</f>
        <v>0.25</v>
      </c>
      <c r="G10" s="216">
        <f>'Main Page'!F126</f>
        <v>0.49249999999999999</v>
      </c>
      <c r="H10" s="216">
        <f>'Main Page'!G126</f>
        <v>0.35780000000000001</v>
      </c>
      <c r="I10" s="218">
        <f>'Main Page'!H126</f>
        <v>7.751396294306554</v>
      </c>
      <c r="J10" s="219">
        <f>'Main Page'!I126</f>
        <v>79811.599091411103</v>
      </c>
      <c r="K10" s="219">
        <f>'Main Page'!J126</f>
        <v>2702250.8204062055</v>
      </c>
      <c r="L10" s="220">
        <f>'Main Page'!K126</f>
        <v>80734393.082686871</v>
      </c>
      <c r="M10" s="220">
        <f>'Main Page'!L126</f>
        <v>61146.36439630347</v>
      </c>
      <c r="N10" s="221">
        <f>'Main Page'!M126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Page'!B53/2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Page'!C$128/('Main Page'!C$128+1)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Page'!B133-'Main Page'!B$138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Page'!D133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Page'!C$128/('Main Page'!C$128+1)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Page'!B134-'Main Page'!B$138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Page'!D134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Page'!C$128/('Main Page'!C$128+1)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Page'!B135-'Main Page'!B$138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Page'!D135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Page'!C$128/('Main Page'!C$128+1)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Page'!B136-'Main Page'!B$138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Page'!C$128/('Main Page'!C$128+1)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Page'!B137-'Main Page'!B$138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Page'!D137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Page'!C$128/('Main Page'!C$128+1)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Page'!B138-'Main Page'!B$138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Page'!D138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 t="shared" si="11"/>
        <v>0</v>
      </c>
      <c r="R28" s="262">
        <f>$R$18</f>
        <v>1</v>
      </c>
      <c r="T28">
        <f>D28*(C29-C28)/2*(D$12-D$13)</f>
        <v>295.48685043753403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3">I$29+($B30-$B$29)*(I$33-I$29)/($B$33-$B$29)</f>
        <v>0</v>
      </c>
      <c r="J30" s="245">
        <f t="shared" si="13"/>
        <v>0.27552300703927668</v>
      </c>
      <c r="K30" s="243">
        <f t="shared" si="13"/>
        <v>11.1</v>
      </c>
      <c r="L30" s="246">
        <f t="shared" si="13"/>
        <v>86293632.699756593</v>
      </c>
      <c r="M30" s="246">
        <f t="shared" si="13"/>
        <v>1335788009.2660363</v>
      </c>
      <c r="N30" s="246">
        <f t="shared" si="13"/>
        <v>276174377.7347765</v>
      </c>
      <c r="O30" s="246">
        <f t="shared" si="13"/>
        <v>255926413.53308159</v>
      </c>
      <c r="P30" s="244">
        <f t="shared" si="13"/>
        <v>1.4580475827618322</v>
      </c>
      <c r="Q30" s="244">
        <f t="shared" si="13"/>
        <v>-3.0000000000000006E-2</v>
      </c>
      <c r="R30" s="260">
        <f>$R$18</f>
        <v>1</v>
      </c>
      <c r="T30">
        <f t="shared" ref="T30:T47" si="14">D30*(C31-C29)/2*(D$12-D$13)</f>
        <v>93.880830674399164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101.65670603406498</v>
      </c>
      <c r="E31" s="243">
        <f t="shared" si="16"/>
        <v>0</v>
      </c>
      <c r="F31" s="243">
        <f t="shared" si="16"/>
        <v>33.30421512841383</v>
      </c>
      <c r="G31" s="252">
        <f t="shared" si="16"/>
        <v>0</v>
      </c>
      <c r="H31" s="244">
        <f t="shared" si="16"/>
        <v>0.22684265486007649</v>
      </c>
      <c r="I31" s="8">
        <f t="shared" si="13"/>
        <v>0</v>
      </c>
      <c r="J31" s="245">
        <f t="shared" si="13"/>
        <v>0.17237089405715517</v>
      </c>
      <c r="K31" s="243">
        <f t="shared" si="13"/>
        <v>11.1</v>
      </c>
      <c r="L31" s="246">
        <f t="shared" si="13"/>
        <v>59549032.219994225</v>
      </c>
      <c r="M31" s="246">
        <f t="shared" si="13"/>
        <v>1402461988.7262819</v>
      </c>
      <c r="N31" s="246">
        <f t="shared" si="13"/>
        <v>248345651.18870816</v>
      </c>
      <c r="O31" s="246">
        <f t="shared" si="13"/>
        <v>194351079.98418844</v>
      </c>
      <c r="P31" s="244">
        <f t="shared" si="13"/>
        <v>1.6386983885078881</v>
      </c>
      <c r="Q31" s="244">
        <f t="shared" si="13"/>
        <v>-8.0000000000000016E-2</v>
      </c>
      <c r="R31" s="260">
        <f t="shared" ref="R31:R38" si="17">$R$20</f>
        <v>2</v>
      </c>
      <c r="T31">
        <f t="shared" si="14"/>
        <v>127.07088254258123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109.4325813937308</v>
      </c>
      <c r="E32" s="243">
        <f t="shared" si="16"/>
        <v>0</v>
      </c>
      <c r="F32" s="243">
        <f t="shared" si="16"/>
        <v>28.726903291752564</v>
      </c>
      <c r="G32" s="252">
        <f t="shared" si="16"/>
        <v>0</v>
      </c>
      <c r="H32" s="244">
        <f t="shared" si="16"/>
        <v>0.15773539237978068</v>
      </c>
      <c r="I32" s="8">
        <f t="shared" si="13"/>
        <v>0</v>
      </c>
      <c r="J32" s="245">
        <f t="shared" si="13"/>
        <v>6.9218781075033597E-2</v>
      </c>
      <c r="K32" s="243">
        <f t="shared" si="13"/>
        <v>11.1</v>
      </c>
      <c r="L32" s="246">
        <f t="shared" si="13"/>
        <v>32804431.740231842</v>
      </c>
      <c r="M32" s="246">
        <f t="shared" si="13"/>
        <v>1469135968.1865273</v>
      </c>
      <c r="N32" s="246">
        <f t="shared" si="13"/>
        <v>220516924.64263982</v>
      </c>
      <c r="O32" s="246">
        <f t="shared" si="13"/>
        <v>132775746.43529522</v>
      </c>
      <c r="P32" s="244">
        <f t="shared" si="13"/>
        <v>1.8193491942539441</v>
      </c>
      <c r="Q32" s="244">
        <f t="shared" si="13"/>
        <v>-0.13000000000000006</v>
      </c>
      <c r="R32" s="260">
        <f t="shared" si="17"/>
        <v>2</v>
      </c>
      <c r="T32">
        <f t="shared" si="14"/>
        <v>136.79072674216349</v>
      </c>
    </row>
    <row r="33" spans="2:20">
      <c r="B33" s="241">
        <v>0.25</v>
      </c>
      <c r="C33" s="242">
        <f t="shared" si="15"/>
        <v>0.21052631578947367</v>
      </c>
      <c r="D33" s="243">
        <f>D20</f>
        <v>117.20845675339662</v>
      </c>
      <c r="E33" s="243">
        <f t="shared" ref="E33:Q33" si="18">E20</f>
        <v>0</v>
      </c>
      <c r="F33" s="243">
        <f t="shared" si="18"/>
        <v>24.149591455091301</v>
      </c>
      <c r="G33" s="8">
        <f t="shared" si="18"/>
        <v>0</v>
      </c>
      <c r="H33" s="244">
        <f t="shared" si="18"/>
        <v>8.8628129899484986E-2</v>
      </c>
      <c r="I33" s="8">
        <f t="shared" si="18"/>
        <v>0</v>
      </c>
      <c r="J33" s="245">
        <f t="shared" si="18"/>
        <v>-3.3933331907087916E-2</v>
      </c>
      <c r="K33" s="243">
        <f t="shared" si="18"/>
        <v>11.1</v>
      </c>
      <c r="L33" s="246">
        <f t="shared" si="18"/>
        <v>6059831.2604694702</v>
      </c>
      <c r="M33" s="246">
        <f t="shared" si="18"/>
        <v>1535809947.6467729</v>
      </c>
      <c r="N33" s="246">
        <f t="shared" si="18"/>
        <v>192688198.09657151</v>
      </c>
      <c r="O33" s="246">
        <f t="shared" si="18"/>
        <v>71200412.886402056</v>
      </c>
      <c r="P33" s="244">
        <f t="shared" si="18"/>
        <v>2</v>
      </c>
      <c r="Q33" s="244">
        <f t="shared" si="18"/>
        <v>-0.18000000000000005</v>
      </c>
      <c r="R33" s="260">
        <f t="shared" si="17"/>
        <v>2</v>
      </c>
      <c r="T33">
        <f t="shared" si="14"/>
        <v>146.51057094174578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110.35787927472171</v>
      </c>
      <c r="E34" s="243">
        <f t="shared" ref="E34:Q37" si="19">E$33+($B34-$B$33)*(E$38-E$33)/($B$38-$B$33)</f>
        <v>0</v>
      </c>
      <c r="F34" s="243">
        <f t="shared" si="19"/>
        <v>21.131145393121663</v>
      </c>
      <c r="G34" s="8">
        <f t="shared" si="19"/>
        <v>0</v>
      </c>
      <c r="H34" s="244">
        <f t="shared" si="19"/>
        <v>9.2266251937987417E-2</v>
      </c>
      <c r="I34" s="8">
        <f t="shared" si="19"/>
        <v>0</v>
      </c>
      <c r="J34" s="245">
        <f t="shared" si="19"/>
        <v>-2.3064223191645555E-2</v>
      </c>
      <c r="K34" s="243">
        <f t="shared" si="19"/>
        <v>9.5</v>
      </c>
      <c r="L34" s="246">
        <f t="shared" si="19"/>
        <v>5425015.4541809028</v>
      </c>
      <c r="M34" s="246">
        <f t="shared" si="19"/>
        <v>1447589040.0417631</v>
      </c>
      <c r="N34" s="246">
        <f t="shared" si="19"/>
        <v>169973932.22807014</v>
      </c>
      <c r="O34" s="246">
        <f t="shared" si="19"/>
        <v>61417696.521534123</v>
      </c>
      <c r="P34" s="244">
        <f t="shared" si="19"/>
        <v>1.9066802133604268</v>
      </c>
      <c r="Q34" s="244">
        <f t="shared" si="19"/>
        <v>-0.16240081280162566</v>
      </c>
      <c r="R34" s="260">
        <f t="shared" si="17"/>
        <v>2</v>
      </c>
      <c r="T34">
        <f t="shared" si="14"/>
        <v>137.94734909340212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103.50730179604682</v>
      </c>
      <c r="E35" s="243">
        <f t="shared" si="19"/>
        <v>0</v>
      </c>
      <c r="F35" s="243">
        <f t="shared" si="19"/>
        <v>18.112699331152026</v>
      </c>
      <c r="G35" s="8">
        <f t="shared" si="19"/>
        <v>0</v>
      </c>
      <c r="H35" s="244">
        <f t="shared" si="19"/>
        <v>9.5904373976489848E-2</v>
      </c>
      <c r="I35" s="8">
        <f t="shared" si="19"/>
        <v>0</v>
      </c>
      <c r="J35" s="245">
        <f t="shared" si="19"/>
        <v>-1.2195114476203198E-2</v>
      </c>
      <c r="K35" s="243">
        <f t="shared" si="19"/>
        <v>7.9</v>
      </c>
      <c r="L35" s="246">
        <f t="shared" si="19"/>
        <v>4790199.6478923345</v>
      </c>
      <c r="M35" s="246">
        <f t="shared" si="19"/>
        <v>1359368132.4367533</v>
      </c>
      <c r="N35" s="246">
        <f t="shared" si="19"/>
        <v>147259666.3595688</v>
      </c>
      <c r="O35" s="246">
        <f t="shared" si="19"/>
        <v>51634980.156666189</v>
      </c>
      <c r="P35" s="244">
        <f t="shared" si="19"/>
        <v>1.8133604267208534</v>
      </c>
      <c r="Q35" s="244">
        <f t="shared" si="19"/>
        <v>-0.14480162560325124</v>
      </c>
      <c r="R35" s="260">
        <f t="shared" si="17"/>
        <v>2</v>
      </c>
      <c r="T35">
        <f t="shared" si="14"/>
        <v>129.38412724505852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96.656724317371896</v>
      </c>
      <c r="E36" s="243">
        <f t="shared" si="19"/>
        <v>0</v>
      </c>
      <c r="F36" s="243">
        <f t="shared" si="19"/>
        <v>15.094253269182385</v>
      </c>
      <c r="G36" s="8">
        <f t="shared" si="19"/>
        <v>0</v>
      </c>
      <c r="H36" s="244">
        <f t="shared" si="19"/>
        <v>9.9542496014992279E-2</v>
      </c>
      <c r="I36" s="8">
        <f t="shared" si="19"/>
        <v>0</v>
      </c>
      <c r="J36" s="245">
        <f t="shared" si="19"/>
        <v>-1.3260057607608275E-3</v>
      </c>
      <c r="K36" s="243">
        <f t="shared" si="19"/>
        <v>6.2999999999999989</v>
      </c>
      <c r="L36" s="246">
        <f t="shared" si="19"/>
        <v>4155383.8416037662</v>
      </c>
      <c r="M36" s="246">
        <f t="shared" si="19"/>
        <v>1271147224.8317432</v>
      </c>
      <c r="N36" s="246">
        <f t="shared" si="19"/>
        <v>124545400.49106742</v>
      </c>
      <c r="O36" s="246">
        <f t="shared" si="19"/>
        <v>41852263.791798249</v>
      </c>
      <c r="P36" s="244">
        <f t="shared" si="19"/>
        <v>1.72004064008128</v>
      </c>
      <c r="Q36" s="244">
        <f t="shared" si="19"/>
        <v>-0.12720243840487683</v>
      </c>
      <c r="R36" s="260">
        <f t="shared" si="17"/>
        <v>2</v>
      </c>
      <c r="T36">
        <f t="shared" si="14"/>
        <v>120.82090539671486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89.806146838697003</v>
      </c>
      <c r="E37" s="243">
        <f t="shared" si="19"/>
        <v>0</v>
      </c>
      <c r="F37" s="243">
        <f t="shared" si="19"/>
        <v>12.075807207212748</v>
      </c>
      <c r="G37" s="8">
        <f t="shared" si="19"/>
        <v>0</v>
      </c>
      <c r="H37" s="244">
        <f t="shared" si="19"/>
        <v>0.10318061805349471</v>
      </c>
      <c r="I37" s="8">
        <f t="shared" si="19"/>
        <v>0</v>
      </c>
      <c r="J37" s="245">
        <f t="shared" si="19"/>
        <v>9.543102954681526E-3</v>
      </c>
      <c r="K37" s="243">
        <f t="shared" si="19"/>
        <v>4.6999999999999993</v>
      </c>
      <c r="L37" s="246">
        <f t="shared" si="19"/>
        <v>3520568.0353151988</v>
      </c>
      <c r="M37" s="246">
        <f t="shared" si="19"/>
        <v>1182926317.2267334</v>
      </c>
      <c r="N37" s="246">
        <f t="shared" si="19"/>
        <v>101831134.62256606</v>
      </c>
      <c r="O37" s="246">
        <f t="shared" si="19"/>
        <v>32069547.426930316</v>
      </c>
      <c r="P37" s="244">
        <f t="shared" si="19"/>
        <v>1.6267208534417068</v>
      </c>
      <c r="Q37" s="244">
        <f t="shared" si="19"/>
        <v>-0.10960325120650241</v>
      </c>
      <c r="R37" s="260">
        <f t="shared" si="17"/>
        <v>2</v>
      </c>
      <c r="T37">
        <f t="shared" si="14"/>
        <v>112.25768354837125</v>
      </c>
    </row>
    <row r="38" spans="2:20">
      <c r="B38" s="241">
        <v>0.5</v>
      </c>
      <c r="C38" s="242">
        <f t="shared" si="15"/>
        <v>0.47368421052631576</v>
      </c>
      <c r="D38" s="243">
        <f>D21</f>
        <v>82.955569360022096</v>
      </c>
      <c r="E38" s="243">
        <f t="shared" ref="E38:Q38" si="20">E21</f>
        <v>0</v>
      </c>
      <c r="F38" s="243">
        <f t="shared" si="20"/>
        <v>9.0573611452431102</v>
      </c>
      <c r="G38" s="8">
        <f t="shared" si="20"/>
        <v>0</v>
      </c>
      <c r="H38" s="244">
        <f t="shared" si="20"/>
        <v>0.10681874009199714</v>
      </c>
      <c r="I38" s="8">
        <f t="shared" si="20"/>
        <v>0</v>
      </c>
      <c r="J38" s="245">
        <f t="shared" si="20"/>
        <v>2.0412211670123883E-2</v>
      </c>
      <c r="K38" s="243">
        <f t="shared" si="20"/>
        <v>3.1</v>
      </c>
      <c r="L38" s="246">
        <f t="shared" si="20"/>
        <v>2885752.229026631</v>
      </c>
      <c r="M38" s="246">
        <f t="shared" si="20"/>
        <v>1094705409.6217237</v>
      </c>
      <c r="N38" s="246">
        <f t="shared" si="20"/>
        <v>79116868.754064709</v>
      </c>
      <c r="O38" s="246">
        <f t="shared" si="20"/>
        <v>22286831.062062379</v>
      </c>
      <c r="P38" s="244">
        <f t="shared" si="20"/>
        <v>1.5334010668021336</v>
      </c>
      <c r="Q38" s="244">
        <f t="shared" si="20"/>
        <v>-9.2004064008128009E-2</v>
      </c>
      <c r="R38" s="260">
        <f t="shared" si="17"/>
        <v>2</v>
      </c>
      <c r="T38">
        <f t="shared" si="14"/>
        <v>103.69446170002762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74.190377902510207</v>
      </c>
      <c r="E39" s="243">
        <f t="shared" ref="E39:Q42" si="21">E$38+($B39-$B$38)*(E$43-E$38)/($B$43-$B$38)</f>
        <v>0</v>
      </c>
      <c r="F39" s="243">
        <f t="shared" si="21"/>
        <v>7.6869726668704734</v>
      </c>
      <c r="G39" s="8">
        <f t="shared" si="21"/>
        <v>0</v>
      </c>
      <c r="H39" s="244">
        <f t="shared" si="21"/>
        <v>0.10948946529155948</v>
      </c>
      <c r="I39" s="8">
        <f t="shared" si="21"/>
        <v>0</v>
      </c>
      <c r="J39" s="245">
        <f t="shared" si="21"/>
        <v>2.6240327216389525E-2</v>
      </c>
      <c r="K39" s="243">
        <f t="shared" si="21"/>
        <v>2.5999999999999996</v>
      </c>
      <c r="L39" s="246">
        <f t="shared" si="21"/>
        <v>2423588.3923425623</v>
      </c>
      <c r="M39" s="246">
        <f t="shared" si="21"/>
        <v>975582982.3339535</v>
      </c>
      <c r="N39" s="246">
        <f t="shared" si="21"/>
        <v>67558106.97317256</v>
      </c>
      <c r="O39" s="246">
        <f t="shared" si="21"/>
        <v>18539309.239150856</v>
      </c>
      <c r="P39" s="244">
        <f t="shared" si="21"/>
        <v>1.4401320802641604</v>
      </c>
      <c r="Q39" s="244">
        <f t="shared" si="21"/>
        <v>-8.0005588011176007E-2</v>
      </c>
      <c r="R39" s="260">
        <f t="shared" ref="R39:R45" si="22">$R$22</f>
        <v>3</v>
      </c>
      <c r="T39">
        <f t="shared" si="14"/>
        <v>92.737972378137712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65.425186444998332</v>
      </c>
      <c r="E40" s="243">
        <f t="shared" si="21"/>
        <v>0</v>
      </c>
      <c r="F40" s="243">
        <f t="shared" si="21"/>
        <v>6.3165841884978402</v>
      </c>
      <c r="G40" s="8">
        <f t="shared" si="21"/>
        <v>0</v>
      </c>
      <c r="H40" s="244">
        <f t="shared" si="21"/>
        <v>0.11216019049112182</v>
      </c>
      <c r="I40" s="8">
        <f t="shared" si="21"/>
        <v>0</v>
      </c>
      <c r="J40" s="245">
        <f t="shared" si="21"/>
        <v>3.206844276265515E-2</v>
      </c>
      <c r="K40" s="243">
        <f t="shared" si="21"/>
        <v>2.1000000000000005</v>
      </c>
      <c r="L40" s="246">
        <f t="shared" si="21"/>
        <v>1961424.5556584948</v>
      </c>
      <c r="M40" s="246">
        <f t="shared" si="21"/>
        <v>856460555.04618359</v>
      </c>
      <c r="N40" s="246">
        <f t="shared" si="21"/>
        <v>55999345.192280442</v>
      </c>
      <c r="O40" s="246">
        <f t="shared" si="21"/>
        <v>14791787.416239344</v>
      </c>
      <c r="P40" s="244">
        <f t="shared" si="21"/>
        <v>1.3468630937261874</v>
      </c>
      <c r="Q40" s="244">
        <f t="shared" si="21"/>
        <v>-6.8007112014224047E-2</v>
      </c>
      <c r="R40" s="260">
        <f t="shared" si="22"/>
        <v>3</v>
      </c>
      <c r="T40">
        <f t="shared" si="14"/>
        <v>81.781483056247907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56.659994987486449</v>
      </c>
      <c r="E41" s="243">
        <f t="shared" si="21"/>
        <v>0</v>
      </c>
      <c r="F41" s="243">
        <f t="shared" si="21"/>
        <v>4.9461957101252034</v>
      </c>
      <c r="G41" s="8">
        <f t="shared" si="21"/>
        <v>0</v>
      </c>
      <c r="H41" s="244">
        <f t="shared" si="21"/>
        <v>0.11483091569068417</v>
      </c>
      <c r="I41" s="8">
        <f t="shared" si="21"/>
        <v>0</v>
      </c>
      <c r="J41" s="245">
        <f t="shared" si="21"/>
        <v>3.7896558308920796E-2</v>
      </c>
      <c r="K41" s="243">
        <f t="shared" si="21"/>
        <v>1.5999999999999999</v>
      </c>
      <c r="L41" s="246">
        <f t="shared" si="21"/>
        <v>1499260.7189744262</v>
      </c>
      <c r="M41" s="246">
        <f t="shared" si="21"/>
        <v>737338127.75841331</v>
      </c>
      <c r="N41" s="246">
        <f t="shared" si="21"/>
        <v>44440583.411388293</v>
      </c>
      <c r="O41" s="246">
        <f t="shared" si="21"/>
        <v>11044265.59332782</v>
      </c>
      <c r="P41" s="244">
        <f t="shared" si="21"/>
        <v>1.2535941071882144</v>
      </c>
      <c r="Q41" s="244">
        <f t="shared" si="21"/>
        <v>-5.6008636017272045E-2</v>
      </c>
      <c r="R41" s="260">
        <f t="shared" si="22"/>
        <v>3</v>
      </c>
      <c r="T41">
        <f t="shared" si="14"/>
        <v>70.82499373435806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47.894803529974581</v>
      </c>
      <c r="E42" s="243">
        <f t="shared" si="21"/>
        <v>0</v>
      </c>
      <c r="F42" s="243">
        <f t="shared" si="21"/>
        <v>3.5758072317525702</v>
      </c>
      <c r="G42" s="8">
        <f t="shared" si="21"/>
        <v>0</v>
      </c>
      <c r="H42" s="244">
        <f t="shared" si="21"/>
        <v>0.11750164089024651</v>
      </c>
      <c r="I42" s="8">
        <f t="shared" si="21"/>
        <v>0</v>
      </c>
      <c r="J42" s="245">
        <f t="shared" si="21"/>
        <v>4.3724673855186427E-2</v>
      </c>
      <c r="K42" s="243">
        <f t="shared" si="21"/>
        <v>1.1000000000000005</v>
      </c>
      <c r="L42" s="246">
        <f t="shared" si="21"/>
        <v>1037096.8822903587</v>
      </c>
      <c r="M42" s="246">
        <f t="shared" si="21"/>
        <v>618215700.47064352</v>
      </c>
      <c r="N42" s="246">
        <f t="shared" si="21"/>
        <v>32881821.630496174</v>
      </c>
      <c r="O42" s="246">
        <f t="shared" si="21"/>
        <v>7296743.7704163063</v>
      </c>
      <c r="P42" s="244">
        <f t="shared" si="21"/>
        <v>1.1603251206502414</v>
      </c>
      <c r="Q42" s="244">
        <f t="shared" si="21"/>
        <v>-4.4010160020320072E-2</v>
      </c>
      <c r="R42" s="260">
        <f t="shared" si="22"/>
        <v>3</v>
      </c>
      <c r="T42">
        <f t="shared" si="14"/>
        <v>59.868504412468219</v>
      </c>
    </row>
    <row r="43" spans="2:20">
      <c r="B43" s="241">
        <v>0.75</v>
      </c>
      <c r="C43" s="242">
        <f t="shared" si="15"/>
        <v>0.73684210526315785</v>
      </c>
      <c r="D43" s="243">
        <f>D22</f>
        <v>39.129612072462692</v>
      </c>
      <c r="E43" s="243">
        <f t="shared" ref="E43:Q43" si="23">E22</f>
        <v>0</v>
      </c>
      <c r="F43" s="243">
        <f t="shared" si="23"/>
        <v>2.2054187533799334</v>
      </c>
      <c r="G43" s="8">
        <f t="shared" si="23"/>
        <v>0</v>
      </c>
      <c r="H43" s="244">
        <f t="shared" si="23"/>
        <v>0.12017236608980884</v>
      </c>
      <c r="I43" s="8">
        <f t="shared" si="23"/>
        <v>0</v>
      </c>
      <c r="J43" s="245">
        <f t="shared" si="23"/>
        <v>4.9552789401452066E-2</v>
      </c>
      <c r="K43" s="243">
        <f t="shared" si="23"/>
        <v>0.6</v>
      </c>
      <c r="L43" s="246">
        <f t="shared" si="23"/>
        <v>574933.04560629011</v>
      </c>
      <c r="M43" s="246">
        <f t="shared" si="23"/>
        <v>499093273.18287331</v>
      </c>
      <c r="N43" s="246">
        <f t="shared" si="23"/>
        <v>21323059.849604025</v>
      </c>
      <c r="O43" s="246">
        <f t="shared" si="23"/>
        <v>3549221.9475047868</v>
      </c>
      <c r="P43" s="244">
        <f t="shared" si="23"/>
        <v>1.0670561341122682</v>
      </c>
      <c r="Q43" s="244">
        <f t="shared" si="23"/>
        <v>-3.2011684023368077E-2</v>
      </c>
      <c r="R43" s="260">
        <f t="shared" si="22"/>
        <v>3</v>
      </c>
      <c r="T43">
        <f t="shared" si="14"/>
        <v>48.912015090578365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32.853968916831455</v>
      </c>
      <c r="E44" s="243">
        <f t="shared" ref="E44:Q47" si="24">E$43+($B44-$B$43)*(E$48-E$43)/($B$48-$B$43)</f>
        <v>0</v>
      </c>
      <c r="F44" s="243">
        <f t="shared" si="24"/>
        <v>1.81571271869969</v>
      </c>
      <c r="G44" s="8">
        <f t="shared" si="24"/>
        <v>0</v>
      </c>
      <c r="H44" s="244">
        <f t="shared" si="24"/>
        <v>0.12752676764959664</v>
      </c>
      <c r="I44" s="8">
        <f t="shared" si="24"/>
        <v>0</v>
      </c>
      <c r="J44" s="245">
        <f t="shared" si="24"/>
        <v>5.3595718948136514E-2</v>
      </c>
      <c r="K44" s="243">
        <f t="shared" si="24"/>
        <v>0.47999999999999987</v>
      </c>
      <c r="L44" s="246">
        <f t="shared" si="24"/>
        <v>472175.70936429268</v>
      </c>
      <c r="M44" s="246">
        <f t="shared" si="24"/>
        <v>415421497.16283596</v>
      </c>
      <c r="N44" s="246">
        <f t="shared" si="24"/>
        <v>17598898.043764457</v>
      </c>
      <c r="O44" s="246">
        <f t="shared" si="24"/>
        <v>2855339.8778221109</v>
      </c>
      <c r="P44" s="244">
        <f t="shared" si="24"/>
        <v>0.98308356616713222</v>
      </c>
      <c r="Q44" s="244">
        <f t="shared" si="24"/>
        <v>-2.5609347218694456E-2</v>
      </c>
      <c r="R44" s="260">
        <f t="shared" si="22"/>
        <v>3</v>
      </c>
      <c r="T44">
        <f t="shared" si="14"/>
        <v>41.067461146039278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26.57832576120024</v>
      </c>
      <c r="E45" s="243">
        <f t="shared" si="24"/>
        <v>0</v>
      </c>
      <c r="F45" s="243">
        <f t="shared" si="24"/>
        <v>1.4260066840194474</v>
      </c>
      <c r="G45" s="8">
        <f t="shared" si="24"/>
        <v>0</v>
      </c>
      <c r="H45" s="244">
        <f t="shared" si="24"/>
        <v>0.13488116920938442</v>
      </c>
      <c r="I45" s="8">
        <f t="shared" si="24"/>
        <v>0</v>
      </c>
      <c r="J45" s="245">
        <f t="shared" si="24"/>
        <v>5.7638648494820949E-2</v>
      </c>
      <c r="K45" s="243">
        <f t="shared" si="24"/>
        <v>0.36000000000000004</v>
      </c>
      <c r="L45" s="246">
        <f t="shared" si="24"/>
        <v>369418.37312229548</v>
      </c>
      <c r="M45" s="246">
        <f t="shared" si="24"/>
        <v>331749721.14279878</v>
      </c>
      <c r="N45" s="246">
        <f t="shared" si="24"/>
        <v>13874736.2379249</v>
      </c>
      <c r="O45" s="246">
        <f t="shared" si="24"/>
        <v>2161457.8081394369</v>
      </c>
      <c r="P45" s="244">
        <f t="shared" si="24"/>
        <v>0.89911099822199647</v>
      </c>
      <c r="Q45" s="244">
        <f t="shared" si="24"/>
        <v>-1.9207010414020849E-2</v>
      </c>
      <c r="R45" s="260">
        <f t="shared" si="22"/>
        <v>3</v>
      </c>
      <c r="T45">
        <f t="shared" si="14"/>
        <v>33.222907201500298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20.302682605569004</v>
      </c>
      <c r="E46" s="243">
        <f t="shared" si="24"/>
        <v>0</v>
      </c>
      <c r="F46" s="243">
        <f t="shared" si="24"/>
        <v>1.036300649339204</v>
      </c>
      <c r="G46" s="8">
        <f t="shared" si="24"/>
        <v>0</v>
      </c>
      <c r="H46" s="244">
        <f t="shared" si="24"/>
        <v>0.1422355707691722</v>
      </c>
      <c r="I46" s="8">
        <f t="shared" si="24"/>
        <v>0</v>
      </c>
      <c r="J46" s="245">
        <f t="shared" si="24"/>
        <v>6.1681578041505397E-2</v>
      </c>
      <c r="K46" s="243">
        <f t="shared" si="24"/>
        <v>0.23999999999999994</v>
      </c>
      <c r="L46" s="246">
        <f t="shared" si="24"/>
        <v>266661.03688029811</v>
      </c>
      <c r="M46" s="246">
        <f t="shared" si="24"/>
        <v>248077945.1227614</v>
      </c>
      <c r="N46" s="246">
        <f t="shared" si="24"/>
        <v>10150574.432085332</v>
      </c>
      <c r="O46" s="246">
        <f t="shared" si="24"/>
        <v>1467575.738456761</v>
      </c>
      <c r="P46" s="244">
        <f t="shared" si="24"/>
        <v>0.8151384302768605</v>
      </c>
      <c r="Q46" s="244">
        <f t="shared" si="24"/>
        <v>-1.2804673609347228E-2</v>
      </c>
      <c r="R46" s="260">
        <f>$R$23</f>
        <v>4</v>
      </c>
      <c r="T46">
        <f t="shared" si="14"/>
        <v>25.378353256961251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14.027039449937785</v>
      </c>
      <c r="E47" s="243">
        <f t="shared" si="24"/>
        <v>0</v>
      </c>
      <c r="F47" s="243">
        <f t="shared" si="24"/>
        <v>0.6465946146589614</v>
      </c>
      <c r="G47" s="8">
        <f t="shared" si="24"/>
        <v>0</v>
      </c>
      <c r="H47" s="244">
        <f t="shared" si="24"/>
        <v>0.14958997232895999</v>
      </c>
      <c r="I47" s="8">
        <f t="shared" si="24"/>
        <v>0</v>
      </c>
      <c r="J47" s="245">
        <f t="shared" si="24"/>
        <v>6.5724507588189832E-2</v>
      </c>
      <c r="K47" s="243">
        <f t="shared" si="24"/>
        <v>0.12000000000000011</v>
      </c>
      <c r="L47" s="246">
        <f t="shared" si="24"/>
        <v>163903.70063830091</v>
      </c>
      <c r="M47" s="246">
        <f t="shared" si="24"/>
        <v>164406169.10272419</v>
      </c>
      <c r="N47" s="246">
        <f t="shared" si="24"/>
        <v>6426412.6262457725</v>
      </c>
      <c r="O47" s="246">
        <f t="shared" si="24"/>
        <v>773693.66877408698</v>
      </c>
      <c r="P47" s="244">
        <f t="shared" si="24"/>
        <v>0.73116586233172476</v>
      </c>
      <c r="Q47" s="244">
        <f t="shared" si="24"/>
        <v>-6.4023368046736209E-3</v>
      </c>
      <c r="R47" s="260">
        <f>$R$23</f>
        <v>4</v>
      </c>
      <c r="T47">
        <f t="shared" si="14"/>
        <v>17.533799312422229</v>
      </c>
    </row>
    <row r="48" spans="2:20">
      <c r="B48" s="247">
        <v>1</v>
      </c>
      <c r="C48" s="248">
        <f t="shared" si="15"/>
        <v>0.99999999999999989</v>
      </c>
      <c r="D48" s="249">
        <f>D23</f>
        <v>7.751396294306554</v>
      </c>
      <c r="E48" s="249">
        <f t="shared" ref="E48:Q48" si="25">E23</f>
        <v>0</v>
      </c>
      <c r="F48" s="249">
        <f t="shared" si="25"/>
        <v>0.25688857997871806</v>
      </c>
      <c r="G48" s="225">
        <f t="shared" si="25"/>
        <v>0</v>
      </c>
      <c r="H48" s="228">
        <f t="shared" si="25"/>
        <v>0.15694437388874777</v>
      </c>
      <c r="I48" s="225">
        <f t="shared" si="25"/>
        <v>0</v>
      </c>
      <c r="J48" s="250">
        <f t="shared" si="25"/>
        <v>6.976743713487428E-2</v>
      </c>
      <c r="K48" s="249">
        <f t="shared" si="25"/>
        <v>0</v>
      </c>
      <c r="L48" s="251">
        <f t="shared" si="25"/>
        <v>61146.36439630347</v>
      </c>
      <c r="M48" s="251">
        <f t="shared" si="25"/>
        <v>80734393.082686871</v>
      </c>
      <c r="N48" s="251">
        <f t="shared" si="25"/>
        <v>2702250.8204062055</v>
      </c>
      <c r="O48" s="251">
        <f t="shared" si="25"/>
        <v>79811.599091411103</v>
      </c>
      <c r="P48" s="228">
        <f t="shared" si="25"/>
        <v>0.64719329438658879</v>
      </c>
      <c r="Q48" s="228">
        <f t="shared" si="25"/>
        <v>0</v>
      </c>
      <c r="R48" s="261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Page'!B46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Page'!B44</f>
        <v>2</v>
      </c>
      <c r="D8" t="s">
        <v>85</v>
      </c>
    </row>
    <row r="9" spans="2:15">
      <c r="B9" t="s">
        <v>99</v>
      </c>
      <c r="C9" s="153">
        <f>'Main Page'!B47</f>
        <v>15</v>
      </c>
      <c r="D9" t="s">
        <v>97</v>
      </c>
    </row>
    <row r="10" spans="2:15">
      <c r="B10" t="s">
        <v>100</v>
      </c>
      <c r="C10" s="153">
        <f>'Main Page'!B45</f>
        <v>9</v>
      </c>
      <c r="D10" t="s">
        <v>97</v>
      </c>
    </row>
    <row r="11" spans="2:15">
      <c r="B11" t="s">
        <v>385</v>
      </c>
      <c r="C11" s="153">
        <f>'Main Page'!B48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2:15">
      <c r="B16">
        <f>B15+1</f>
        <v>1</v>
      </c>
      <c r="C16" s="154">
        <f t="shared" ref="C16:C24" si="5">C$6/B$24*B16</f>
        <v>6.5188888888888892</v>
      </c>
      <c r="D16" s="155">
        <f t="shared" ref="D16:D24" si="6">C$7-(C$7-C$8)*C16/C$6</f>
        <v>3.5555555555555554</v>
      </c>
      <c r="E16" s="156">
        <f t="shared" ref="E16:E24" si="7">C$9-(C$9-C$10)*C16/C$6</f>
        <v>14.333333333333334</v>
      </c>
      <c r="F16" s="154">
        <f t="shared" ref="F16:F24" si="8">PI()*D16*E16/1000</f>
        <v>0.16010487004961316</v>
      </c>
      <c r="G16" s="156">
        <f t="shared" ref="G16:G24" si="9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0">I16/2</f>
        <v>0.2530052267450677</v>
      </c>
      <c r="M16" s="156">
        <f t="shared" ref="M16:M24" si="11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2:15">
      <c r="B17">
        <f t="shared" ref="B17:B24" si="12">B16+1</f>
        <v>2</v>
      </c>
      <c r="C17" s="154">
        <f t="shared" si="5"/>
        <v>13.037777777777778</v>
      </c>
      <c r="D17" s="155">
        <f t="shared" si="6"/>
        <v>3.3611111111111112</v>
      </c>
      <c r="E17" s="156">
        <f t="shared" si="7"/>
        <v>13.666666666666666</v>
      </c>
      <c r="F17" s="154">
        <f t="shared" si="8"/>
        <v>0.14430964031906446</v>
      </c>
      <c r="G17" s="156">
        <f t="shared" si="9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0"/>
        <v>0.20378447568590111</v>
      </c>
      <c r="M17" s="156">
        <f t="shared" si="11"/>
        <v>1599.7081341343237</v>
      </c>
      <c r="N17" s="157">
        <f t="shared" si="4"/>
        <v>40756895137.180222</v>
      </c>
      <c r="O17" s="332">
        <f t="shared" ref="O17:O23" si="13">G17*(C18-C16)/2</f>
        <v>7754.0371755616216</v>
      </c>
    </row>
    <row r="18" spans="2:15">
      <c r="B18">
        <f t="shared" si="12"/>
        <v>3</v>
      </c>
      <c r="C18" s="154">
        <f t="shared" si="5"/>
        <v>19.556666666666668</v>
      </c>
      <c r="D18" s="155">
        <f t="shared" si="6"/>
        <v>3.1666666666666665</v>
      </c>
      <c r="E18" s="156">
        <f t="shared" si="7"/>
        <v>13</v>
      </c>
      <c r="F18" s="154">
        <f t="shared" si="8"/>
        <v>0.12932889757277979</v>
      </c>
      <c r="G18" s="156">
        <f t="shared" si="9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0"/>
        <v>0.16211018063810242</v>
      </c>
      <c r="M18" s="156">
        <f t="shared" si="11"/>
        <v>1272.5649180091041</v>
      </c>
      <c r="N18" s="157">
        <f t="shared" si="4"/>
        <v>32422036127.620483</v>
      </c>
      <c r="O18" s="332">
        <f t="shared" si="13"/>
        <v>6949.0927801949128</v>
      </c>
    </row>
    <row r="19" spans="2:15">
      <c r="B19">
        <f t="shared" si="12"/>
        <v>4</v>
      </c>
      <c r="C19" s="154">
        <f t="shared" si="5"/>
        <v>26.075555555555557</v>
      </c>
      <c r="D19" s="155">
        <f t="shared" si="6"/>
        <v>2.9722222222222223</v>
      </c>
      <c r="E19" s="156">
        <f t="shared" si="7"/>
        <v>12.333333333333332</v>
      </c>
      <c r="F19" s="154">
        <f t="shared" si="8"/>
        <v>0.11516264181075916</v>
      </c>
      <c r="G19" s="156">
        <f t="shared" si="9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0"/>
        <v>0.12716985784060397</v>
      </c>
      <c r="M19" s="156">
        <f t="shared" si="11"/>
        <v>998.28338404874114</v>
      </c>
      <c r="N19" s="157">
        <f t="shared" si="4"/>
        <v>25433971568.120796</v>
      </c>
      <c r="O19" s="332">
        <f t="shared" si="13"/>
        <v>6187.9123519549412</v>
      </c>
    </row>
    <row r="20" spans="2:15">
      <c r="B20">
        <f t="shared" si="12"/>
        <v>5</v>
      </c>
      <c r="C20" s="154">
        <f t="shared" si="5"/>
        <v>32.594444444444449</v>
      </c>
      <c r="D20" s="155">
        <f t="shared" si="6"/>
        <v>2.7777777777777777</v>
      </c>
      <c r="E20" s="156">
        <f t="shared" si="7"/>
        <v>11.666666666666666</v>
      </c>
      <c r="F20" s="154">
        <f t="shared" si="8"/>
        <v>0.10181087303300254</v>
      </c>
      <c r="G20" s="156">
        <f t="shared" si="9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0"/>
        <v>9.8197215502510163E-2</v>
      </c>
      <c r="M20" s="156">
        <f t="shared" si="11"/>
        <v>770.84814169470474</v>
      </c>
      <c r="N20" s="157">
        <f t="shared" si="4"/>
        <v>19639443100.502033</v>
      </c>
      <c r="O20" s="332">
        <f t="shared" si="13"/>
        <v>5470.4958908417002</v>
      </c>
    </row>
    <row r="21" spans="2:15">
      <c r="B21">
        <f t="shared" si="12"/>
        <v>6</v>
      </c>
      <c r="C21" s="154">
        <f t="shared" si="5"/>
        <v>39.113333333333337</v>
      </c>
      <c r="D21" s="155">
        <f t="shared" si="6"/>
        <v>2.583333333333333</v>
      </c>
      <c r="E21" s="156">
        <f t="shared" si="7"/>
        <v>11</v>
      </c>
      <c r="F21" s="154">
        <f t="shared" si="8"/>
        <v>8.9273591239509953E-2</v>
      </c>
      <c r="G21" s="156">
        <f t="shared" si="9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0"/>
        <v>7.4472153803098129E-2</v>
      </c>
      <c r="M21" s="156">
        <f t="shared" si="11"/>
        <v>584.60640735432037</v>
      </c>
      <c r="N21" s="157">
        <f t="shared" si="4"/>
        <v>14894430760.619625</v>
      </c>
      <c r="O21" s="332">
        <f t="shared" si="13"/>
        <v>4796.8433968551926</v>
      </c>
    </row>
    <row r="22" spans="2:15">
      <c r="B22">
        <f t="shared" si="12"/>
        <v>7</v>
      </c>
      <c r="C22" s="154">
        <f t="shared" si="5"/>
        <v>45.632222222222225</v>
      </c>
      <c r="D22" s="155">
        <f t="shared" si="6"/>
        <v>2.3888888888888893</v>
      </c>
      <c r="E22" s="156">
        <f t="shared" si="7"/>
        <v>10.333333333333332</v>
      </c>
      <c r="F22" s="154">
        <f t="shared" si="8"/>
        <v>7.7550796430281385E-2</v>
      </c>
      <c r="G22" s="156">
        <f t="shared" si="9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0"/>
        <v>5.532076489181726E-2</v>
      </c>
      <c r="M22" s="156">
        <f t="shared" si="11"/>
        <v>434.26800440076551</v>
      </c>
      <c r="N22" s="157">
        <f t="shared" si="4"/>
        <v>11064152978.363453</v>
      </c>
      <c r="O22" s="332">
        <f t="shared" si="13"/>
        <v>4166.9548699954212</v>
      </c>
    </row>
    <row r="23" spans="2:15">
      <c r="B23">
        <f t="shared" si="12"/>
        <v>8</v>
      </c>
      <c r="C23" s="154">
        <f t="shared" si="5"/>
        <v>52.151111111111113</v>
      </c>
      <c r="D23" s="155">
        <f t="shared" si="6"/>
        <v>2.1944444444444446</v>
      </c>
      <c r="E23" s="156">
        <f t="shared" si="7"/>
        <v>9.6666666666666661</v>
      </c>
      <c r="F23" s="154">
        <f t="shared" si="8"/>
        <v>6.664248860531681E-2</v>
      </c>
      <c r="G23" s="156">
        <f t="shared" si="9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0"/>
        <v>4.0115332888289182E-2</v>
      </c>
      <c r="M23" s="156">
        <f t="shared" si="11"/>
        <v>314.9053631730701</v>
      </c>
      <c r="N23" s="157">
        <f t="shared" si="4"/>
        <v>8023066577.657836</v>
      </c>
      <c r="O23" s="332">
        <f t="shared" si="13"/>
        <v>3580.8303102623804</v>
      </c>
    </row>
    <row r="24" spans="2:15">
      <c r="B24">
        <f t="shared" si="12"/>
        <v>9</v>
      </c>
      <c r="C24" s="154">
        <f t="shared" si="5"/>
        <v>58.67</v>
      </c>
      <c r="D24" s="155">
        <f t="shared" si="6"/>
        <v>2</v>
      </c>
      <c r="E24" s="156">
        <f t="shared" si="7"/>
        <v>9</v>
      </c>
      <c r="F24" s="154">
        <f t="shared" si="8"/>
        <v>5.6548667764616277E-2</v>
      </c>
      <c r="G24" s="156">
        <f t="shared" si="9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0"/>
        <v>2.8274333882308138E-2</v>
      </c>
      <c r="M24" s="156">
        <f t="shared" si="11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2:15">
      <c r="O25" s="332"/>
    </row>
    <row r="26" spans="2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2.5</v>
      </c>
      <c r="F5" s="132">
        <f>'Main Page'!B56</f>
        <v>3.3000000000000002E-2</v>
      </c>
      <c r="G5" s="131"/>
      <c r="H5" s="135">
        <f>'Main Page'!B57</f>
        <v>7850</v>
      </c>
      <c r="I5" s="136">
        <f>H5*F5*PI()*E5^2</f>
        <v>5086.4348557027251</v>
      </c>
      <c r="J5" s="132">
        <f>'Main Page'!B58</f>
        <v>-2.33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Page'!B58</f>
        <v>-2.33</v>
      </c>
      <c r="K6" s="132">
        <f>'Main Page'!B59</f>
        <v>0</v>
      </c>
      <c r="L6" s="132">
        <f>'Main Page'!B60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Page'!B63</f>
        <v>1.3979999999999999</v>
      </c>
      <c r="D7" s="132">
        <f>'Main Page'!B65</f>
        <v>0.2</v>
      </c>
      <c r="E7" s="132">
        <f>'Main Page'!B64</f>
        <v>0.4</v>
      </c>
      <c r="F7" s="131"/>
      <c r="G7" s="136"/>
      <c r="H7" s="135">
        <f>'Main Page'!B66</f>
        <v>7850</v>
      </c>
      <c r="I7" s="136">
        <f>0.25*PI()*(E7^2-D7^2)*H7*C7</f>
        <v>1034.3034077487141</v>
      </c>
      <c r="J7" s="132">
        <f>0.5*('Main Page'!B71+'Main Page'!B74)</f>
        <v>-1.0485</v>
      </c>
      <c r="K7" s="132">
        <f>'Main Page'!B67</f>
        <v>0</v>
      </c>
      <c r="L7" s="132">
        <f>'Main Page'!B68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Page'!B71</f>
        <v>-1.631</v>
      </c>
      <c r="K8" s="132">
        <f>'Main Page'!B72</f>
        <v>0</v>
      </c>
      <c r="L8" s="132">
        <f>'Main Page'!B73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Page'!B74</f>
        <v>-0.46600000000000003</v>
      </c>
      <c r="K9" s="132">
        <f>'Main Page'!B75</f>
        <v>0</v>
      </c>
      <c r="L9" s="132">
        <f>'Main Page'!B76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Page'!B79/2</f>
        <v>2361.5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Page'!B89+471)/3</f>
        <v>982</v>
      </c>
      <c r="J11" s="132">
        <f>'Main Page'!B90</f>
        <v>0.58250000000000002</v>
      </c>
      <c r="K11" s="132">
        <f>'Main Page'!B91</f>
        <v>0</v>
      </c>
      <c r="L11" s="132">
        <f>'Main Page'!B92</f>
        <v>0</v>
      </c>
      <c r="M11" s="160">
        <f>0.0000486*C1^5.333</f>
        <v>55878.315104796013</v>
      </c>
      <c r="N11" s="160">
        <f>M11/2/('Main Page'!B85^2)+I11*C11^2/12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9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Page'!B89/0.10472/C2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3" t="s">
        <v>239</v>
      </c>
      <c r="E19" s="403"/>
      <c r="F19" s="403"/>
      <c r="G19" s="40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Page'!B95</f>
        <v>1.631</v>
      </c>
      <c r="D21" s="132">
        <f>'Main Page'!B96</f>
        <v>1.7475000000000001</v>
      </c>
      <c r="E21" s="132">
        <f>'Main Page'!B97</f>
        <v>0.74560000000000004</v>
      </c>
      <c r="F21" s="132">
        <f>'Main Page'!B98</f>
        <v>0.13</v>
      </c>
      <c r="G21" s="132">
        <f>'Main Page'!B99</f>
        <v>0.13</v>
      </c>
      <c r="H21" s="136">
        <f>'Main Page'!B100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Page'!B101</f>
        <v>0</v>
      </c>
      <c r="K21" s="132">
        <f>'Main Page'!B102</f>
        <v>0</v>
      </c>
      <c r="L21" s="132">
        <f>'Main Page'!B103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Page'!B79/2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Page'!B89+471)/3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Page'!B89+0.002168*C1^3.4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2015-10-20T21:06:16Z</dcterms:modified>
</cp:coreProperties>
</file>