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2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19" i="10" l="1"/>
  <c r="I16" i="8"/>
  <c r="I15" i="8"/>
  <c r="M19" i="8"/>
  <c r="M14" i="8"/>
  <c r="O15" i="8"/>
  <c r="O14" i="8"/>
  <c r="I30" i="8"/>
  <c r="A13" i="10"/>
  <c r="I17" i="8"/>
  <c r="M6" i="8"/>
  <c r="M5" i="8"/>
  <c r="I5" i="8"/>
  <c r="I14" i="8"/>
  <c r="B14" i="5"/>
  <c r="I31" i="8" l="1"/>
  <c r="A20" i="10"/>
  <c r="A12" i="9" l="1"/>
  <c r="A1" i="9" l="1"/>
  <c r="I11" i="8" l="1"/>
  <c r="C4" i="9" l="1"/>
  <c r="B4" i="9"/>
  <c r="A4" i="9"/>
  <c r="D11" i="11"/>
  <c r="C11" i="11"/>
  <c r="B11" i="11"/>
  <c r="A11" i="11"/>
  <c r="A18" i="10" l="1"/>
  <c r="B31" i="5" l="1"/>
  <c r="A17" i="10" l="1"/>
  <c r="A11" i="9" l="1"/>
  <c r="A10" i="9"/>
  <c r="A9" i="9" l="1"/>
  <c r="A30" i="9" l="1"/>
  <c r="A8" i="9"/>
  <c r="A7" i="9"/>
  <c r="B86" i="5" l="1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A29" i="9"/>
  <c r="J10" i="11"/>
  <c r="I10" i="11"/>
  <c r="H10" i="11"/>
  <c r="G10" i="11"/>
  <c r="F10" i="11"/>
  <c r="E10" i="11"/>
  <c r="D10" i="11"/>
  <c r="C10" i="11"/>
  <c r="B10" i="11"/>
  <c r="A10" i="11"/>
  <c r="A6" i="11"/>
  <c r="B85" i="5" l="1"/>
  <c r="B29" i="5"/>
  <c r="A15" i="10"/>
  <c r="H71" i="5" l="1"/>
  <c r="H70" i="5"/>
  <c r="H69" i="5"/>
  <c r="I70" i="5" l="1"/>
  <c r="J70" i="5" s="1"/>
  <c r="A11" i="10"/>
  <c r="A7" i="10"/>
  <c r="A3" i="10"/>
  <c r="A1" i="10"/>
  <c r="A8" i="11" l="1"/>
  <c r="A9" i="11"/>
  <c r="A7" i="11"/>
  <c r="A5" i="11"/>
  <c r="A3" i="11"/>
  <c r="A2" i="11"/>
  <c r="A4" i="11"/>
  <c r="A1" i="11"/>
  <c r="A2" i="10"/>
  <c r="J15" i="9" l="1"/>
  <c r="J16" i="9"/>
  <c r="J17" i="9"/>
  <c r="J18" i="9"/>
  <c r="J19" i="9"/>
  <c r="J14" i="9"/>
  <c r="I15" i="9"/>
  <c r="I16" i="9"/>
  <c r="I17" i="9"/>
  <c r="I18" i="9"/>
  <c r="I19" i="9"/>
  <c r="I14" i="9"/>
  <c r="H15" i="9"/>
  <c r="H16" i="9"/>
  <c r="H17" i="9"/>
  <c r="H18" i="9"/>
  <c r="H19" i="9"/>
  <c r="H14" i="9"/>
  <c r="G15" i="9"/>
  <c r="G16" i="9"/>
  <c r="G17" i="9"/>
  <c r="G18" i="9"/>
  <c r="G19" i="9"/>
  <c r="G14" i="9"/>
  <c r="F15" i="9"/>
  <c r="F16" i="9"/>
  <c r="F17" i="9"/>
  <c r="F18" i="9"/>
  <c r="F19" i="9"/>
  <c r="F14" i="9"/>
  <c r="E15" i="9"/>
  <c r="E16" i="9"/>
  <c r="E17" i="9"/>
  <c r="E18" i="9"/>
  <c r="E19" i="9"/>
  <c r="E14" i="9"/>
  <c r="D15" i="9"/>
  <c r="D16" i="9"/>
  <c r="D17" i="9"/>
  <c r="D18" i="9"/>
  <c r="D19" i="9"/>
  <c r="D14" i="9"/>
  <c r="C15" i="9"/>
  <c r="C16" i="9"/>
  <c r="C17" i="9"/>
  <c r="C18" i="9"/>
  <c r="C19" i="9"/>
  <c r="C14" i="9"/>
  <c r="B15" i="9"/>
  <c r="B16" i="9"/>
  <c r="B17" i="9"/>
  <c r="B18" i="9"/>
  <c r="B19" i="9"/>
  <c r="B14" i="9"/>
  <c r="A15" i="9"/>
  <c r="A16" i="9"/>
  <c r="A17" i="9"/>
  <c r="A18" i="9"/>
  <c r="A19" i="9"/>
  <c r="A14" i="9"/>
  <c r="J13" i="9"/>
  <c r="I13" i="9"/>
  <c r="H13" i="9"/>
  <c r="G13" i="9"/>
  <c r="F13" i="9"/>
  <c r="E13" i="9"/>
  <c r="D13" i="9"/>
  <c r="C13" i="9"/>
  <c r="B13" i="9"/>
  <c r="A13" i="9"/>
  <c r="D3" i="9"/>
  <c r="C3" i="9"/>
  <c r="B3" i="9"/>
  <c r="A3" i="9"/>
  <c r="A2" i="9"/>
  <c r="B5" i="6" l="1"/>
  <c r="B18" i="6" s="1"/>
  <c r="C5" i="6"/>
  <c r="D5" i="6"/>
  <c r="E5" i="6"/>
  <c r="F5" i="6"/>
  <c r="G5" i="6"/>
  <c r="H5" i="6"/>
  <c r="I5" i="6"/>
  <c r="D18" i="6" s="1"/>
  <c r="D28" i="6" s="1"/>
  <c r="C10" i="3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N11" i="3" s="1"/>
  <c r="K6" i="6"/>
  <c r="N19" i="6" s="1"/>
  <c r="N29" i="6" s="1"/>
  <c r="M11" i="3" s="1"/>
  <c r="L6" i="6"/>
  <c r="M19" i="6" s="1"/>
  <c r="M29" i="6" s="1"/>
  <c r="M6" i="6"/>
  <c r="L19" i="6" s="1"/>
  <c r="L29" i="6" s="1"/>
  <c r="K11" i="3" s="1"/>
  <c r="N6" i="6"/>
  <c r="E19" i="6" s="1"/>
  <c r="E29" i="6" s="1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N7" i="6"/>
  <c r="E20" i="6" s="1"/>
  <c r="F20" i="6" s="1"/>
  <c r="F33" i="6" s="1"/>
  <c r="E15" i="3" s="1"/>
  <c r="B8" i="6"/>
  <c r="B21" i="6" s="1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O25" i="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K25" i="3" s="1"/>
  <c r="N9" i="6"/>
  <c r="E22" i="6" s="1"/>
  <c r="E43" i="6" s="1"/>
  <c r="D25" i="3" s="1"/>
  <c r="B10" i="6"/>
  <c r="B23" i="6" s="1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J10" i="3" s="1"/>
  <c r="R18" i="6"/>
  <c r="R29" i="6" s="1"/>
  <c r="Q11" i="3" s="1"/>
  <c r="K19" i="6"/>
  <c r="K29" i="6" s="1"/>
  <c r="R19" i="6"/>
  <c r="K20" i="6"/>
  <c r="K33" i="6" s="1"/>
  <c r="J15" i="3" s="1"/>
  <c r="R20" i="6"/>
  <c r="R32" i="6" s="1"/>
  <c r="Q14" i="3" s="1"/>
  <c r="K21" i="6"/>
  <c r="K38" i="6" s="1"/>
  <c r="J20" i="3" s="1"/>
  <c r="K22" i="6"/>
  <c r="K43" i="6" s="1"/>
  <c r="R22" i="6"/>
  <c r="R39" i="6" s="1"/>
  <c r="Q21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G34" i="6"/>
  <c r="F16" i="3"/>
  <c r="I35" i="6"/>
  <c r="H17" i="3"/>
  <c r="I37" i="6"/>
  <c r="H19" i="3"/>
  <c r="G38" i="6"/>
  <c r="I38" i="6"/>
  <c r="H20" i="3"/>
  <c r="G40" i="6"/>
  <c r="F22" i="3"/>
  <c r="I41" i="6"/>
  <c r="H23" i="3"/>
  <c r="G42" i="6"/>
  <c r="F24" i="3"/>
  <c r="G43" i="6"/>
  <c r="F25" i="3"/>
  <c r="I43" i="6"/>
  <c r="I45" i="6"/>
  <c r="H27" i="3"/>
  <c r="I47" i="6"/>
  <c r="H29" i="3"/>
  <c r="G48" i="6"/>
  <c r="G47" i="6"/>
  <c r="F29" i="3"/>
  <c r="I48" i="6"/>
  <c r="H30" i="3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22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4" i="5"/>
  <c r="B26" i="5"/>
  <c r="C2" i="8"/>
  <c r="I12" i="8" s="1"/>
  <c r="A133" i="5"/>
  <c r="A134" i="5"/>
  <c r="A135" i="5"/>
  <c r="A136" i="5"/>
  <c r="A137" i="5"/>
  <c r="A138" i="5"/>
  <c r="G46" i="6"/>
  <c r="F28" i="3"/>
  <c r="G44" i="6"/>
  <c r="F26" i="3"/>
  <c r="B30" i="5"/>
  <c r="I46" i="6"/>
  <c r="H28" i="3"/>
  <c r="F20" i="3"/>
  <c r="G35" i="6"/>
  <c r="F17" i="3"/>
  <c r="G37" i="6"/>
  <c r="F19" i="3"/>
  <c r="G39" i="6"/>
  <c r="F21" i="3"/>
  <c r="G41" i="6"/>
  <c r="F23" i="3"/>
  <c r="G36" i="6"/>
  <c r="F18" i="3"/>
  <c r="F30" i="3"/>
  <c r="G45" i="6"/>
  <c r="F27" i="3"/>
  <c r="H25" i="3"/>
  <c r="I40" i="6"/>
  <c r="H22" i="3"/>
  <c r="I42" i="6"/>
  <c r="H24" i="3"/>
  <c r="I44" i="6"/>
  <c r="H26" i="3"/>
  <c r="I39" i="6"/>
  <c r="H21" i="3"/>
  <c r="H15" i="3"/>
  <c r="I34" i="6"/>
  <c r="H16" i="3"/>
  <c r="I36" i="6"/>
  <c r="H18" i="3"/>
  <c r="A16" i="10" l="1"/>
  <c r="D8" i="8"/>
  <c r="E22" i="8" s="1"/>
  <c r="J18" i="6"/>
  <c r="J28" i="6" s="1"/>
  <c r="I10" i="3" s="1"/>
  <c r="R36" i="6"/>
  <c r="Q18" i="3" s="1"/>
  <c r="F19" i="6"/>
  <c r="F29" i="6" s="1"/>
  <c r="F31" i="6" s="1"/>
  <c r="E13" i="3" s="1"/>
  <c r="C31" i="6"/>
  <c r="B13" i="3" s="1"/>
  <c r="E25" i="8"/>
  <c r="D25" i="8" s="1"/>
  <c r="M25" i="8" s="1"/>
  <c r="R33" i="6"/>
  <c r="Q15" i="3" s="1"/>
  <c r="C21" i="7"/>
  <c r="B14" i="4" s="1"/>
  <c r="R31" i="6"/>
  <c r="Q13" i="3" s="1"/>
  <c r="D34" i="6"/>
  <c r="C16" i="3" s="1"/>
  <c r="Q20" i="6"/>
  <c r="Q33" i="6" s="1"/>
  <c r="P15" i="3" s="1"/>
  <c r="C17" i="7"/>
  <c r="E17" i="7" s="1"/>
  <c r="R41" i="6"/>
  <c r="Q23" i="3" s="1"/>
  <c r="H21" i="6"/>
  <c r="H38" i="6" s="1"/>
  <c r="G20" i="3" s="1"/>
  <c r="L15" i="3"/>
  <c r="M36" i="6"/>
  <c r="L18" i="3" s="1"/>
  <c r="M35" i="6"/>
  <c r="L17" i="3" s="1"/>
  <c r="K32" i="6"/>
  <c r="J14" i="3" s="1"/>
  <c r="I23" i="8"/>
  <c r="Q23" i="6"/>
  <c r="Q48" i="6" s="1"/>
  <c r="P30" i="3" s="1"/>
  <c r="C19" i="6"/>
  <c r="O41" i="6"/>
  <c r="N23" i="3" s="1"/>
  <c r="N20" i="3"/>
  <c r="H20" i="6"/>
  <c r="H33" i="6" s="1"/>
  <c r="G15" i="3" s="1"/>
  <c r="C43" i="6"/>
  <c r="B25" i="3" s="1"/>
  <c r="R42" i="6"/>
  <c r="Q24" i="3" s="1"/>
  <c r="P23" i="6"/>
  <c r="P48" i="6" s="1"/>
  <c r="P46" i="6" s="1"/>
  <c r="H23" i="6"/>
  <c r="H48" i="6" s="1"/>
  <c r="G30" i="3" s="1"/>
  <c r="C36" i="6"/>
  <c r="B18" i="3" s="1"/>
  <c r="C39" i="6"/>
  <c r="B21" i="3" s="1"/>
  <c r="C30" i="6"/>
  <c r="E12" i="8"/>
  <c r="M12" i="8" s="1"/>
  <c r="I9" i="8"/>
  <c r="I7" i="8"/>
  <c r="M7" i="8" s="1"/>
  <c r="C47" i="6"/>
  <c r="B29" i="3" s="1"/>
  <c r="E33" i="6"/>
  <c r="D15" i="3" s="1"/>
  <c r="E18" i="6"/>
  <c r="E28" i="6" s="1"/>
  <c r="D10" i="3" s="1"/>
  <c r="D37" i="6"/>
  <c r="C19" i="3" s="1"/>
  <c r="C15" i="3"/>
  <c r="C33" i="6"/>
  <c r="B15" i="3" s="1"/>
  <c r="I28" i="8"/>
  <c r="I22" i="8"/>
  <c r="D9" i="8"/>
  <c r="E23" i="8" s="1"/>
  <c r="N6" i="8"/>
  <c r="O6" i="8" s="1"/>
  <c r="C44" i="6"/>
  <c r="B26" i="3" s="1"/>
  <c r="C32" i="6"/>
  <c r="B14" i="3" s="1"/>
  <c r="C28" i="6"/>
  <c r="B10" i="3" s="1"/>
  <c r="J20" i="6"/>
  <c r="J33" i="6" s="1"/>
  <c r="B2" i="3"/>
  <c r="J23" i="6"/>
  <c r="J48" i="6" s="1"/>
  <c r="I30" i="3" s="1"/>
  <c r="H18" i="6"/>
  <c r="H28" i="6" s="1"/>
  <c r="G10" i="3" s="1"/>
  <c r="L25" i="3"/>
  <c r="M40" i="6"/>
  <c r="L22" i="3" s="1"/>
  <c r="M39" i="6"/>
  <c r="L21" i="3" s="1"/>
  <c r="D39" i="6"/>
  <c r="C21" i="3" s="1"/>
  <c r="O11" i="3"/>
  <c r="S29" i="6"/>
  <c r="K46" i="6"/>
  <c r="J28" i="3" s="1"/>
  <c r="K41" i="6"/>
  <c r="J23" i="3" s="1"/>
  <c r="D11" i="3"/>
  <c r="I30" i="6"/>
  <c r="H12" i="3" s="1"/>
  <c r="N30" i="6"/>
  <c r="M12" i="3" s="1"/>
  <c r="N31" i="6"/>
  <c r="M13" i="3" s="1"/>
  <c r="G30" i="6"/>
  <c r="F12" i="3" s="1"/>
  <c r="N32" i="6"/>
  <c r="M14" i="3" s="1"/>
  <c r="D30" i="6"/>
  <c r="C12" i="3" s="1"/>
  <c r="L41" i="6"/>
  <c r="K23" i="3" s="1"/>
  <c r="L39" i="6"/>
  <c r="K21" i="3" s="1"/>
  <c r="L40" i="6"/>
  <c r="K22" i="3" s="1"/>
  <c r="L42" i="6"/>
  <c r="K24" i="3" s="1"/>
  <c r="K20" i="3"/>
  <c r="M45" i="6"/>
  <c r="L27" i="3" s="1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O10" i="3" s="1"/>
  <c r="D31" i="6"/>
  <c r="C13" i="3" s="1"/>
  <c r="J19" i="6"/>
  <c r="J29" i="6" s="1"/>
  <c r="I11" i="3" s="1"/>
  <c r="L20" i="3"/>
  <c r="C41" i="6"/>
  <c r="B23" i="3" s="1"/>
  <c r="C35" i="6"/>
  <c r="C20" i="6"/>
  <c r="C21" i="6"/>
  <c r="C20" i="7"/>
  <c r="S43" i="6"/>
  <c r="D32" i="6"/>
  <c r="C14" i="3" s="1"/>
  <c r="C23" i="6"/>
  <c r="C45" i="6"/>
  <c r="B27" i="3" s="1"/>
  <c r="C37" i="6"/>
  <c r="B19" i="3" s="1"/>
  <c r="C22" i="6"/>
  <c r="C48" i="6"/>
  <c r="C46" i="6"/>
  <c r="B28" i="3" s="1"/>
  <c r="C38" i="6"/>
  <c r="B20" i="3" s="1"/>
  <c r="O37" i="6"/>
  <c r="N19" i="3" s="1"/>
  <c r="P20" i="6"/>
  <c r="P33" i="6" s="1"/>
  <c r="S33" i="6" s="1"/>
  <c r="H19" i="6"/>
  <c r="H29" i="6" s="1"/>
  <c r="M26" i="8"/>
  <c r="O26" i="8"/>
  <c r="J25" i="3"/>
  <c r="K44" i="6"/>
  <c r="J26" i="3" s="1"/>
  <c r="K45" i="6"/>
  <c r="J27" i="3" s="1"/>
  <c r="K47" i="6"/>
  <c r="J29" i="3" s="1"/>
  <c r="K31" i="6"/>
  <c r="J13" i="3" s="1"/>
  <c r="K30" i="6"/>
  <c r="J12" i="3" s="1"/>
  <c r="K30" i="3"/>
  <c r="L45" i="6"/>
  <c r="K27" i="3" s="1"/>
  <c r="L46" i="6"/>
  <c r="K28" i="3" s="1"/>
  <c r="C30" i="3"/>
  <c r="D46" i="6"/>
  <c r="D45" i="6"/>
  <c r="O46" i="6"/>
  <c r="N28" i="3" s="1"/>
  <c r="O47" i="6"/>
  <c r="N29" i="3" s="1"/>
  <c r="O44" i="6"/>
  <c r="N26" i="3" s="1"/>
  <c r="O45" i="6"/>
  <c r="N27" i="3" s="1"/>
  <c r="H22" i="6"/>
  <c r="H43" i="6" s="1"/>
  <c r="Q22" i="6"/>
  <c r="Q43" i="6" s="1"/>
  <c r="L32" i="6"/>
  <c r="K14" i="3" s="1"/>
  <c r="L34" i="6"/>
  <c r="K16" i="3" s="1"/>
  <c r="K15" i="3"/>
  <c r="M31" i="6"/>
  <c r="L13" i="3" s="1"/>
  <c r="M30" i="6"/>
  <c r="L12" i="3" s="1"/>
  <c r="E44" i="6"/>
  <c r="D26" i="3" s="1"/>
  <c r="M32" i="6"/>
  <c r="L14" i="3" s="1"/>
  <c r="L36" i="6"/>
  <c r="K18" i="3" s="1"/>
  <c r="E46" i="6"/>
  <c r="D28" i="3" s="1"/>
  <c r="N25" i="3"/>
  <c r="N40" i="6"/>
  <c r="M22" i="3" s="1"/>
  <c r="N42" i="6"/>
  <c r="M24" i="3" s="1"/>
  <c r="N36" i="6"/>
  <c r="M18" i="3" s="1"/>
  <c r="N37" i="6"/>
  <c r="M19" i="3" s="1"/>
  <c r="N41" i="6"/>
  <c r="M23" i="3" s="1"/>
  <c r="N39" i="6"/>
  <c r="M21" i="3" s="1"/>
  <c r="M20" i="3"/>
  <c r="N35" i="6"/>
  <c r="M17" i="3" s="1"/>
  <c r="J21" i="6"/>
  <c r="J38" i="6" s="1"/>
  <c r="Q21" i="6"/>
  <c r="Q38" i="6" s="1"/>
  <c r="P21" i="6"/>
  <c r="P38" i="6" s="1"/>
  <c r="J11" i="3"/>
  <c r="L44" i="6"/>
  <c r="K26" i="3" s="1"/>
  <c r="L37" i="6"/>
  <c r="K19" i="3" s="1"/>
  <c r="M47" i="6"/>
  <c r="L29" i="3" s="1"/>
  <c r="M25" i="3"/>
  <c r="N45" i="6"/>
  <c r="M27" i="3" s="1"/>
  <c r="N47" i="6"/>
  <c r="M29" i="3" s="1"/>
  <c r="N44" i="6"/>
  <c r="M26" i="3" s="1"/>
  <c r="N46" i="6"/>
  <c r="M28" i="3" s="1"/>
  <c r="O36" i="6"/>
  <c r="N18" i="3" s="1"/>
  <c r="N15" i="3"/>
  <c r="O35" i="6"/>
  <c r="N17" i="3" s="1"/>
  <c r="O34" i="6"/>
  <c r="N16" i="3" s="1"/>
  <c r="E45" i="6"/>
  <c r="D27" i="3" s="1"/>
  <c r="E47" i="6"/>
  <c r="D29" i="3" s="1"/>
  <c r="L47" i="6"/>
  <c r="K29" i="3" s="1"/>
  <c r="N34" i="6"/>
  <c r="M16" i="3" s="1"/>
  <c r="L35" i="6"/>
  <c r="K17" i="3" s="1"/>
  <c r="D22" i="7"/>
  <c r="E22" i="7"/>
  <c r="L25" i="8"/>
  <c r="L12" i="8"/>
  <c r="L24" i="8"/>
  <c r="K40" i="6"/>
  <c r="J22" i="3" s="1"/>
  <c r="K35" i="6"/>
  <c r="J17" i="3" s="1"/>
  <c r="K39" i="6"/>
  <c r="J21" i="3" s="1"/>
  <c r="K36" i="6"/>
  <c r="J18" i="3" s="1"/>
  <c r="K37" i="6"/>
  <c r="J19" i="3" s="1"/>
  <c r="K42" i="6"/>
  <c r="J24" i="3" s="1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E6" i="5"/>
  <c r="A9" i="10" s="1"/>
  <c r="N26" i="8"/>
  <c r="M46" i="6"/>
  <c r="L28" i="3" s="1"/>
  <c r="M44" i="6"/>
  <c r="L26" i="3" s="1"/>
  <c r="L30" i="6"/>
  <c r="K12" i="3" s="1"/>
  <c r="L31" i="6"/>
  <c r="K13" i="3" s="1"/>
  <c r="O32" i="6"/>
  <c r="N14" i="3" s="1"/>
  <c r="O30" i="6"/>
  <c r="N12" i="3" s="1"/>
  <c r="O31" i="6"/>
  <c r="N13" i="3" s="1"/>
  <c r="I31" i="6"/>
  <c r="H13" i="3" s="1"/>
  <c r="G32" i="6"/>
  <c r="F14" i="3" s="1"/>
  <c r="C29" i="6"/>
  <c r="G31" i="6"/>
  <c r="F13" i="3" s="1"/>
  <c r="I32" i="6"/>
  <c r="H14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N24" i="3" s="1"/>
  <c r="O40" i="6"/>
  <c r="N22" i="3" s="1"/>
  <c r="O39" i="6"/>
  <c r="N21" i="3" s="1"/>
  <c r="M41" i="6"/>
  <c r="L23" i="3" s="1"/>
  <c r="M42" i="6"/>
  <c r="L24" i="3" s="1"/>
  <c r="C15" i="7"/>
  <c r="D15" i="7" s="1"/>
  <c r="C18" i="7"/>
  <c r="C24" i="7"/>
  <c r="C16" i="7"/>
  <c r="K12" i="8"/>
  <c r="K16" i="8" s="1"/>
  <c r="C6" i="5" s="1"/>
  <c r="B5" i="10" s="1"/>
  <c r="K34" i="6"/>
  <c r="J16" i="3" s="1"/>
  <c r="C34" i="6"/>
  <c r="C42" i="6"/>
  <c r="B24" i="3" s="1"/>
  <c r="C18" i="6"/>
  <c r="C40" i="6"/>
  <c r="J22" i="6"/>
  <c r="J43" i="6" s="1"/>
  <c r="M37" i="6"/>
  <c r="L19" i="3" s="1"/>
  <c r="M34" i="6"/>
  <c r="L16" i="3" s="1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A14" i="10" l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N8" i="8" s="1"/>
  <c r="D21" i="7"/>
  <c r="F21" i="7" s="1"/>
  <c r="E32" i="6"/>
  <c r="D14" i="3" s="1"/>
  <c r="E11" i="3"/>
  <c r="M22" i="8"/>
  <c r="N22" i="8" s="1"/>
  <c r="E30" i="6"/>
  <c r="D12" i="3" s="1"/>
  <c r="Q31" i="6"/>
  <c r="P13" i="3" s="1"/>
  <c r="F37" i="6"/>
  <c r="E19" i="3" s="1"/>
  <c r="Q30" i="6"/>
  <c r="P12" i="3" s="1"/>
  <c r="O30" i="3"/>
  <c r="J30" i="6"/>
  <c r="I12" i="3" s="1"/>
  <c r="Q36" i="6"/>
  <c r="P18" i="3" s="1"/>
  <c r="N25" i="8"/>
  <c r="Q32" i="6"/>
  <c r="P14" i="3" s="1"/>
  <c r="G11" i="3"/>
  <c r="D19" i="7"/>
  <c r="Q37" i="6"/>
  <c r="P19" i="3" s="1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A10" i="10" s="1"/>
  <c r="O7" i="8"/>
  <c r="R20" i="3"/>
  <c r="T20" i="3" s="1"/>
  <c r="S28" i="6"/>
  <c r="R19" i="3"/>
  <c r="T19" i="3" s="1"/>
  <c r="T37" i="6"/>
  <c r="N7" i="8"/>
  <c r="P31" i="6"/>
  <c r="O13" i="3" s="1"/>
  <c r="E8" i="5"/>
  <c r="L15" i="8"/>
  <c r="D7" i="5" s="1"/>
  <c r="C6" i="10" s="1"/>
  <c r="P32" i="6"/>
  <c r="S32" i="6" s="1"/>
  <c r="O15" i="3"/>
  <c r="R14" i="3"/>
  <c r="T14" i="3" s="1"/>
  <c r="J37" i="6"/>
  <c r="I19" i="3" s="1"/>
  <c r="S46" i="6"/>
  <c r="O28" i="3"/>
  <c r="J32" i="6"/>
  <c r="I14" i="3" s="1"/>
  <c r="I15" i="3"/>
  <c r="F18" i="6"/>
  <c r="F28" i="6" s="1"/>
  <c r="E10" i="3" s="1"/>
  <c r="M9" i="8"/>
  <c r="O9" i="8" s="1"/>
  <c r="K15" i="8"/>
  <c r="C7" i="5" s="1"/>
  <c r="B6" i="10" s="1"/>
  <c r="O12" i="8"/>
  <c r="J15" i="8"/>
  <c r="B7" i="5" s="1"/>
  <c r="A6" i="10" s="1"/>
  <c r="E31" i="6"/>
  <c r="D13" i="3" s="1"/>
  <c r="T32" i="6"/>
  <c r="E36" i="6"/>
  <c r="D18" i="3" s="1"/>
  <c r="B12" i="3"/>
  <c r="R11" i="3" s="1"/>
  <c r="T11" i="3" s="1"/>
  <c r="T29" i="6"/>
  <c r="H30" i="6"/>
  <c r="G12" i="3" s="1"/>
  <c r="J14" i="8"/>
  <c r="B8" i="5" s="1"/>
  <c r="B50" i="5" s="1"/>
  <c r="E37" i="6"/>
  <c r="D19" i="3" s="1"/>
  <c r="E41" i="6"/>
  <c r="D23" i="3" s="1"/>
  <c r="T31" i="6"/>
  <c r="H41" i="6"/>
  <c r="G23" i="3" s="1"/>
  <c r="H35" i="6"/>
  <c r="G17" i="3" s="1"/>
  <c r="O25" i="8"/>
  <c r="T43" i="6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B30" i="3"/>
  <c r="R30" i="3" s="1"/>
  <c r="T30" i="3" s="1"/>
  <c r="T48" i="6"/>
  <c r="E20" i="3"/>
  <c r="F35" i="6"/>
  <c r="E17" i="3" s="1"/>
  <c r="T34" i="6"/>
  <c r="B17" i="3"/>
  <c r="R16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R15" i="3" s="1"/>
  <c r="T15" i="3" s="1"/>
  <c r="T33" i="6"/>
  <c r="B11" i="4"/>
  <c r="D18" i="7"/>
  <c r="N11" i="8"/>
  <c r="J16" i="8"/>
  <c r="C22" i="3"/>
  <c r="R22" i="3" s="1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P26" i="3" s="1"/>
  <c r="Q45" i="6"/>
  <c r="P27" i="3" s="1"/>
  <c r="Q46" i="6"/>
  <c r="P28" i="3" s="1"/>
  <c r="Q47" i="6"/>
  <c r="P29" i="3" s="1"/>
  <c r="E18" i="7"/>
  <c r="B22" i="3"/>
  <c r="R21" i="3" s="1"/>
  <c r="T21" i="3" s="1"/>
  <c r="T39" i="6"/>
  <c r="E15" i="7"/>
  <c r="F15" i="7" s="1"/>
  <c r="B8" i="4"/>
  <c r="C29" i="3"/>
  <c r="T47" i="6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R26" i="3" s="1"/>
  <c r="T26" i="3" s="1"/>
  <c r="T44" i="6"/>
  <c r="B11" i="3"/>
  <c r="R10" i="3" s="1"/>
  <c r="T10" i="3" s="1"/>
  <c r="T28" i="6"/>
  <c r="T30" i="6"/>
  <c r="T42" i="6"/>
  <c r="C24" i="3"/>
  <c r="R24" i="3" s="1"/>
  <c r="T24" i="3" s="1"/>
  <c r="L16" i="8"/>
  <c r="P12" i="8" s="1"/>
  <c r="P20" i="3"/>
  <c r="Q34" i="6"/>
  <c r="P16" i="3" s="1"/>
  <c r="Q35" i="6"/>
  <c r="P17" i="3" s="1"/>
  <c r="Q42" i="6"/>
  <c r="P24" i="3" s="1"/>
  <c r="Q39" i="6"/>
  <c r="P21" i="3" s="1"/>
  <c r="Q40" i="6"/>
  <c r="P22" i="3" s="1"/>
  <c r="Q41" i="6"/>
  <c r="P23" i="3" s="1"/>
  <c r="C27" i="3"/>
  <c r="R27" i="3" s="1"/>
  <c r="T27" i="3" s="1"/>
  <c r="T45" i="6"/>
  <c r="B17" i="4"/>
  <c r="E24" i="7"/>
  <c r="D24" i="7"/>
  <c r="R25" i="3"/>
  <c r="T25" i="3" s="1"/>
  <c r="J30" i="8"/>
  <c r="L30" i="8"/>
  <c r="N21" i="8"/>
  <c r="O21" i="8"/>
  <c r="M21" i="8"/>
  <c r="E5" i="5"/>
  <c r="E11" i="5" s="1"/>
  <c r="K30" i="8"/>
  <c r="P35" i="6"/>
  <c r="T35" i="6"/>
  <c r="C17" i="3"/>
  <c r="C23" i="3"/>
  <c r="T41" i="6"/>
  <c r="I20" i="3"/>
  <c r="J41" i="6"/>
  <c r="I23" i="3" s="1"/>
  <c r="J39" i="6"/>
  <c r="I21" i="3" s="1"/>
  <c r="J40" i="6"/>
  <c r="I22" i="3" s="1"/>
  <c r="J42" i="6"/>
  <c r="I24" i="3" s="1"/>
  <c r="C28" i="3"/>
  <c r="R28" i="3" s="1"/>
  <c r="T28" i="3" s="1"/>
  <c r="T46" i="6"/>
  <c r="N5" i="8"/>
  <c r="O5" i="8"/>
  <c r="J17" i="7"/>
  <c r="T22" i="3" l="1"/>
  <c r="T16" i="3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R29" i="3"/>
  <c r="T29" i="3" s="1"/>
  <c r="N23" i="8"/>
  <c r="K17" i="8"/>
  <c r="Q10" i="8"/>
  <c r="N9" i="8"/>
  <c r="O29" i="3"/>
  <c r="J17" i="8"/>
  <c r="R9" i="8"/>
  <c r="Q9" i="8"/>
  <c r="R23" i="3"/>
  <c r="T23" i="3" s="1"/>
  <c r="F24" i="7"/>
  <c r="H24" i="7" s="1"/>
  <c r="I17" i="4" s="1"/>
  <c r="Q7" i="8"/>
  <c r="R10" i="8"/>
  <c r="P8" i="8"/>
  <c r="R6" i="8"/>
  <c r="I21" i="7"/>
  <c r="K21" i="7" s="1"/>
  <c r="H14" i="4" s="1"/>
  <c r="R18" i="3"/>
  <c r="T18" i="3" s="1"/>
  <c r="R13" i="3"/>
  <c r="T13" i="3" s="1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B4" i="10" s="1"/>
  <c r="P26" i="8"/>
  <c r="P23" i="8"/>
  <c r="P21" i="8"/>
  <c r="R22" i="8"/>
  <c r="R26" i="8"/>
  <c r="B5" i="5"/>
  <c r="A4" i="10" s="1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A5" i="10" s="1"/>
  <c r="R24" i="8"/>
  <c r="A8" i="10"/>
  <c r="B107" i="5"/>
  <c r="D6" i="5"/>
  <c r="C5" i="10" s="1"/>
  <c r="Q11" i="8"/>
  <c r="P11" i="8"/>
  <c r="R27" i="8"/>
  <c r="O18" i="3"/>
  <c r="S36" i="6"/>
  <c r="Q12" i="8"/>
  <c r="R12" i="8"/>
  <c r="O11" i="8"/>
  <c r="L17" i="8"/>
  <c r="R21" i="8"/>
  <c r="T50" i="6"/>
  <c r="P27" i="8"/>
  <c r="S34" i="6"/>
  <c r="O16" i="3"/>
  <c r="S41" i="6"/>
  <c r="O23" i="3"/>
  <c r="Q24" i="8"/>
  <c r="Q21" i="8"/>
  <c r="Q28" i="8"/>
  <c r="Q26" i="8"/>
  <c r="D5" i="5"/>
  <c r="C4" i="10" s="1"/>
  <c r="Q23" i="8"/>
  <c r="Q22" i="8"/>
  <c r="R12" i="3"/>
  <c r="T12" i="3" s="1"/>
  <c r="T32" i="3" s="1"/>
  <c r="F16" i="7"/>
  <c r="O24" i="3"/>
  <c r="S42" i="6"/>
  <c r="S40" i="6"/>
  <c r="O22" i="3"/>
  <c r="O24" i="8"/>
  <c r="A12" i="10"/>
  <c r="D10" i="4"/>
  <c r="M17" i="7"/>
  <c r="E10" i="4" s="1"/>
  <c r="J10" i="4"/>
  <c r="O17" i="7" l="1"/>
  <c r="M16" i="8"/>
  <c r="F6" i="5" s="1"/>
  <c r="N14" i="8"/>
  <c r="G8" i="5" s="1"/>
  <c r="C14" i="4"/>
  <c r="H8" i="5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6" i="5" s="1"/>
  <c r="B108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H7" i="5" s="1"/>
  <c r="M10" i="8"/>
  <c r="M15" i="8" s="1"/>
  <c r="F7" i="5" s="1"/>
  <c r="N10" i="8"/>
  <c r="N15" i="8" s="1"/>
  <c r="G7" i="5" s="1"/>
  <c r="O30" i="8"/>
  <c r="H5" i="5" s="1"/>
  <c r="L15" i="7"/>
  <c r="N15" i="7" s="1"/>
  <c r="J15" i="7"/>
  <c r="K15" i="7"/>
  <c r="H8" i="4" s="1"/>
  <c r="J24" i="7" l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M24" i="7"/>
  <c r="E17" i="4" s="1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09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<sst xmlns="http://schemas.openxmlformats.org/spreadsheetml/2006/main" count="677" uniqueCount="469">
  <si>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</si>
  <si>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</si>
  <si>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</si>
  <si>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</si>
  <si>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</si>
  <si>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</si>
  <si>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</si>
  <si>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</si>
  <si>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</si>
  <si>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</si>
  <si>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</si>
  <si>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</si>
  <si>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</si>
  <si>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</si>
  <si>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</si>
  <si>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</si>
  <si>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</si>
  <si>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</si>
  <si>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</si>
  <si>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</si>
  <si>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</si>
  <si>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</si>
  <si>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</si>
  <si>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</si>
  <si>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</si>
  <si>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</si>
  <si>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</si>
  <si>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</si>
  <si>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</si>
  <si>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</si>
  <si>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</si>
  <si>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</si>
  <si>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</si>
  <si>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</si>
  <si>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</si>
  <si>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</si>
  <si>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</si>
  <si>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</si>
  <si>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</si>
  <si>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</si>
  <si>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</si>
  <si>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</si>
  <si>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</si>
  <si>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</si>
  <si>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</si>
  <si>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</si>
  <si>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</si>
  <si>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</si>
  <si>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</si>
  <si>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</si>
  <si>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</si>
  <si>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</si>
  <si>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</si>
  <si>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</si>
  <si>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</si>
  <si>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</si>
  <si>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</si>
  <si>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</si>
  <si>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</si>
  <si>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</si>
  <si>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</si>
  <si>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</si>
  <si>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</si>
  <si>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</si>
  <si>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</si>
  <si>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</si>
  <si>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</si>
  <si>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</si>
  <si>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</si>
  <si>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</si>
  <si>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</si>
  <si>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</si>
  <si>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</si>
  <si>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</si>
  <si>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</si>
  <si>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</si>
  <si>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</si>
  <si>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</si>
  <si>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</si>
  <si>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</si>
  <si>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</si>
  <si>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</si>
  <si>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</si>
  <si>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</si>
  <si>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</si>
  <si>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</si>
  <si>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</si>
  <si>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</si>
  <si>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</si>
  <si>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</si>
  <si>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</si>
  <si>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</si>
  <si>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</si>
  <si>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</si>
  <si>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</si>
  <si>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</si>
  <si>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</si>
  <si>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</si>
  <si>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</si>
  <si>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</si>
  <si>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</si>
  <si>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</si>
  <si>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</si>
  <si>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</si>
  <si>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</si>
  <si>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</si>
  <si>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</si>
  <si>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</si>
  <si>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</si>
  <si>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</si>
  <si>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</si>
  <si>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</si>
  <si>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</si>
  <si>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</si>
  <si>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</si>
  <si>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</si>
  <si>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</si>
  <si>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</si>
  <si>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</si>
  <si>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</si>
  <si>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</si>
  <si>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</si>
  <si>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</si>
  <si>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</si>
  <si>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</si>
  <si>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</si>
  <si>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</si>
  <si>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</si>
  <si>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</si>
  <si>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</si>
  <si>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</si>
  <si>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</si>
  <si>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</si>
  <si>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</si>
  <si>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</si>
  <si>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</si>
  <si>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</si>
  <si>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</si>
  <si>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</si>
  <si>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</si>
  <si>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</si>
  <si>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</si>
  <si>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</si>
  <si>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</si>
  <si>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</si>
  <si>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</si>
  <si>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</si>
  <si>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</si>
  <si>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</si>
  <si>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</si>
  <si>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</si>
  <si>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</si>
  <si>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</si>
  <si>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</si>
  <si>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</si>
  <si>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</si>
  <si>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</si>
  <si>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</si>
  <si>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</si>
  <si>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</si>
  <si>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</si>
  <si>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</si>
  <si>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</si>
  <si>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</si>
  <si>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</si>
  <si>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</si>
  <si>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</si>
  <si>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</si>
  <si>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</si>
  <si>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</si>
  <si>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</si>
  <si>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</si>
  <si>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</si>
  <si>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</si>
  <si>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</si>
  <si>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</si>
  <si>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</si>
  <si>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</si>
  <si>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</si>
  <si>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</si>
  <si>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</si>
  <si>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</si>
  <si>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</si>
  <si>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</si>
  <si>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</si>
  <si>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</si>
  <si>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</si>
  <si>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</si>
  <si>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</si>
  <si>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</si>
  <si>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</si>
  <si>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</si>
  <si>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</si>
  <si>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</si>
  <si>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</si>
  <si>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</si>
  <si>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</si>
  <si>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</si>
  <si>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</si>
  <si>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</si>
  <si>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</si>
  <si>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</si>
  <si>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</si>
  <si>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</si>
  <si>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</si>
  <si>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</si>
  <si>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</si>
  <si>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</si>
  <si>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</si>
  <si>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</si>
  <si>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</si>
  <si>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</si>
  <si>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</si>
  <si>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</si>
  <si>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</si>
  <si>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</si>
  <si>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</si>
  <si>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</si>
  <si>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</si>
  <si>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</si>
  <si>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</si>
  <si>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</si>
  <si>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</si>
  <si>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</si>
  <si>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</si>
  <si>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</si>
  <si>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</si>
  <si>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</si>
  <si>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</si>
  <si>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</si>
  <si>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</si>
  <si>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</si>
  <si>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</si>
  <si>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</si>
  <si>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</si>
  <si>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</si>
  <si>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</si>
  <si>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</si>
  <si>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</si>
  <si>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</si>
  <si>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</si>
  <si>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</si>
  <si>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</si>
  <si>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</si>
  <si>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</si>
  <si>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</si>
  <si>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</si>
  <si>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</si>
  <si>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</si>
  <si>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</si>
  <si>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</si>
  <si>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</si>
  <si>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</si>
  <si>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</si>
  <si>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</si>
  <si>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</si>
  <si>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</si>
  <si>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</si>
  <si>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</si>
  <si>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</si>
  <si>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</si>
  <si>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</si>
  <si>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</si>
  <si>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</si>
  <si>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</si>
  <si>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</si>
  <si>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</si>
  <si>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</si>
  <si>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</si>
  <si>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</si>
  <si>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</si>
  <si>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</si>
  <si>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</si>
  <si>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</si>
  <si>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</si>
  <si>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</si>
  <si>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</si>
  <si>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</si>
  <si>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</si>
  <si>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</si>
  <si>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</si>
  <si>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</si>
  <si>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</si>
  <si>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</si>
  <si>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</si>
  <si>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</si>
  <si>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</si>
  <si>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</si>
  <si>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</si>
  <si>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</si>
  <si>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</si>
  <si>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</si>
  <si>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</si>
  <si>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</si>
  <si>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</si>
  <si>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</si>
  <si>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</si>
  <si>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</si>
  <si>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</si>
  <si>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</si>
  <si>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</si>
  <si>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</si>
  <si>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</si>
  <si>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</si>
  <si>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</si>
  <si>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</si>
  <si>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</si>
  <si>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</si>
  <si>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</si>
  <si>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</si>
  <si>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</si>
  <si>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</si>
  <si>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</si>
  <si>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</si>
  <si>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</si>
  <si>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</si>
  <si>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</si>
  <si>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</si>
  <si>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</si>
  <si>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</si>
  <si>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</si>
  <si>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</si>
  <si>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</si>
  <si>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</si>
  <si>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</si>
  <si>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</si>
  <si>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</si>
  <si>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</si>
  <si>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</si>
  <si>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</si>
  <si>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</si>
  <si>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</si>
  <si>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</si>
  <si>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</si>
  <si>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</si>
  <si>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</si>
  <si>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</si>
  <si>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</si>
  <si>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</si>
  <si>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</si>
  <si>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</si>
  <si>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</si>
  <si>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</si>
  <si>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</si>
  <si>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</si>
  <si>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</si>
  <si>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</si>
  <si>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</si>
  <si>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</si>
  <si>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</si>
  <si>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</si>
  <si>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</si>
  <si>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</si>
  <si>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</si>
  <si>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</si>
  <si>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</si>
  <si>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</si>
  <si>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</si>
  <si>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</si>
  <si>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</si>
  <si>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</si>
  <si>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</si>
  <si>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</si>
  <si>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</si>
  <si>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</si>
  <si>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</si>
  <si>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</si>
  <si>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</si>
  <si>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</si>
  <si>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</si>
  <si>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</si>
  <si>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</si>
  <si>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</si>
  <si>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</si>
  <si>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</si>
  <si>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</si>
  <si>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</si>
  <si>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</si>
  <si>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</si>
  <si>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</si>
  <si>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</si>
  <si>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</si>
  <si>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</si>
  <si>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</si>
  <si>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</si>
  <si>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</si>
  <si>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</si>
  <si>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</si>
  <si>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</si>
  <si>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</si>
  <si>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</si>
  <si>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</si>
  <si>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</si>
  <si>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</si>
  <si>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</si>
  <si>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</si>
  <si>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</si>
  <si>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</si>
  <si>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</si>
  <si>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</si>
  <si>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</si>
  <si>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</si>
  <si>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</si>
  <si>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 xml:space="preserve">      Airfoil ID</t>
  </si>
  <si>
    <t>blade modal damping ratios</t>
  </si>
  <si>
    <t>RotorDiameter</t>
  </si>
  <si>
    <t>HubDiameter</t>
  </si>
  <si>
    <t>Airfoils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</si>
  <si>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</si>
  <si>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</si>
  <si>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</si>
  <si>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</si>
  <si>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</si>
  <si>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</si>
  <si>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</si>
  <si>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Coning angle (deg)</t>
  </si>
  <si>
    <t>Hub mass (kg)</t>
  </si>
  <si>
    <t>Nacelle YInteria (kg m^2)</t>
  </si>
  <si>
    <t>mass</t>
  </si>
  <si>
    <t>I</t>
  </si>
  <si>
    <t>Hub intertia (kg m^2)</t>
  </si>
  <si>
    <t>GenRatedRPM</t>
  </si>
  <si>
    <t>Drivetrain torsoinal spring</t>
  </si>
  <si>
    <t>BladeSchedule</t>
  </si>
  <si>
    <t>StrctBldNodes (%R)</t>
  </si>
  <si>
    <t>DistanceHHtoTowerTop</t>
  </si>
  <si>
    <t>TopThickness (m)</t>
  </si>
  <si>
    <t>TopDiameter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</si>
  <si>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</si>
  <si>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</si>
  <si>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</si>
  <si>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</si>
  <si>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</si>
  <si>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</si>
  <si>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</si>
  <si>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NADBldNodes</t>
  </si>
  <si>
    <t>Mainframe mass</t>
  </si>
  <si>
    <t>GenShaft mass</t>
  </si>
  <si>
    <t>Rotshaft mass</t>
  </si>
  <si>
    <t>&lt;-- added this (JR)</t>
  </si>
  <si>
    <t>Rated (high speed shaft) torque (N-m)</t>
  </si>
  <si>
    <t>MinPitchAng (deg)</t>
  </si>
  <si>
    <t>MaxPitchAng (deg)</t>
  </si>
  <si>
    <t>ADBladNodes (x/L)</t>
  </si>
  <si>
    <t>AirDensity</t>
  </si>
  <si>
    <t>CpMax</t>
  </si>
  <si>
    <t>TSROpt</t>
  </si>
  <si>
    <t>Torque control data:</t>
  </si>
  <si>
    <t>Max. Cp</t>
  </si>
  <si>
    <t>Optimal tip-speed ratio</t>
  </si>
  <si>
    <t>&lt;-- changed this (JR)</t>
  </si>
  <si>
    <t>Generator efficiency</t>
  </si>
  <si>
    <t>Rated Power (W)</t>
  </si>
  <si>
    <t>s818_2703.dat</t>
  </si>
  <si>
    <t>s825_2103.dat</t>
  </si>
  <si>
    <t>s826_1603.dat</t>
  </si>
  <si>
    <t>&lt;-- changed to "sXXX_XX03.dat" (JR)</t>
  </si>
  <si>
    <t>tower modal damping ratios</t>
  </si>
  <si>
    <t>Tower damping (%)</t>
  </si>
  <si>
    <t>BladeDamping (%)</t>
  </si>
  <si>
    <t>Cylinder changed to produce correct AeroCent</t>
  </si>
  <si>
    <t>GenIner (LSS reference frame)</t>
  </si>
  <si>
    <t>&lt;-- fixed this (JR)</t>
  </si>
  <si>
    <t>Rotor inertia (kg-m^2)</t>
  </si>
  <si>
    <t>Drivetrain damping (% critical)</t>
  </si>
  <si>
    <t>Drivetrain damping</t>
  </si>
  <si>
    <t>Nacelle Mass</t>
  </si>
  <si>
    <t>Hub Mass</t>
  </si>
  <si>
    <t>Generator 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</si>
</sst>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"/>
    <numFmt numFmtId="169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3" fillId="0" borderId="39" xfId="0" applyFont="1" applyBorder="1"/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167" fontId="0" fillId="6" borderId="0" xfId="0" applyNumberFormat="1" applyFill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169" fontId="0" fillId="6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5" fontId="19" fillId="4" borderId="1" xfId="0" applyNumberFormat="1" applyFont="1" applyFill="1" applyBorder="1" applyAlignment="1">
      <alignment horizontal="center"/>
    </xf>
    <xf numFmtId="165" fontId="0" fillId="0" borderId="0" xfId="0" applyNumberFormat="1"/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5792"/>
        <c:axId val="64387712"/>
      </c:scatterChart>
      <c:valAx>
        <c:axId val="64385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87712"/>
        <c:crossesAt val="-10"/>
        <c:crossBetween val="midCat"/>
      </c:valAx>
      <c:valAx>
        <c:axId val="6438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857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54</xdr:row>
      <xdr:rowOff>95250</xdr:rowOff>
    </xdr:from>
    <xdr:to>
      <xdr:col>15</xdr:col>
      <xdr:colOff>514350</xdr:colOff>
      <xdr:row>72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41</xdr:row>
      <xdr:rowOff>66675</xdr:rowOff>
    </xdr:from>
    <xdr:to>
      <xdr:col>7</xdr:col>
      <xdr:colOff>542925</xdr:colOff>
      <xdr:row>46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zoomScale="115" zoomScaleNormal="115" workbookViewId="0">
      <selection activeCell="H5" sqref="H5"/>
    </sheetView>
  </sheetViews>
  <sheetFormatPr defaultRowHeight="11.25"/>
  <cols>
    <col min="1" max="1" width="34.83203125" customWidth="1"/>
    <col min="2" max="2" width="10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4" t="s">
        <v>398</v>
      </c>
      <c r="C1" s="400" t="s">
        <v>396</v>
      </c>
      <c r="D1" s="401"/>
      <c r="E1" s="401"/>
      <c r="F1" s="401"/>
      <c r="G1" s="401"/>
      <c r="H1" s="402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4" t="s">
        <v>119</v>
      </c>
      <c r="C3" s="395"/>
      <c r="D3" s="396"/>
      <c r="E3" s="35"/>
      <c r="F3" s="397" t="s">
        <v>18</v>
      </c>
      <c r="G3" s="398"/>
      <c r="H3" s="399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2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50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2.5">
      <c r="A14" s="61" t="s">
        <v>43</v>
      </c>
      <c r="B14" s="353">
        <f>PI()*(B64^4-B65^4)/32/(GECdrivetrain!C7)*GECtwrdata!F7</f>
        <v>483129639.71309441</v>
      </c>
      <c r="D14" s="356" t="s">
        <v>462</v>
      </c>
      <c r="E14" s="357"/>
      <c r="G14" s="350"/>
    </row>
    <row r="15" spans="1:8">
      <c r="A15" s="61" t="s">
        <v>464</v>
      </c>
      <c r="B15" s="389">
        <v>5</v>
      </c>
      <c r="D15" s="356" t="s">
        <v>439</v>
      </c>
      <c r="E15" s="357"/>
      <c r="F15" s="332"/>
      <c r="G15" s="350"/>
    </row>
    <row r="16" spans="1:8">
      <c r="A16" s="61" t="s">
        <v>463</v>
      </c>
      <c r="B16" s="389">
        <v>2953248.5</v>
      </c>
      <c r="D16" s="356" t="s">
        <v>439</v>
      </c>
      <c r="E16" s="357"/>
      <c r="H16" s="103"/>
    </row>
    <row r="17" spans="1:21" ht="23.4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03" t="s">
        <v>373</v>
      </c>
      <c r="E19" s="402"/>
      <c r="F19" s="402"/>
      <c r="G19" s="354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03" t="s">
        <v>372</v>
      </c>
      <c r="E20" s="402"/>
      <c r="F20" s="402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4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61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" customHeight="1">
      <c r="A24" s="100" t="s">
        <v>74</v>
      </c>
      <c r="B24" s="269">
        <f>B86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2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B89</f>
        <v>1500</v>
      </c>
      <c r="G26" s="89"/>
      <c r="H26" s="12"/>
    </row>
    <row r="28" spans="1:21" ht="12.6" customHeight="1">
      <c r="A28" s="387" t="s">
        <v>78</v>
      </c>
      <c r="B28" s="29"/>
    </row>
    <row r="29" spans="1:21" ht="21" customHeight="1">
      <c r="A29" s="100" t="s">
        <v>79</v>
      </c>
      <c r="B29" s="91">
        <f>B86</f>
        <v>20.462778397529398</v>
      </c>
    </row>
    <row r="30" spans="1:21" ht="9.75" customHeight="1">
      <c r="A30" s="100" t="s">
        <v>375</v>
      </c>
      <c r="B30" s="268">
        <f>B89*1000/(B29*PI()/30)/(B19-C19-B20-C20)</f>
        <v>756756.7567567568</v>
      </c>
    </row>
    <row r="31" spans="1:21" ht="9.75" customHeight="1">
      <c r="A31" s="358" t="s">
        <v>440</v>
      </c>
      <c r="B31" s="268">
        <f>B89*1000/(B84*PI()/30)/(B19)</f>
        <v>8376.5759522050193</v>
      </c>
      <c r="D31" s="356" t="s">
        <v>450</v>
      </c>
      <c r="E31" s="357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62"/>
      <c r="B37" s="367"/>
    </row>
    <row r="38" spans="1:5" ht="12" customHeight="1">
      <c r="A38" s="109" t="s">
        <v>447</v>
      </c>
      <c r="B38" s="29"/>
      <c r="D38" s="356" t="s">
        <v>439</v>
      </c>
      <c r="E38" s="357"/>
    </row>
    <row r="39" spans="1:5" ht="12" customHeight="1">
      <c r="A39" s="100" t="s">
        <v>448</v>
      </c>
      <c r="B39" s="274">
        <v>0.45</v>
      </c>
      <c r="D39" s="356" t="s">
        <v>439</v>
      </c>
      <c r="E39" s="357"/>
    </row>
    <row r="40" spans="1:5" ht="12" customHeight="1">
      <c r="A40" s="100" t="s">
        <v>449</v>
      </c>
      <c r="B40" s="363">
        <v>7</v>
      </c>
      <c r="D40" s="356" t="s">
        <v>439</v>
      </c>
      <c r="E40" s="357"/>
    </row>
    <row r="41" spans="1:5" ht="12.75" customHeight="1">
      <c r="A41" s="100"/>
      <c r="B41" s="365"/>
      <c r="D41" s="366"/>
      <c r="E41" s="5"/>
    </row>
    <row r="42" spans="1:5">
      <c r="A42" s="109" t="s">
        <v>122</v>
      </c>
      <c r="B42" s="54"/>
    </row>
    <row r="43" spans="1:5" ht="17.25" customHeight="1">
      <c r="A43" s="100" t="s">
        <v>206</v>
      </c>
      <c r="B43" s="275">
        <v>1.61</v>
      </c>
    </row>
    <row r="44" spans="1:5">
      <c r="A44" s="100" t="s">
        <v>123</v>
      </c>
      <c r="B44" s="276">
        <v>2.5649999999999999</v>
      </c>
    </row>
    <row r="45" spans="1:5" ht="15" customHeight="1">
      <c r="A45" s="100" t="s">
        <v>124</v>
      </c>
      <c r="B45" s="276">
        <v>10.26</v>
      </c>
    </row>
    <row r="46" spans="1:5" ht="11.25" customHeight="1">
      <c r="A46" s="100" t="s">
        <v>125</v>
      </c>
      <c r="B46" s="276">
        <v>5.6627999999999998</v>
      </c>
    </row>
    <row r="47" spans="1:5" ht="13.5" customHeight="1">
      <c r="A47" s="100" t="s">
        <v>126</v>
      </c>
      <c r="B47" s="276">
        <v>17.39</v>
      </c>
    </row>
    <row r="48" spans="1:5" ht="13.5" customHeight="1">
      <c r="A48" s="100" t="s">
        <v>384</v>
      </c>
      <c r="B48" s="329">
        <v>5</v>
      </c>
    </row>
    <row r="49" spans="1:4" ht="18" customHeight="1">
      <c r="A49" s="109" t="s">
        <v>382</v>
      </c>
      <c r="B49" s="63"/>
    </row>
    <row r="50" spans="1:4" ht="13.5" customHeight="1">
      <c r="A50" s="100" t="s">
        <v>383</v>
      </c>
      <c r="B50" s="105">
        <f>ABS(B8)+B13/2*(B11+B18)/57.3-0.5*(B44+B13/2/B9*(B46-B44))</f>
        <v>4.4262262216404888</v>
      </c>
    </row>
    <row r="52" spans="1:4">
      <c r="A52" s="2" t="s">
        <v>12</v>
      </c>
      <c r="C52" s="5"/>
    </row>
    <row r="53" spans="1:4">
      <c r="A53" s="110" t="s">
        <v>127</v>
      </c>
      <c r="B53" s="277">
        <v>3.5</v>
      </c>
      <c r="C53" t="s">
        <v>85</v>
      </c>
      <c r="D53" t="s">
        <v>128</v>
      </c>
    </row>
    <row r="54" spans="1:4">
      <c r="A54" s="110" t="s">
        <v>129</v>
      </c>
      <c r="B54" s="277">
        <v>1.8859999999999999</v>
      </c>
      <c r="C54" t="s">
        <v>85</v>
      </c>
      <c r="D54" s="271" t="s">
        <v>380</v>
      </c>
    </row>
    <row r="55" spans="1:4" ht="10.9" customHeight="1">
      <c r="A55" s="110" t="s">
        <v>130</v>
      </c>
      <c r="B55" s="277">
        <v>1.6586999999999998</v>
      </c>
      <c r="C55" t="s">
        <v>85</v>
      </c>
      <c r="D55" t="s">
        <v>399</v>
      </c>
    </row>
    <row r="56" spans="1:4">
      <c r="A56" s="110" t="s">
        <v>131</v>
      </c>
      <c r="B56" s="277">
        <v>0.05</v>
      </c>
      <c r="C56" t="s">
        <v>85</v>
      </c>
      <c r="D56" s="271" t="s">
        <v>376</v>
      </c>
    </row>
    <row r="57" spans="1:4">
      <c r="A57" s="18" t="s">
        <v>132</v>
      </c>
      <c r="B57" s="278">
        <v>7850</v>
      </c>
      <c r="C57" t="s">
        <v>102</v>
      </c>
    </row>
    <row r="58" spans="1:4">
      <c r="A58" s="18" t="s">
        <v>133</v>
      </c>
      <c r="B58" s="277">
        <v>-3.3</v>
      </c>
      <c r="C58" t="s">
        <v>85</v>
      </c>
      <c r="D58" t="s">
        <v>134</v>
      </c>
    </row>
    <row r="59" spans="1:4">
      <c r="A59" s="18" t="s">
        <v>135</v>
      </c>
      <c r="B59" s="277">
        <v>0</v>
      </c>
      <c r="C59" t="s">
        <v>85</v>
      </c>
    </row>
    <row r="60" spans="1:4">
      <c r="A60" s="18" t="s">
        <v>136</v>
      </c>
      <c r="B60" s="277">
        <v>0</v>
      </c>
      <c r="C60" t="s">
        <v>85</v>
      </c>
    </row>
    <row r="61" spans="1:4">
      <c r="A61" s="18"/>
      <c r="B61" s="124"/>
    </row>
    <row r="62" spans="1:4">
      <c r="A62" s="111" t="s">
        <v>137</v>
      </c>
      <c r="B62" s="125"/>
    </row>
    <row r="63" spans="1:4">
      <c r="A63" s="18" t="s">
        <v>138</v>
      </c>
      <c r="B63" s="277">
        <v>1.98</v>
      </c>
      <c r="C63" t="s">
        <v>85</v>
      </c>
      <c r="D63" t="s">
        <v>379</v>
      </c>
    </row>
    <row r="64" spans="1:4">
      <c r="A64" s="18" t="s">
        <v>139</v>
      </c>
      <c r="B64" s="277">
        <v>0.60419999999999996</v>
      </c>
      <c r="C64" t="s">
        <v>85</v>
      </c>
    </row>
    <row r="65" spans="1:10">
      <c r="A65" s="18" t="s">
        <v>140</v>
      </c>
      <c r="B65" s="277">
        <v>0.28499999999999998</v>
      </c>
      <c r="C65" t="s">
        <v>85</v>
      </c>
      <c r="D65" t="s">
        <v>141</v>
      </c>
    </row>
    <row r="66" spans="1:10">
      <c r="A66" s="18" t="s">
        <v>132</v>
      </c>
      <c r="B66" s="278">
        <v>7850</v>
      </c>
      <c r="C66" t="s">
        <v>102</v>
      </c>
    </row>
    <row r="67" spans="1:10">
      <c r="A67" s="18" t="s">
        <v>135</v>
      </c>
      <c r="B67" s="277">
        <v>0</v>
      </c>
      <c r="C67" t="s">
        <v>85</v>
      </c>
      <c r="D67" t="s">
        <v>142</v>
      </c>
    </row>
    <row r="68" spans="1:10">
      <c r="A68" s="18" t="s">
        <v>136</v>
      </c>
      <c r="B68" s="277">
        <v>0</v>
      </c>
      <c r="C68" t="s">
        <v>85</v>
      </c>
    </row>
    <row r="69" spans="1:10">
      <c r="A69" s="18"/>
      <c r="B69" s="124"/>
      <c r="H69" s="103">
        <f>B63</f>
        <v>1.98</v>
      </c>
      <c r="I69" t="s">
        <v>418</v>
      </c>
      <c r="J69" t="s">
        <v>419</v>
      </c>
    </row>
    <row r="70" spans="1:10">
      <c r="A70" s="111" t="s">
        <v>143</v>
      </c>
      <c r="B70" s="125"/>
      <c r="H70">
        <f>B64/2</f>
        <v>0.30209999999999998</v>
      </c>
      <c r="I70">
        <f>B66*H69*PI()*(H70^2-H71^2)</f>
        <v>3464.8709598770952</v>
      </c>
      <c r="J70">
        <f>0.5*I70*(H70^2+H71^2)</f>
        <v>193.2889699041605</v>
      </c>
    </row>
    <row r="71" spans="1:10">
      <c r="A71" s="18" t="s">
        <v>144</v>
      </c>
      <c r="B71" s="277">
        <v>-2.31</v>
      </c>
      <c r="C71" t="s">
        <v>85</v>
      </c>
      <c r="D71" t="s">
        <v>145</v>
      </c>
      <c r="H71">
        <f>B65/2</f>
        <v>0.14249999999999999</v>
      </c>
    </row>
    <row r="72" spans="1:10">
      <c r="A72" s="18" t="s">
        <v>146</v>
      </c>
      <c r="B72" s="277">
        <v>0</v>
      </c>
      <c r="C72" t="s">
        <v>85</v>
      </c>
    </row>
    <row r="73" spans="1:10">
      <c r="A73" s="18" t="s">
        <v>147</v>
      </c>
      <c r="B73" s="277">
        <v>0</v>
      </c>
      <c r="C73" t="s">
        <v>85</v>
      </c>
    </row>
    <row r="74" spans="1:10">
      <c r="A74" s="18" t="s">
        <v>148</v>
      </c>
      <c r="B74" s="277">
        <v>-0.66</v>
      </c>
      <c r="C74" t="s">
        <v>85</v>
      </c>
      <c r="D74" t="s">
        <v>149</v>
      </c>
    </row>
    <row r="75" spans="1:10">
      <c r="A75" s="18" t="s">
        <v>150</v>
      </c>
      <c r="B75" s="277">
        <v>0</v>
      </c>
      <c r="C75" t="s">
        <v>85</v>
      </c>
    </row>
    <row r="76" spans="1:10">
      <c r="A76" s="18" t="s">
        <v>151</v>
      </c>
      <c r="B76" s="277">
        <v>0</v>
      </c>
      <c r="C76" t="s">
        <v>85</v>
      </c>
    </row>
    <row r="77" spans="1:10">
      <c r="A77" s="18"/>
      <c r="B77" s="125"/>
    </row>
    <row r="78" spans="1:10">
      <c r="A78" s="111" t="s">
        <v>152</v>
      </c>
      <c r="B78" s="125"/>
    </row>
    <row r="79" spans="1:10">
      <c r="A79" s="18" t="s">
        <v>153</v>
      </c>
      <c r="B79" s="279">
        <v>10602.62</v>
      </c>
      <c r="C79" t="s">
        <v>117</v>
      </c>
      <c r="D79" t="s">
        <v>154</v>
      </c>
    </row>
    <row r="80" spans="1:10">
      <c r="A80" s="18" t="s">
        <v>133</v>
      </c>
      <c r="B80" s="277">
        <v>0</v>
      </c>
      <c r="C80" t="s">
        <v>85</v>
      </c>
      <c r="D80" t="s">
        <v>155</v>
      </c>
    </row>
    <row r="81" spans="1:4">
      <c r="A81" s="18" t="s">
        <v>135</v>
      </c>
      <c r="B81" s="277">
        <v>0</v>
      </c>
      <c r="C81" t="s">
        <v>85</v>
      </c>
    </row>
    <row r="82" spans="1:4">
      <c r="A82" s="18" t="s">
        <v>136</v>
      </c>
      <c r="B82" s="277">
        <v>0</v>
      </c>
      <c r="C82" t="s">
        <v>85</v>
      </c>
    </row>
    <row r="83" spans="1:4">
      <c r="A83" s="18" t="s">
        <v>392</v>
      </c>
      <c r="B83" s="277">
        <v>75</v>
      </c>
      <c r="C83" t="s">
        <v>393</v>
      </c>
    </row>
    <row r="84" spans="1:4">
      <c r="A84" s="18" t="s">
        <v>394</v>
      </c>
      <c r="B84" s="277">
        <v>1800</v>
      </c>
      <c r="C84" t="s">
        <v>395</v>
      </c>
    </row>
    <row r="85" spans="1:4">
      <c r="A85" s="18" t="s">
        <v>156</v>
      </c>
      <c r="B85" s="333">
        <f>1800/B86</f>
        <v>87.964594300514221</v>
      </c>
    </row>
    <row r="86" spans="1:4">
      <c r="A86" s="18" t="s">
        <v>157</v>
      </c>
      <c r="B86" s="333">
        <f>B83/B13*2*30/PI()</f>
        <v>20.462778397529398</v>
      </c>
    </row>
    <row r="87" spans="1:4">
      <c r="A87" s="18"/>
      <c r="B87" s="123"/>
    </row>
    <row r="88" spans="1:4">
      <c r="A88" s="111" t="s">
        <v>158</v>
      </c>
      <c r="B88" s="125"/>
    </row>
    <row r="89" spans="1:4">
      <c r="A89" s="18" t="s">
        <v>159</v>
      </c>
      <c r="B89" s="280">
        <v>1500</v>
      </c>
      <c r="C89" t="s">
        <v>160</v>
      </c>
    </row>
    <row r="90" spans="1:4">
      <c r="A90" s="18" t="s">
        <v>133</v>
      </c>
      <c r="B90" s="277">
        <v>0.82499999999999996</v>
      </c>
      <c r="C90" t="s">
        <v>85</v>
      </c>
      <c r="D90" t="s">
        <v>161</v>
      </c>
    </row>
    <row r="91" spans="1:4">
      <c r="A91" s="18" t="s">
        <v>135</v>
      </c>
      <c r="B91" s="281">
        <v>0</v>
      </c>
      <c r="C91" t="s">
        <v>85</v>
      </c>
    </row>
    <row r="92" spans="1:4">
      <c r="A92" s="18" t="s">
        <v>136</v>
      </c>
      <c r="B92" s="281">
        <v>0</v>
      </c>
      <c r="C92" t="s">
        <v>85</v>
      </c>
    </row>
    <row r="93" spans="1:4">
      <c r="A93" s="18"/>
      <c r="B93" s="126"/>
    </row>
    <row r="94" spans="1:4">
      <c r="A94" s="111" t="s">
        <v>162</v>
      </c>
      <c r="B94" s="126"/>
    </row>
    <row r="95" spans="1:4">
      <c r="A95" s="18" t="s">
        <v>138</v>
      </c>
      <c r="B95" s="281">
        <v>2.31</v>
      </c>
      <c r="C95" t="s">
        <v>85</v>
      </c>
      <c r="D95" t="s">
        <v>163</v>
      </c>
    </row>
    <row r="96" spans="1:4">
      <c r="A96" s="18" t="s">
        <v>164</v>
      </c>
      <c r="B96" s="277">
        <v>2.4750000000000001</v>
      </c>
      <c r="C96" t="s">
        <v>85</v>
      </c>
      <c r="D96" t="s">
        <v>165</v>
      </c>
    </row>
    <row r="97" spans="1:11">
      <c r="A97" s="18" t="s">
        <v>166</v>
      </c>
      <c r="B97" s="277">
        <v>1.1880000000000002</v>
      </c>
      <c r="C97" t="s">
        <v>85</v>
      </c>
    </row>
    <row r="98" spans="1:11">
      <c r="A98" s="18" t="s">
        <v>167</v>
      </c>
      <c r="B98" s="277">
        <v>0.191</v>
      </c>
      <c r="C98" t="s">
        <v>85</v>
      </c>
    </row>
    <row r="99" spans="1:11">
      <c r="A99" s="18" t="s">
        <v>168</v>
      </c>
      <c r="B99" s="277">
        <v>0.17399999999999999</v>
      </c>
      <c r="C99" t="s">
        <v>85</v>
      </c>
    </row>
    <row r="100" spans="1:11">
      <c r="A100" s="18" t="s">
        <v>132</v>
      </c>
      <c r="B100" s="278">
        <v>7850</v>
      </c>
      <c r="C100" t="s">
        <v>85</v>
      </c>
    </row>
    <row r="101" spans="1:11">
      <c r="A101" s="18" t="s">
        <v>133</v>
      </c>
      <c r="B101" s="281">
        <v>0</v>
      </c>
      <c r="C101" t="s">
        <v>85</v>
      </c>
    </row>
    <row r="102" spans="1:11">
      <c r="A102" s="18" t="s">
        <v>135</v>
      </c>
      <c r="B102" s="281">
        <v>0</v>
      </c>
      <c r="C102" t="s">
        <v>85</v>
      </c>
    </row>
    <row r="103" spans="1:11">
      <c r="A103" s="18" t="s">
        <v>136</v>
      </c>
      <c r="B103" s="281">
        <v>-0.80500000000000005</v>
      </c>
      <c r="C103" t="s">
        <v>85</v>
      </c>
      <c r="D103" t="s">
        <v>169</v>
      </c>
    </row>
    <row r="105" spans="1:11">
      <c r="A105" s="111" t="s">
        <v>387</v>
      </c>
    </row>
    <row r="106" spans="1:11">
      <c r="A106" s="330" t="s">
        <v>388</v>
      </c>
      <c r="B106" s="331">
        <f>'Blade Data'!R32*B10+E8</f>
        <v>32166.678162056698</v>
      </c>
      <c r="C106" t="s">
        <v>117</v>
      </c>
    </row>
    <row r="107" spans="1:11">
      <c r="A107" s="330" t="s">
        <v>389</v>
      </c>
      <c r="B107" s="331">
        <f>E5+E6+E7</f>
        <v>52838.90825962169</v>
      </c>
      <c r="C107" t="s">
        <v>117</v>
      </c>
    </row>
    <row r="108" spans="1:11">
      <c r="A108" s="330" t="s">
        <v>390</v>
      </c>
      <c r="B108" s="331">
        <f>B106+B107</f>
        <v>85005.586421678396</v>
      </c>
      <c r="C108" t="s">
        <v>117</v>
      </c>
    </row>
    <row r="109" spans="1:11">
      <c r="A109" s="18" t="s">
        <v>397</v>
      </c>
      <c r="B109" s="331">
        <f>GECtwrdata!O26</f>
        <v>125363.31583700494</v>
      </c>
      <c r="C109" t="s">
        <v>117</v>
      </c>
    </row>
    <row r="110" spans="1:11">
      <c r="A110" t="s">
        <v>347</v>
      </c>
      <c r="H110" t="s">
        <v>319</v>
      </c>
      <c r="I110" s="182"/>
      <c r="J110" s="182"/>
    </row>
    <row r="111" spans="1:11" ht="14.25">
      <c r="A111" s="183"/>
      <c r="B111" s="184"/>
      <c r="C111" s="185" t="s">
        <v>320</v>
      </c>
      <c r="D111" s="186"/>
      <c r="E111" s="184"/>
      <c r="F111" s="187" t="s">
        <v>321</v>
      </c>
      <c r="G111" s="188"/>
      <c r="H111" s="183"/>
      <c r="I111" s="189" t="s">
        <v>332</v>
      </c>
      <c r="J111" s="189" t="s">
        <v>333</v>
      </c>
      <c r="K111" s="190" t="s">
        <v>334</v>
      </c>
    </row>
    <row r="112" spans="1:11" ht="13.5">
      <c r="A112" s="191" t="s">
        <v>87</v>
      </c>
      <c r="B112" s="175" t="s">
        <v>335</v>
      </c>
      <c r="C112" s="175" t="s">
        <v>336</v>
      </c>
      <c r="D112" s="176" t="s">
        <v>337</v>
      </c>
      <c r="E112" s="176" t="s">
        <v>338</v>
      </c>
      <c r="F112" s="175" t="s">
        <v>339</v>
      </c>
      <c r="G112" s="192" t="s">
        <v>340</v>
      </c>
      <c r="H112" s="191" t="s">
        <v>87</v>
      </c>
      <c r="I112" s="175" t="s">
        <v>341</v>
      </c>
      <c r="J112" s="175" t="s">
        <v>341</v>
      </c>
      <c r="K112" s="193" t="s">
        <v>341</v>
      </c>
    </row>
    <row r="113" spans="1:13" ht="12">
      <c r="A113" s="282">
        <v>7.0000000000000007E-2</v>
      </c>
      <c r="B113" s="283">
        <v>952.73170702154005</v>
      </c>
      <c r="C113" s="284">
        <v>4314766.098439455</v>
      </c>
      <c r="D113" s="285">
        <v>3620</v>
      </c>
      <c r="E113" s="286">
        <v>3620</v>
      </c>
      <c r="F113" s="284">
        <v>4314766.098439455</v>
      </c>
      <c r="G113" s="287">
        <v>3620</v>
      </c>
      <c r="H113" s="288">
        <v>7.0000000000000007E-2</v>
      </c>
      <c r="I113" s="289">
        <v>8.3897942957076286E-4</v>
      </c>
      <c r="J113" s="289">
        <v>8.3897942957076286E-4</v>
      </c>
      <c r="K113" s="290">
        <v>8.3897942957076286E-4</v>
      </c>
    </row>
    <row r="114" spans="1:13" ht="12">
      <c r="A114" s="291">
        <v>0.25</v>
      </c>
      <c r="B114" s="283">
        <v>404.82301427952984</v>
      </c>
      <c r="C114" s="284">
        <v>2429500</v>
      </c>
      <c r="D114" s="285">
        <v>3620</v>
      </c>
      <c r="E114" s="286">
        <v>3891.6881914728747</v>
      </c>
      <c r="F114" s="284">
        <v>381175.3719549317</v>
      </c>
      <c r="G114" s="287">
        <v>960.13709169347362</v>
      </c>
      <c r="H114" s="292">
        <v>0.25</v>
      </c>
      <c r="I114" s="284">
        <v>1.4900185223296974E-3</v>
      </c>
      <c r="J114" s="284">
        <v>1.6018473724934655E-3</v>
      </c>
      <c r="K114" s="293">
        <v>2.5188854326270468E-3</v>
      </c>
    </row>
    <row r="115" spans="1:13" ht="12">
      <c r="A115" s="291">
        <v>0.5</v>
      </c>
      <c r="B115" s="283">
        <v>250.47067332126738</v>
      </c>
      <c r="C115" s="284">
        <v>1087060</v>
      </c>
      <c r="D115" s="285">
        <v>3620</v>
      </c>
      <c r="E115" s="286">
        <v>3826.5675588601162</v>
      </c>
      <c r="F115" s="284">
        <v>176817.62236228006</v>
      </c>
      <c r="G115" s="287">
        <v>960.13709169347362</v>
      </c>
      <c r="H115" s="292">
        <v>0.5</v>
      </c>
      <c r="I115" s="284">
        <v>3.3300829761006754E-3</v>
      </c>
      <c r="J115" s="284">
        <v>3.5201070399611028E-3</v>
      </c>
      <c r="K115" s="293">
        <v>5.4300984192981469E-3</v>
      </c>
    </row>
    <row r="116" spans="1:13" ht="12">
      <c r="A116" s="294">
        <v>0.75</v>
      </c>
      <c r="B116" s="295">
        <v>152.6490092237247</v>
      </c>
      <c r="C116" s="296">
        <v>273460</v>
      </c>
      <c r="D116" s="297">
        <v>3620</v>
      </c>
      <c r="E116" s="298">
        <v>3819.072160210982</v>
      </c>
      <c r="F116" s="296">
        <v>66873.396648013819</v>
      </c>
      <c r="G116" s="299">
        <v>960.13709169347362</v>
      </c>
      <c r="H116" s="300">
        <v>0.75</v>
      </c>
      <c r="I116" s="296">
        <v>1.3237767863672933E-2</v>
      </c>
      <c r="J116" s="296">
        <v>1.3965743290466548E-2</v>
      </c>
      <c r="K116" s="301">
        <v>1.4357534383173736E-2</v>
      </c>
    </row>
    <row r="118" spans="1:13">
      <c r="A118" t="s">
        <v>348</v>
      </c>
    </row>
    <row r="119" spans="1:13" ht="13.5">
      <c r="A119" s="183"/>
      <c r="B119" s="187" t="s">
        <v>88</v>
      </c>
      <c r="C119" s="187" t="s">
        <v>322</v>
      </c>
      <c r="D119" s="187" t="s">
        <v>89</v>
      </c>
      <c r="E119" s="194" t="s">
        <v>323</v>
      </c>
      <c r="F119" s="187" t="s">
        <v>324</v>
      </c>
      <c r="G119" s="187" t="s">
        <v>325</v>
      </c>
      <c r="H119" s="187" t="s">
        <v>326</v>
      </c>
      <c r="I119" s="187" t="s">
        <v>342</v>
      </c>
      <c r="J119" s="187" t="s">
        <v>343</v>
      </c>
      <c r="K119" s="187" t="s">
        <v>113</v>
      </c>
      <c r="L119" s="187" t="s">
        <v>112</v>
      </c>
      <c r="M119" s="195" t="s">
        <v>344</v>
      </c>
    </row>
    <row r="120" spans="1:13" ht="13.5">
      <c r="A120" s="191" t="s">
        <v>87</v>
      </c>
      <c r="B120" s="175" t="s">
        <v>90</v>
      </c>
      <c r="C120" s="175" t="s">
        <v>327</v>
      </c>
      <c r="D120" s="175" t="s">
        <v>328</v>
      </c>
      <c r="E120" s="175" t="s">
        <v>329</v>
      </c>
      <c r="F120" s="175" t="s">
        <v>329</v>
      </c>
      <c r="G120" s="175" t="s">
        <v>329</v>
      </c>
      <c r="H120" s="175" t="s">
        <v>330</v>
      </c>
      <c r="I120" s="175" t="s">
        <v>345</v>
      </c>
      <c r="J120" s="175" t="s">
        <v>345</v>
      </c>
      <c r="K120" s="175" t="s">
        <v>331</v>
      </c>
      <c r="L120" s="175" t="s">
        <v>345</v>
      </c>
      <c r="M120" s="193" t="s">
        <v>356</v>
      </c>
    </row>
    <row r="121" spans="1:13">
      <c r="A121" s="302">
        <v>0.05</v>
      </c>
      <c r="B121" s="303">
        <v>1.9250698501397006</v>
      </c>
      <c r="C121" s="304">
        <v>1</v>
      </c>
      <c r="D121" s="304" t="s">
        <v>377</v>
      </c>
      <c r="E121" s="336">
        <v>0.25</v>
      </c>
      <c r="F121" s="303">
        <v>0.5</v>
      </c>
      <c r="G121" s="303">
        <v>0.5</v>
      </c>
      <c r="H121" s="306">
        <v>1447.6067650097025</v>
      </c>
      <c r="I121" s="307">
        <v>7681455580.9267292</v>
      </c>
      <c r="J121" s="307">
        <v>7681455580.9267292</v>
      </c>
      <c r="K121" s="307">
        <v>17152702552.539173</v>
      </c>
      <c r="L121" s="307">
        <v>2655231266.008985</v>
      </c>
      <c r="M121" s="308">
        <v>1292.0872285403536</v>
      </c>
    </row>
    <row r="122" spans="1:13">
      <c r="A122" s="282">
        <v>7.0000000000000007E-2</v>
      </c>
      <c r="B122" s="309">
        <v>1.8895199390398785</v>
      </c>
      <c r="C122" s="310">
        <v>1</v>
      </c>
      <c r="D122" s="310" t="s">
        <v>377</v>
      </c>
      <c r="E122" s="336">
        <v>0.25</v>
      </c>
      <c r="F122" s="309">
        <v>0.5</v>
      </c>
      <c r="G122" s="309">
        <v>0.5</v>
      </c>
      <c r="H122" s="311">
        <v>175.09526752452746</v>
      </c>
      <c r="I122" s="312">
        <v>1135890133.898103</v>
      </c>
      <c r="J122" s="312">
        <v>1135890133.898103</v>
      </c>
      <c r="K122" s="312">
        <v>2564102972.7290158</v>
      </c>
      <c r="L122" s="312">
        <v>396922874.29357898</v>
      </c>
      <c r="M122" s="313">
        <v>156.28440292953599</v>
      </c>
    </row>
    <row r="123" spans="1:13">
      <c r="A123" s="291">
        <v>0.25</v>
      </c>
      <c r="B123" s="309">
        <v>2.8001016002032006</v>
      </c>
      <c r="C123" s="310">
        <v>0.3</v>
      </c>
      <c r="D123" s="310">
        <v>4.0013725457641511</v>
      </c>
      <c r="E123" s="305">
        <v>0.34</v>
      </c>
      <c r="F123" s="309">
        <v>0.41002988816858021</v>
      </c>
      <c r="G123" s="309">
        <v>0.32873282532820286</v>
      </c>
      <c r="H123" s="311">
        <v>186.9057949192036</v>
      </c>
      <c r="I123" s="312">
        <v>271763137.89022917</v>
      </c>
      <c r="J123" s="312">
        <v>703333384.04530549</v>
      </c>
      <c r="K123" s="314">
        <v>2443063660.8188953</v>
      </c>
      <c r="L123" s="314">
        <v>18842756.85303637</v>
      </c>
      <c r="M123" s="315">
        <v>84.977866851913092</v>
      </c>
    </row>
    <row r="124" spans="1:13">
      <c r="A124" s="291">
        <v>0.5</v>
      </c>
      <c r="B124" s="309">
        <v>2.1468122936245875</v>
      </c>
      <c r="C124" s="310">
        <v>0.24</v>
      </c>
      <c r="D124" s="310">
        <v>6.7200108877128066</v>
      </c>
      <c r="E124" s="305">
        <v>0.31</v>
      </c>
      <c r="F124" s="309">
        <v>0.38649869580913698</v>
      </c>
      <c r="G124" s="309">
        <v>0.3240414781728897</v>
      </c>
      <c r="H124" s="311">
        <v>138.12296357376664</v>
      </c>
      <c r="I124" s="312">
        <v>75234813.639765084</v>
      </c>
      <c r="J124" s="312">
        <v>255870093.3882812</v>
      </c>
      <c r="K124" s="314">
        <v>1809554986.9197025</v>
      </c>
      <c r="L124" s="314">
        <v>8477345.5047051143</v>
      </c>
      <c r="M124" s="315">
        <v>30.021881657931356</v>
      </c>
    </row>
    <row r="125" spans="1:13">
      <c r="A125" s="291">
        <v>0.75</v>
      </c>
      <c r="B125" s="309">
        <v>1.4937769875539753</v>
      </c>
      <c r="C125" s="310">
        <v>0.21</v>
      </c>
      <c r="D125" s="310">
        <v>6.2038591936354734</v>
      </c>
      <c r="E125" s="305">
        <v>0.28000000000000003</v>
      </c>
      <c r="F125" s="309">
        <v>0.40257796771355664</v>
      </c>
      <c r="G125" s="309">
        <v>0.327834346949612</v>
      </c>
      <c r="H125" s="311">
        <v>61.988105452646913</v>
      </c>
      <c r="I125" s="312">
        <v>11534432.983097235</v>
      </c>
      <c r="J125" s="312">
        <v>65848849.292116806</v>
      </c>
      <c r="K125" s="314">
        <v>788312554.19834387</v>
      </c>
      <c r="L125" s="314">
        <v>1678043.4287947295</v>
      </c>
      <c r="M125" s="315">
        <v>6.9998727386933259</v>
      </c>
    </row>
    <row r="126" spans="1:13">
      <c r="A126" s="316">
        <v>1</v>
      </c>
      <c r="B126" s="317">
        <v>0.90601981203962423</v>
      </c>
      <c r="C126" s="318">
        <v>0.16</v>
      </c>
      <c r="D126" s="318">
        <v>0</v>
      </c>
      <c r="E126" s="317">
        <v>0.25</v>
      </c>
      <c r="F126" s="317">
        <v>0.49249999999999999</v>
      </c>
      <c r="G126" s="317">
        <v>0.35780000000000001</v>
      </c>
      <c r="H126" s="319">
        <v>11.352890666908433</v>
      </c>
      <c r="I126" s="320">
        <v>231293.14864714985</v>
      </c>
      <c r="J126" s="320">
        <v>7874070.2274504323</v>
      </c>
      <c r="K126" s="321">
        <v>118472290.90243222</v>
      </c>
      <c r="L126" s="321">
        <v>179433.04791581735</v>
      </c>
      <c r="M126" s="322">
        <v>0.76662287964958964</v>
      </c>
    </row>
    <row r="128" spans="1:13">
      <c r="B128" s="18" t="s">
        <v>349</v>
      </c>
      <c r="C128" s="198"/>
      <c r="D128" t="s">
        <v>350</v>
      </c>
      <c r="H128" t="s">
        <v>460</v>
      </c>
    </row>
    <row r="130" spans="1:7">
      <c r="A130" t="s">
        <v>368</v>
      </c>
    </row>
    <row r="131" spans="1:7">
      <c r="A131" s="183"/>
      <c r="B131" s="229" t="s">
        <v>363</v>
      </c>
      <c r="C131" s="346" t="s">
        <v>403</v>
      </c>
      <c r="D131" s="188"/>
    </row>
    <row r="132" spans="1:7" ht="12">
      <c r="A132" s="191" t="s">
        <v>87</v>
      </c>
      <c r="B132" s="232" t="s">
        <v>366</v>
      </c>
      <c r="C132" s="224"/>
      <c r="D132" s="225"/>
    </row>
    <row r="133" spans="1:7">
      <c r="A133" s="235">
        <f t="shared" ref="A133:A138" si="0">A121</f>
        <v>0.05</v>
      </c>
      <c r="B133" s="255">
        <v>10.5</v>
      </c>
      <c r="C133" s="323"/>
      <c r="D133" s="342">
        <v>1</v>
      </c>
    </row>
    <row r="134" spans="1:7">
      <c r="A134" s="240">
        <f t="shared" si="0"/>
        <v>7.0000000000000007E-2</v>
      </c>
      <c r="B134" s="256">
        <v>10.5</v>
      </c>
      <c r="C134" s="324"/>
      <c r="D134" s="344">
        <v>1</v>
      </c>
    </row>
    <row r="135" spans="1:7">
      <c r="A135" s="240">
        <f t="shared" si="0"/>
        <v>0.25</v>
      </c>
      <c r="B135" s="326">
        <v>10.5</v>
      </c>
      <c r="C135" s="347"/>
      <c r="D135" s="344">
        <v>2</v>
      </c>
    </row>
    <row r="136" spans="1:7">
      <c r="A136" s="240">
        <f t="shared" si="0"/>
        <v>0.5</v>
      </c>
      <c r="B136" s="326">
        <v>2.5</v>
      </c>
      <c r="C136" s="324"/>
      <c r="D136" s="344">
        <v>2.5</v>
      </c>
    </row>
    <row r="137" spans="1:7">
      <c r="A137" s="240">
        <f t="shared" si="0"/>
        <v>0.75</v>
      </c>
      <c r="B137" s="326">
        <v>0</v>
      </c>
      <c r="C137" s="324"/>
      <c r="D137" s="344">
        <v>3</v>
      </c>
    </row>
    <row r="138" spans="1:7">
      <c r="A138" s="246">
        <f t="shared" si="0"/>
        <v>1</v>
      </c>
      <c r="B138" s="327">
        <v>-0.6</v>
      </c>
      <c r="C138" s="325"/>
      <c r="D138" s="348">
        <v>4</v>
      </c>
    </row>
    <row r="140" spans="1:7" ht="12">
      <c r="A140" s="337" t="s">
        <v>401</v>
      </c>
      <c r="B140" s="338" t="s">
        <v>402</v>
      </c>
      <c r="C140" s="339"/>
    </row>
    <row r="141" spans="1:7">
      <c r="A141" s="340">
        <v>1</v>
      </c>
      <c r="B141" s="341"/>
      <c r="C141" s="342" t="s">
        <v>378</v>
      </c>
      <c r="E141" s="366"/>
    </row>
    <row r="142" spans="1:7">
      <c r="A142" s="340">
        <v>2</v>
      </c>
      <c r="B142" s="343"/>
      <c r="C142" s="344" t="s">
        <v>453</v>
      </c>
      <c r="E142" s="356" t="s">
        <v>456</v>
      </c>
      <c r="F142" s="357"/>
      <c r="G142" s="357"/>
    </row>
    <row r="143" spans="1:7">
      <c r="A143" s="340">
        <v>3</v>
      </c>
      <c r="B143" s="343"/>
      <c r="C143" s="344" t="s">
        <v>454</v>
      </c>
      <c r="E143" s="356" t="s">
        <v>456</v>
      </c>
      <c r="F143" s="357"/>
      <c r="G143" s="357"/>
    </row>
    <row r="144" spans="1:7">
      <c r="A144" s="345">
        <v>4</v>
      </c>
      <c r="B144" s="372"/>
      <c r="C144" s="348" t="s">
        <v>455</v>
      </c>
      <c r="E144" s="356" t="s">
        <v>456</v>
      </c>
      <c r="F144" s="357"/>
      <c r="G144" s="357"/>
    </row>
    <row r="145" spans="1:6" ht="12" thickBot="1"/>
    <row r="146" spans="1:6" ht="12" thickBot="1">
      <c r="A146" s="390" t="s">
        <v>404</v>
      </c>
      <c r="B146" s="392"/>
      <c r="C146" s="393"/>
      <c r="E146" s="356" t="s">
        <v>439</v>
      </c>
      <c r="F146" s="357"/>
    </row>
    <row r="147" spans="1:6" ht="12" thickBot="1">
      <c r="A147" s="385" t="s">
        <v>35</v>
      </c>
      <c r="B147" s="386" t="s">
        <v>36</v>
      </c>
      <c r="C147" s="386" t="s">
        <v>37</v>
      </c>
      <c r="E147" s="356" t="s">
        <v>439</v>
      </c>
      <c r="F147" s="357"/>
    </row>
    <row r="148" spans="1:6" ht="12" thickBot="1">
      <c r="A148" s="382">
        <v>3.882E-2</v>
      </c>
      <c r="B148" s="383">
        <v>3.882E-2</v>
      </c>
      <c r="C148" s="384">
        <v>5.8999999999999997E-2</v>
      </c>
      <c r="E148" s="356" t="s">
        <v>439</v>
      </c>
      <c r="F148" s="357"/>
    </row>
    <row r="149" spans="1:6" ht="12" thickBot="1"/>
    <row r="150" spans="1:6" ht="12" thickBot="1">
      <c r="A150" s="390" t="s">
        <v>457</v>
      </c>
      <c r="B150" s="391"/>
      <c r="C150" s="374"/>
      <c r="E150" s="356" t="s">
        <v>439</v>
      </c>
      <c r="F150" s="357"/>
    </row>
    <row r="151" spans="1:6">
      <c r="A151" s="373" t="s">
        <v>50</v>
      </c>
      <c r="B151" s="377">
        <v>3.4349999999999999E-2</v>
      </c>
      <c r="C151" s="375"/>
      <c r="E151" s="356" t="s">
        <v>439</v>
      </c>
      <c r="F151" s="357"/>
    </row>
    <row r="152" spans="1:6">
      <c r="A152" s="378" t="s">
        <v>51</v>
      </c>
      <c r="B152" s="379">
        <v>3.4349999999999999E-2</v>
      </c>
      <c r="C152" s="376"/>
      <c r="E152" s="356" t="s">
        <v>439</v>
      </c>
      <c r="F152" s="357"/>
    </row>
    <row r="153" spans="1:6">
      <c r="A153" s="380" t="s">
        <v>52</v>
      </c>
      <c r="B153" s="379">
        <v>3.4349999999999999E-2</v>
      </c>
      <c r="E153" s="356" t="s">
        <v>439</v>
      </c>
      <c r="F153" s="357"/>
    </row>
    <row r="154" spans="1:6" ht="12" thickBot="1">
      <c r="A154" s="381" t="s">
        <v>53</v>
      </c>
      <c r="B154" s="368">
        <v>3.4349999999999999E-2</v>
      </c>
      <c r="E154" s="356" t="s">
        <v>439</v>
      </c>
      <c r="F154" s="357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G44" sqref="G44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70</v>
      </c>
      <c r="W1" t="s">
        <v>405</v>
      </c>
    </row>
    <row r="2" spans="1:23">
      <c r="A2">
        <f>'Main Page'!B53</f>
        <v>3.5</v>
      </c>
      <c r="W2" t="s">
        <v>406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407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54" t="s">
        <v>459</v>
      </c>
    </row>
    <row r="5" spans="1:23">
      <c r="A5" s="355">
        <v>0.05</v>
      </c>
      <c r="B5" s="355">
        <v>7.0000000000000007E-2</v>
      </c>
      <c r="C5" s="355">
        <v>0.1</v>
      </c>
      <c r="D5" s="355">
        <v>0.15</v>
      </c>
      <c r="E5" s="355">
        <v>0.2</v>
      </c>
      <c r="F5" s="355">
        <v>0.25</v>
      </c>
      <c r="G5" s="355">
        <v>0.3</v>
      </c>
      <c r="H5" s="355">
        <v>0.35</v>
      </c>
      <c r="I5" s="355">
        <v>0.4</v>
      </c>
      <c r="J5" s="355">
        <v>0.45</v>
      </c>
      <c r="K5" s="355">
        <v>0.5</v>
      </c>
      <c r="L5" s="355">
        <v>0.55000000000000004</v>
      </c>
      <c r="M5" s="355">
        <v>0.6</v>
      </c>
      <c r="N5" s="355">
        <v>0.65</v>
      </c>
      <c r="O5" s="355">
        <v>0.7</v>
      </c>
      <c r="P5" s="355">
        <v>0.75</v>
      </c>
      <c r="Q5" s="355">
        <v>0.8</v>
      </c>
      <c r="R5" s="355">
        <v>0.85</v>
      </c>
      <c r="S5" s="355">
        <v>0.9</v>
      </c>
      <c r="T5" s="355">
        <v>0.95</v>
      </c>
      <c r="U5" s="355">
        <v>1</v>
      </c>
      <c r="W5" s="354" t="s">
        <v>424</v>
      </c>
    </row>
    <row r="6" spans="1:23">
      <c r="A6" s="360">
        <v>0.05</v>
      </c>
      <c r="B6" s="360">
        <v>0.11333333333333333</v>
      </c>
      <c r="C6" s="360">
        <v>0.17666666666666664</v>
      </c>
      <c r="D6" s="360">
        <v>0.24</v>
      </c>
      <c r="E6" s="360">
        <v>0.30333333333333329</v>
      </c>
      <c r="F6" s="360">
        <v>0.36666666666666664</v>
      </c>
      <c r="G6" s="360">
        <v>0.43</v>
      </c>
      <c r="H6" s="360">
        <v>0.49333333333333329</v>
      </c>
      <c r="I6" s="360">
        <v>0.55666666666666664</v>
      </c>
      <c r="J6" s="360">
        <v>0.62</v>
      </c>
      <c r="K6" s="360">
        <v>0.68333333333333335</v>
      </c>
      <c r="L6" s="360">
        <v>0.74666666666666659</v>
      </c>
      <c r="M6" s="360">
        <v>0.81</v>
      </c>
      <c r="N6" s="360">
        <v>0.87333333333333341</v>
      </c>
      <c r="O6" s="360">
        <v>0.93666666666666665</v>
      </c>
      <c r="P6" s="360">
        <v>1</v>
      </c>
      <c r="Q6" s="101"/>
      <c r="W6" s="354" t="s">
        <v>443</v>
      </c>
    </row>
    <row r="7" spans="1:23">
      <c r="A7">
        <f>'Main Page'!B34</f>
        <v>2.6</v>
      </c>
      <c r="B7" s="359"/>
      <c r="C7" s="359"/>
      <c r="D7" s="359"/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101"/>
      <c r="W7" s="354" t="s">
        <v>441</v>
      </c>
    </row>
    <row r="8" spans="1:23">
      <c r="A8">
        <f>'Main Page'!B35</f>
        <v>90</v>
      </c>
      <c r="B8" s="359"/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101"/>
      <c r="W8" s="354" t="s">
        <v>442</v>
      </c>
    </row>
    <row r="9" spans="1:23">
      <c r="A9">
        <f>'Main Page'!B17</f>
        <v>1.2250000000000001</v>
      </c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101"/>
      <c r="W9" s="354" t="s">
        <v>444</v>
      </c>
    </row>
    <row r="10" spans="1:23">
      <c r="A10">
        <f>'Main Page'!B39</f>
        <v>0.45</v>
      </c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101"/>
      <c r="W10" s="354" t="s">
        <v>445</v>
      </c>
    </row>
    <row r="11" spans="1:23">
      <c r="A11" s="364">
        <f>'Main Page'!B40</f>
        <v>7</v>
      </c>
      <c r="B11" s="359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101"/>
      <c r="W11" s="354" t="s">
        <v>446</v>
      </c>
    </row>
    <row r="12" spans="1:23">
      <c r="A12" s="103">
        <f>'Main Page'!B16</f>
        <v>2953248.5</v>
      </c>
      <c r="W12" s="354" t="s">
        <v>463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54" t="s">
        <v>423</v>
      </c>
    </row>
    <row r="14" spans="1:23">
      <c r="A14" s="102">
        <f>'Main Page'!A121</f>
        <v>0.05</v>
      </c>
      <c r="B14" s="102">
        <f>'Main Page'!H121</f>
        <v>1447.6067650097025</v>
      </c>
      <c r="C14" s="102">
        <f>'Main Page'!B133 - 'Main Page'!B$138</f>
        <v>11.1</v>
      </c>
      <c r="D14" s="102">
        <f>'Main Page'!L121</f>
        <v>2655231266.008985</v>
      </c>
      <c r="E14" s="102">
        <f>'Main Page'!K121</f>
        <v>17152702552.539173</v>
      </c>
      <c r="F14" s="102">
        <f>'Main Page'!J121</f>
        <v>7681455580.9267292</v>
      </c>
      <c r="G14" s="102">
        <f>'Main Page'!I121</f>
        <v>7681455580.9267292</v>
      </c>
      <c r="H14" s="102">
        <f>'Main Page'!B121</f>
        <v>1.9250698501397006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175.09526752452746</v>
      </c>
      <c r="C15" s="102">
        <f>'Main Page'!B134 - 'Main Page'!B$138</f>
        <v>11.1</v>
      </c>
      <c r="D15" s="102">
        <f>'Main Page'!L122</f>
        <v>396922874.29357898</v>
      </c>
      <c r="E15" s="102">
        <f>'Main Page'!K122</f>
        <v>2564102972.7290158</v>
      </c>
      <c r="F15" s="102">
        <f>'Main Page'!J122</f>
        <v>1135890133.898103</v>
      </c>
      <c r="G15" s="102">
        <f>'Main Page'!I122</f>
        <v>1135890133.898103</v>
      </c>
      <c r="H15" s="102">
        <f>'Main Page'!B122</f>
        <v>1.8895199390398785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186.9057949192036</v>
      </c>
      <c r="C16" s="102">
        <f>'Main Page'!B135 - 'Main Page'!B$138</f>
        <v>11.1</v>
      </c>
      <c r="D16" s="102">
        <f>'Main Page'!L123</f>
        <v>18842756.85303637</v>
      </c>
      <c r="E16" s="102">
        <f>'Main Page'!K123</f>
        <v>2443063660.8188953</v>
      </c>
      <c r="F16" s="102">
        <f>'Main Page'!J123</f>
        <v>703333384.04530549</v>
      </c>
      <c r="G16" s="102">
        <f>'Main Page'!I123</f>
        <v>271763137.89022917</v>
      </c>
      <c r="H16" s="102">
        <f>'Main Page'!B123</f>
        <v>2.8001016002032006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138.12296357376664</v>
      </c>
      <c r="C17" s="102">
        <f>'Main Page'!B136 - 'Main Page'!B$138</f>
        <v>3.1</v>
      </c>
      <c r="D17" s="102">
        <f>'Main Page'!L124</f>
        <v>8477345.5047051143</v>
      </c>
      <c r="E17" s="102">
        <f>'Main Page'!K124</f>
        <v>1809554986.9197025</v>
      </c>
      <c r="F17" s="102">
        <f>'Main Page'!J124</f>
        <v>255870093.3882812</v>
      </c>
      <c r="G17" s="102">
        <f>'Main Page'!I124</f>
        <v>75234813.639765084</v>
      </c>
      <c r="H17" s="102">
        <f>'Main Page'!B124</f>
        <v>2.1468122936245875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61.988105452646913</v>
      </c>
      <c r="C18" s="102">
        <f>'Main Page'!B137 - 'Main Page'!B$138</f>
        <v>0.6</v>
      </c>
      <c r="D18" s="102">
        <f>'Main Page'!L125</f>
        <v>1678043.4287947295</v>
      </c>
      <c r="E18" s="102">
        <f>'Main Page'!K125</f>
        <v>788312554.19834387</v>
      </c>
      <c r="F18" s="102">
        <f>'Main Page'!J125</f>
        <v>65848849.292116806</v>
      </c>
      <c r="G18" s="102">
        <f>'Main Page'!I125</f>
        <v>11534432.983097235</v>
      </c>
      <c r="H18" s="102">
        <f>'Main Page'!B125</f>
        <v>1.4937769875539753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11.352890666908433</v>
      </c>
      <c r="C19" s="102">
        <f>'Main Page'!B138 - 'Main Page'!B$138</f>
        <v>0</v>
      </c>
      <c r="D19" s="102">
        <f>'Main Page'!L126</f>
        <v>179433.04791581735</v>
      </c>
      <c r="E19" s="102">
        <f>'Main Page'!K126</f>
        <v>118472290.90243222</v>
      </c>
      <c r="F19" s="102">
        <f>'Main Page'!J126</f>
        <v>7874070.2274504323</v>
      </c>
      <c r="G19" s="102">
        <f>'Main Page'!I126</f>
        <v>231293.14864714985</v>
      </c>
      <c r="H19" s="102">
        <f>'Main Page'!B126</f>
        <v>0.90601981203962423</v>
      </c>
      <c r="I19" s="102">
        <f>'Main Page'!E126</f>
        <v>0.25</v>
      </c>
      <c r="J19" s="102">
        <f>'Main Page'!D138</f>
        <v>4</v>
      </c>
    </row>
    <row r="27" spans="1:16">
      <c r="A27" s="354" t="s">
        <v>435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  <row r="30" spans="1:16">
      <c r="A30">
        <f>A28/$B27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4" sqref="A14"/>
    </sheetView>
  </sheetViews>
  <sheetFormatPr defaultRowHeight="11.25"/>
  <cols>
    <col min="1" max="1" width="14.83203125" bestFit="1" customWidth="1"/>
    <col min="9" max="9" width="9.6640625" bestFit="1" customWidth="1"/>
  </cols>
  <sheetData>
    <row r="1" spans="1:9">
      <c r="A1">
        <f>'Main Page'!B83</f>
        <v>75</v>
      </c>
      <c r="E1" t="s">
        <v>408</v>
      </c>
    </row>
    <row r="2" spans="1:9">
      <c r="A2" s="102">
        <f>'Main Page'!B9</f>
        <v>84</v>
      </c>
      <c r="E2" t="s">
        <v>409</v>
      </c>
    </row>
    <row r="3" spans="1:9">
      <c r="A3" s="102">
        <f>'Main Page'!B58</f>
        <v>-3.3</v>
      </c>
      <c r="E3" t="s">
        <v>410</v>
      </c>
    </row>
    <row r="4" spans="1:9">
      <c r="A4" s="103">
        <f>'Main Page'!B5</f>
        <v>-3.620904759358208E-2</v>
      </c>
      <c r="B4" s="103">
        <f>'Main Page'!C5</f>
        <v>0</v>
      </c>
      <c r="C4" s="103">
        <f>'Main Page'!D5</f>
        <v>-0.30297072228205113</v>
      </c>
      <c r="E4" t="s">
        <v>411</v>
      </c>
    </row>
    <row r="5" spans="1:9">
      <c r="A5" s="103">
        <f>'Main Page'!B6</f>
        <v>0.76653355801984624</v>
      </c>
      <c r="B5" s="103">
        <f>'Main Page'!C6</f>
        <v>0</v>
      </c>
      <c r="C5" s="103">
        <f>'Main Page'!D6</f>
        <v>0</v>
      </c>
      <c r="E5" t="s">
        <v>412</v>
      </c>
    </row>
    <row r="6" spans="1:9">
      <c r="A6" s="103">
        <f>'Main Page'!B7</f>
        <v>-0.79496927830119335</v>
      </c>
      <c r="B6" s="103">
        <f>'Main Page'!C7</f>
        <v>0</v>
      </c>
      <c r="C6" s="103">
        <f>'Main Page'!D7</f>
        <v>0</v>
      </c>
      <c r="E6" t="s">
        <v>413</v>
      </c>
    </row>
    <row r="7" spans="1:9">
      <c r="A7" s="103">
        <f>-'Main Page'!B11</f>
        <v>-5</v>
      </c>
      <c r="E7" t="s">
        <v>414</v>
      </c>
    </row>
    <row r="8" spans="1:9">
      <c r="A8" s="103">
        <f>'Main Page'!E5</f>
        <v>39324.660321372365</v>
      </c>
      <c r="E8" s="354" t="s">
        <v>436</v>
      </c>
    </row>
    <row r="9" spans="1:9">
      <c r="A9" s="103">
        <f>'Main Page'!E6</f>
        <v>2105.4148204736439</v>
      </c>
      <c r="E9" s="354" t="s">
        <v>437</v>
      </c>
      <c r="I9" s="103"/>
    </row>
    <row r="10" spans="1:9">
      <c r="A10" s="103">
        <f>'Main Page'!E7</f>
        <v>11408.833117775681</v>
      </c>
      <c r="E10" s="354" t="s">
        <v>438</v>
      </c>
    </row>
    <row r="11" spans="1:9">
      <c r="A11" s="103">
        <f>-'Main Page'!B18</f>
        <v>0</v>
      </c>
      <c r="E11" t="s">
        <v>415</v>
      </c>
    </row>
    <row r="12" spans="1:9">
      <c r="A12" s="103">
        <f>'Main Page'!E8</f>
        <v>19186.870177541427</v>
      </c>
      <c r="E12" t="s">
        <v>416</v>
      </c>
    </row>
    <row r="13" spans="1:9">
      <c r="A13" s="332">
        <f>SUM('Main Page'!H5:H7)</f>
        <v>45376.990833681382</v>
      </c>
      <c r="E13" t="s">
        <v>417</v>
      </c>
    </row>
    <row r="14" spans="1:9">
      <c r="A14" s="103">
        <f>GECdrivetrain!M5</f>
        <v>29975.370571214964</v>
      </c>
      <c r="E14" t="s">
        <v>420</v>
      </c>
    </row>
    <row r="15" spans="1:9">
      <c r="A15" s="103">
        <f>'Main Page'!B84</f>
        <v>1800</v>
      </c>
      <c r="E15" t="s">
        <v>421</v>
      </c>
    </row>
    <row r="16" spans="1:9">
      <c r="A16" s="103">
        <f>'Main Page'!B14</f>
        <v>483129639.71309441</v>
      </c>
      <c r="E16" t="s">
        <v>422</v>
      </c>
    </row>
    <row r="17" spans="1:5">
      <c r="A17" s="103">
        <f>'Main Page'!B19</f>
        <v>0.95</v>
      </c>
      <c r="E17" t="s">
        <v>451</v>
      </c>
    </row>
    <row r="18" spans="1:5">
      <c r="A18" s="332">
        <f>'Main Page'!B89*1000</f>
        <v>1500000</v>
      </c>
      <c r="E18" s="354" t="s">
        <v>452</v>
      </c>
    </row>
    <row r="19" spans="1:5">
      <c r="A19" s="103">
        <f>SUM(GECdrivetrain!M11:'GECdrivetrain'!M12)</f>
        <v>436738.89873597922</v>
      </c>
      <c r="E19" s="354" t="s">
        <v>461</v>
      </c>
    </row>
    <row r="20" spans="1:5">
      <c r="A20" s="103">
        <f>'Main Page'!B15/100</f>
        <v>0.05</v>
      </c>
      <c r="E20" s="354" t="s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31" sqref="K31"/>
    </sheetView>
  </sheetViews>
  <sheetFormatPr defaultRowHeight="11.25"/>
  <cols>
    <col min="1" max="1" width="15.83203125" bestFit="1" customWidth="1"/>
  </cols>
  <sheetData>
    <row r="1" spans="1:12">
      <c r="A1" s="349">
        <f>'Main Page'!B43</f>
        <v>1.61</v>
      </c>
      <c r="L1" s="354" t="s">
        <v>425</v>
      </c>
    </row>
    <row r="2" spans="1:12">
      <c r="A2" s="349">
        <f>'Main Page'!B44</f>
        <v>2.5649999999999999</v>
      </c>
      <c r="L2" s="354" t="s">
        <v>427</v>
      </c>
    </row>
    <row r="3" spans="1:12">
      <c r="A3" s="349">
        <f>'Main Page'!B45/1000</f>
        <v>1.026E-2</v>
      </c>
      <c r="L3" s="354" t="s">
        <v>426</v>
      </c>
    </row>
    <row r="4" spans="1:12">
      <c r="A4" s="349">
        <f>'Main Page'!B46</f>
        <v>5.6627999999999998</v>
      </c>
      <c r="L4" s="354" t="s">
        <v>428</v>
      </c>
    </row>
    <row r="5" spans="1:12">
      <c r="A5" s="349">
        <f>'Main Page'!B47/1000</f>
        <v>1.7389999999999999E-2</v>
      </c>
      <c r="L5" s="354" t="s">
        <v>429</v>
      </c>
    </row>
    <row r="6" spans="1:12">
      <c r="A6" s="349">
        <f>'Main Page'!B48/100</f>
        <v>0.05</v>
      </c>
      <c r="L6" s="354" t="s">
        <v>430</v>
      </c>
    </row>
    <row r="7" spans="1:12">
      <c r="A7">
        <f>GECtwrdata!F5</f>
        <v>7850</v>
      </c>
      <c r="L7" s="354" t="s">
        <v>431</v>
      </c>
    </row>
    <row r="8" spans="1:12">
      <c r="A8" s="102">
        <f>GECtwrdata!F6</f>
        <v>200000000000</v>
      </c>
      <c r="L8" s="354" t="s">
        <v>432</v>
      </c>
    </row>
    <row r="9" spans="1:12">
      <c r="A9" s="102">
        <f>GECtwrdata!F7</f>
        <v>76923076923.07692</v>
      </c>
      <c r="L9" s="354" t="s">
        <v>433</v>
      </c>
    </row>
    <row r="10" spans="1:12">
      <c r="A10" s="355">
        <f>0/9</f>
        <v>0</v>
      </c>
      <c r="B10" s="355">
        <f>1/9</f>
        <v>0.1111111111111111</v>
      </c>
      <c r="C10" s="355">
        <f>2/9</f>
        <v>0.22222222222222221</v>
      </c>
      <c r="D10" s="355">
        <f>3/9</f>
        <v>0.33333333333333331</v>
      </c>
      <c r="E10" s="355">
        <f>4/9</f>
        <v>0.44444444444444442</v>
      </c>
      <c r="F10" s="355">
        <f>5/9</f>
        <v>0.55555555555555558</v>
      </c>
      <c r="G10" s="355">
        <f>6/9</f>
        <v>0.66666666666666663</v>
      </c>
      <c r="H10" s="355">
        <f>7/9</f>
        <v>0.77777777777777779</v>
      </c>
      <c r="I10" s="355">
        <f>8/9</f>
        <v>0.88888888888888884</v>
      </c>
      <c r="J10" s="355">
        <f>9/9</f>
        <v>1</v>
      </c>
      <c r="L10" s="354" t="s">
        <v>434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54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4" t="s">
        <v>84</v>
      </c>
      <c r="B2" s="405"/>
      <c r="C2" s="405"/>
      <c r="D2" s="406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69">
        <v>3.4349999999999999E-2</v>
      </c>
      <c r="B4" s="370">
        <v>3.4349999999999999E-2</v>
      </c>
      <c r="C4" s="370">
        <v>3.4349999999999999E-2</v>
      </c>
      <c r="D4" s="371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390" t="s">
        <v>84</v>
      </c>
      <c r="E2" s="392"/>
      <c r="F2" s="393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 t="s">
        <v>419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8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Page'!A121</f>
        <v>0.05</v>
      </c>
      <c r="C5" s="200">
        <f>'Main Page'!B121</f>
        <v>1.9250698501397006</v>
      </c>
      <c r="D5" s="201">
        <f>'Main Page'!C121</f>
        <v>1</v>
      </c>
      <c r="E5" s="201" t="str">
        <f>'Main Page'!D121</f>
        <v>NA</v>
      </c>
      <c r="F5" s="202">
        <f>'Main Page'!E121</f>
        <v>0.25</v>
      </c>
      <c r="G5" s="200">
        <f>'Main Page'!F121</f>
        <v>0.5</v>
      </c>
      <c r="H5" s="200">
        <f>'Main Page'!G121</f>
        <v>0.5</v>
      </c>
      <c r="I5" s="203">
        <f>'Main Page'!H121</f>
        <v>1447.6067650097025</v>
      </c>
      <c r="J5" s="204">
        <f>'Main Page'!I121</f>
        <v>7681455580.9267292</v>
      </c>
      <c r="K5" s="204">
        <f>'Main Page'!J121</f>
        <v>7681455580.9267292</v>
      </c>
      <c r="L5" s="204">
        <f>'Main Page'!K121</f>
        <v>17152702552.539173</v>
      </c>
      <c r="M5" s="204">
        <f>'Main Page'!L121</f>
        <v>2655231266.008985</v>
      </c>
      <c r="N5" s="205">
        <f>'Main Page'!M121</f>
        <v>1292.0872285403536</v>
      </c>
    </row>
    <row r="6" spans="2:21">
      <c r="B6" s="206">
        <f>'Main Page'!A122</f>
        <v>7.0000000000000007E-2</v>
      </c>
      <c r="C6" s="207">
        <f>'Main Page'!B122</f>
        <v>1.8895199390398785</v>
      </c>
      <c r="D6" s="208">
        <f>'Main Page'!C122</f>
        <v>1</v>
      </c>
      <c r="E6" s="208" t="str">
        <f>'Main Page'!D122</f>
        <v>NA</v>
      </c>
      <c r="F6" s="202">
        <f>'Main Page'!E122</f>
        <v>0.25</v>
      </c>
      <c r="G6" s="207">
        <f>'Main Page'!F122</f>
        <v>0.5</v>
      </c>
      <c r="H6" s="207">
        <f>'Main Page'!G122</f>
        <v>0.5</v>
      </c>
      <c r="I6" s="209">
        <f>'Main Page'!H122</f>
        <v>175.09526752452746</v>
      </c>
      <c r="J6" s="210">
        <f>'Main Page'!I122</f>
        <v>1135890133.898103</v>
      </c>
      <c r="K6" s="210">
        <f>'Main Page'!J122</f>
        <v>1135890133.898103</v>
      </c>
      <c r="L6" s="210">
        <f>'Main Page'!K122</f>
        <v>2564102972.7290158</v>
      </c>
      <c r="M6" s="210">
        <f>'Main Page'!L122</f>
        <v>396922874.29357898</v>
      </c>
      <c r="N6" s="211">
        <f>'Main Page'!M122</f>
        <v>156.28440292953599</v>
      </c>
    </row>
    <row r="7" spans="2:21">
      <c r="B7" s="196">
        <f>'Main Page'!A123</f>
        <v>0.25</v>
      </c>
      <c r="C7" s="207">
        <f>'Main Page'!B123</f>
        <v>2.8001016002032006</v>
      </c>
      <c r="D7" s="208">
        <f>'Main Page'!C123</f>
        <v>0.3</v>
      </c>
      <c r="E7" s="208">
        <f>'Main Page'!D123</f>
        <v>4.0013725457641511</v>
      </c>
      <c r="F7" s="202">
        <f>'Main Page'!E123</f>
        <v>0.34</v>
      </c>
      <c r="G7" s="207">
        <f>'Main Page'!F123</f>
        <v>0.41002988816858021</v>
      </c>
      <c r="H7" s="207">
        <f>'Main Page'!G123</f>
        <v>0.32873282532820286</v>
      </c>
      <c r="I7" s="209">
        <f>'Main Page'!H123</f>
        <v>186.9057949192036</v>
      </c>
      <c r="J7" s="210">
        <f>'Main Page'!I123</f>
        <v>271763137.89022917</v>
      </c>
      <c r="K7" s="210">
        <f>'Main Page'!J123</f>
        <v>703333384.04530549</v>
      </c>
      <c r="L7" s="197">
        <f>'Main Page'!K123</f>
        <v>2443063660.8188953</v>
      </c>
      <c r="M7" s="197">
        <f>'Main Page'!L123</f>
        <v>18842756.85303637</v>
      </c>
      <c r="N7" s="212">
        <f>'Main Page'!M123</f>
        <v>84.977866851913092</v>
      </c>
    </row>
    <row r="8" spans="2:21">
      <c r="B8" s="196">
        <f>'Main Page'!A124</f>
        <v>0.5</v>
      </c>
      <c r="C8" s="207">
        <f>'Main Page'!B124</f>
        <v>2.1468122936245875</v>
      </c>
      <c r="D8" s="213">
        <f>'Main Page'!C124</f>
        <v>0.24</v>
      </c>
      <c r="E8" s="208">
        <f>'Main Page'!D124</f>
        <v>6.7200108877128066</v>
      </c>
      <c r="F8" s="202">
        <f>'Main Page'!E124</f>
        <v>0.31</v>
      </c>
      <c r="G8" s="207">
        <f>'Main Page'!F124</f>
        <v>0.38649869580913698</v>
      </c>
      <c r="H8" s="207">
        <f>'Main Page'!G124</f>
        <v>0.3240414781728897</v>
      </c>
      <c r="I8" s="209">
        <f>'Main Page'!H124</f>
        <v>138.12296357376664</v>
      </c>
      <c r="J8" s="210">
        <f>'Main Page'!I124</f>
        <v>75234813.639765084</v>
      </c>
      <c r="K8" s="210">
        <f>'Main Page'!J124</f>
        <v>255870093.3882812</v>
      </c>
      <c r="L8" s="197">
        <f>'Main Page'!K124</f>
        <v>1809554986.9197025</v>
      </c>
      <c r="M8" s="197">
        <f>'Main Page'!L124</f>
        <v>8477345.5047051143</v>
      </c>
      <c r="N8" s="212">
        <f>'Main Page'!M124</f>
        <v>30.021881657931356</v>
      </c>
    </row>
    <row r="9" spans="2:21">
      <c r="B9" s="196">
        <f>'Main Page'!A125</f>
        <v>0.75</v>
      </c>
      <c r="C9" s="207">
        <f>'Main Page'!B125</f>
        <v>1.4937769875539753</v>
      </c>
      <c r="D9" s="213">
        <f>'Main Page'!C125</f>
        <v>0.21</v>
      </c>
      <c r="E9" s="208">
        <f>'Main Page'!D125</f>
        <v>6.2038591936354734</v>
      </c>
      <c r="F9" s="202">
        <f>'Main Page'!E125</f>
        <v>0.28000000000000003</v>
      </c>
      <c r="G9" s="207">
        <f>'Main Page'!F125</f>
        <v>0.40257796771355664</v>
      </c>
      <c r="H9" s="207">
        <f>'Main Page'!G125</f>
        <v>0.327834346949612</v>
      </c>
      <c r="I9" s="209">
        <f>'Main Page'!H125</f>
        <v>61.988105452646913</v>
      </c>
      <c r="J9" s="210">
        <f>'Main Page'!I125</f>
        <v>11534432.983097235</v>
      </c>
      <c r="K9" s="210">
        <f>'Main Page'!J125</f>
        <v>65848849.292116806</v>
      </c>
      <c r="L9" s="197">
        <f>'Main Page'!K125</f>
        <v>788312554.19834387</v>
      </c>
      <c r="M9" s="197">
        <f>'Main Page'!L125</f>
        <v>1678043.4287947295</v>
      </c>
      <c r="N9" s="212">
        <f>'Main Page'!M125</f>
        <v>6.9998727386933259</v>
      </c>
    </row>
    <row r="10" spans="2:21">
      <c r="B10" s="214">
        <f>'Main Page'!A126</f>
        <v>1</v>
      </c>
      <c r="C10" s="215">
        <f>'Main Page'!B126</f>
        <v>0.90601981203962423</v>
      </c>
      <c r="D10" s="216">
        <f>'Main Page'!C126</f>
        <v>0.16</v>
      </c>
      <c r="E10" s="216">
        <f>'Main Page'!D126</f>
        <v>0</v>
      </c>
      <c r="F10" s="215">
        <f>'Main Page'!E126</f>
        <v>0.25</v>
      </c>
      <c r="G10" s="215">
        <f>'Main Page'!F126</f>
        <v>0.49249999999999999</v>
      </c>
      <c r="H10" s="215">
        <f>'Main Page'!G126</f>
        <v>0.35780000000000001</v>
      </c>
      <c r="I10" s="217">
        <f>'Main Page'!H126</f>
        <v>11.352890666908433</v>
      </c>
      <c r="J10" s="218">
        <f>'Main Page'!I126</f>
        <v>231293.14864714985</v>
      </c>
      <c r="K10" s="218">
        <f>'Main Page'!J126</f>
        <v>7874070.2274504323</v>
      </c>
      <c r="L10" s="219">
        <f>'Main Page'!K126</f>
        <v>118472290.90243222</v>
      </c>
      <c r="M10" s="219">
        <f>'Main Page'!L126</f>
        <v>179433.04791581735</v>
      </c>
      <c r="N10" s="220">
        <f>'Main Page'!M126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Page'!B53/2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Page'!C$128/('Main Page'!C$128+1)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Page'!B133-'Main Page'!B$138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Page'!D133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Page'!C$128/('Main Page'!C$128+1)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Page'!B134-'Main Page'!B$138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Page'!D134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Page'!C$128/('Main Page'!C$128+1)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Page'!B135-'Main Page'!B$138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Page'!D135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Page'!C$128/('Main Page'!C$128+1)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Page'!B136-'Main Page'!B$138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Page'!C$128/('Main Page'!C$128+1)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Page'!B137-'Main Page'!B$138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Page'!D137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Page'!C$128/('Main Page'!C$128+1)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Page'!B138-'Main Page'!B$138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Page'!D138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400</v>
      </c>
      <c r="T26" t="s">
        <v>381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Page'!B43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Page'!B46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Page'!B44</f>
        <v>2.5649999999999999</v>
      </c>
      <c r="D8" t="s">
        <v>85</v>
      </c>
    </row>
    <row r="9" spans="2:15">
      <c r="B9" t="s">
        <v>99</v>
      </c>
      <c r="C9" s="152">
        <f>'Main Page'!B47</f>
        <v>17.39</v>
      </c>
      <c r="D9" t="s">
        <v>97</v>
      </c>
    </row>
    <row r="10" spans="2:15">
      <c r="B10" t="s">
        <v>100</v>
      </c>
      <c r="C10" s="152">
        <f>'Main Page'!B45</f>
        <v>10.26</v>
      </c>
      <c r="D10" t="s">
        <v>97</v>
      </c>
    </row>
    <row r="11" spans="2:15">
      <c r="B11" t="s">
        <v>385</v>
      </c>
      <c r="C11" s="152">
        <f>'Main Page'!B48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3" t="s">
        <v>12</v>
      </c>
      <c r="C5" s="131"/>
      <c r="D5" s="131"/>
      <c r="E5" s="132">
        <f>'Main Page'!B53</f>
        <v>3.5</v>
      </c>
      <c r="F5" s="132">
        <f>'Main Page'!B56</f>
        <v>0.05</v>
      </c>
      <c r="G5" s="131"/>
      <c r="H5" s="135">
        <f>'Main Page'!B57</f>
        <v>7850</v>
      </c>
      <c r="I5" s="411">
        <f>H5*F5*PI()*E5^2</f>
        <v>15105.170177541426</v>
      </c>
      <c r="J5" s="132">
        <f>'Main Page'!B58</f>
        <v>-3.3</v>
      </c>
      <c r="K5" s="132">
        <f>'Main Page'!B59</f>
        <v>0</v>
      </c>
      <c r="L5" s="132">
        <f>'Main Page'!B60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3" t="s">
        <v>184</v>
      </c>
      <c r="C6" s="131"/>
      <c r="D6" s="131"/>
      <c r="E6" s="131"/>
      <c r="F6" s="131"/>
      <c r="G6" s="136"/>
      <c r="H6" s="134"/>
      <c r="I6" s="411">
        <f>0.0119*'Main Page'!B13^3</f>
        <v>4081.7000000000003</v>
      </c>
      <c r="J6" s="132">
        <f>'Main Page'!B58</f>
        <v>-3.3</v>
      </c>
      <c r="K6" s="132">
        <f>'Main Page'!B59</f>
        <v>0</v>
      </c>
      <c r="L6" s="132">
        <f>'Main Page'!B60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3" t="s">
        <v>137</v>
      </c>
      <c r="C7" s="132">
        <f>'Main Page'!B63</f>
        <v>1.98</v>
      </c>
      <c r="D7" s="132">
        <f>'Main Page'!B65</f>
        <v>0.28499999999999998</v>
      </c>
      <c r="E7" s="132">
        <f>'Main Page'!B64</f>
        <v>0.60419999999999996</v>
      </c>
      <c r="F7" s="131"/>
      <c r="G7" s="136"/>
      <c r="H7" s="135">
        <f>'Main Page'!B66</f>
        <v>7850</v>
      </c>
      <c r="I7" s="408">
        <f>0.25*PI()*(E7^2-D7^2)*H7*C7</f>
        <v>3464.8709598770956</v>
      </c>
      <c r="J7" s="132">
        <f>0.5*('Main Page'!B71+'Main Page'!B74)</f>
        <v>-1.4850000000000001</v>
      </c>
      <c r="K7" s="132">
        <f>'Main Page'!B67</f>
        <v>0</v>
      </c>
      <c r="L7" s="132">
        <f>'Main Page'!B68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408">
        <f>0.00002613*(1000*E7)^2.77</f>
        <v>1321.3260789492929</v>
      </c>
      <c r="J8" s="132">
        <f>'Main Page'!B71</f>
        <v>-2.31</v>
      </c>
      <c r="K8" s="132">
        <f>'Main Page'!B72</f>
        <v>0</v>
      </c>
      <c r="L8" s="132">
        <f>'Main Page'!B73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408">
        <f>0.00002613*(1000*E7)^2.77</f>
        <v>1321.3260789492929</v>
      </c>
      <c r="J9" s="132">
        <f>'Main Page'!B74</f>
        <v>-0.66</v>
      </c>
      <c r="K9" s="132">
        <f>'Main Page'!B75</f>
        <v>0</v>
      </c>
      <c r="L9" s="132">
        <f>'Main Page'!B76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51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408">
        <f>'Main Page'!B79/2</f>
        <v>5301.31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51" t="s">
        <v>188</v>
      </c>
      <c r="C11" s="131">
        <f>1.6*0.015*C1</f>
        <v>1.68</v>
      </c>
      <c r="D11" s="128"/>
      <c r="E11" s="128"/>
      <c r="F11" s="128"/>
      <c r="G11" s="128"/>
      <c r="H11" s="137"/>
      <c r="I11" s="409">
        <f>(3.3*'Main Page'!B89+471)/3</f>
        <v>1807</v>
      </c>
      <c r="J11" s="132">
        <f>'Main Page'!B90</f>
        <v>0.82499999999999996</v>
      </c>
      <c r="K11" s="132">
        <f>'Main Page'!B91</f>
        <v>0</v>
      </c>
      <c r="L11" s="132">
        <f>'Main Page'!B92</f>
        <v>0</v>
      </c>
      <c r="M11" s="352">
        <f>0.0000486*C1^5.333</f>
        <v>336158.51508794067</v>
      </c>
      <c r="N11" s="159">
        <f>M11/2/('Main Page'!B85^2)+I11*C11^2/12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51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409">
        <f>1.5*0.025*1000*'Main Page'!B89/0.10472/C2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2">
        <f>0.25*C12*PI()*H12*E12^2*'Main Page'!B85^2*E12^2/8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7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4"/>
      <c r="C19" s="112"/>
      <c r="D19" s="407" t="s">
        <v>239</v>
      </c>
      <c r="E19" s="407"/>
      <c r="F19" s="407"/>
      <c r="G19" s="407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3" t="s">
        <v>162</v>
      </c>
      <c r="C21" s="132">
        <f>'Main Page'!B95</f>
        <v>2.31</v>
      </c>
      <c r="D21" s="132">
        <f>'Main Page'!B96</f>
        <v>2.4750000000000001</v>
      </c>
      <c r="E21" s="132">
        <f>'Main Page'!B97</f>
        <v>1.1880000000000002</v>
      </c>
      <c r="F21" s="132">
        <f>'Main Page'!B98</f>
        <v>0.191</v>
      </c>
      <c r="G21" s="132">
        <f>'Main Page'!B99</f>
        <v>0.17399999999999999</v>
      </c>
      <c r="H21" s="136">
        <f>'Main Page'!B100</f>
        <v>7850</v>
      </c>
      <c r="I21" s="409">
        <f>1.5*H21*(0.00000042875*C1^3-(0.00030625*F21+0.00003675*D21+0.0000735*E21)*C1^2+(0.035*F21*D21+0.07*E21*F21)*C1)</f>
        <v>14800.274212500004</v>
      </c>
      <c r="J21" s="132">
        <f>'Main Page'!B101</f>
        <v>0</v>
      </c>
      <c r="K21" s="132">
        <f>'Main Page'!B102</f>
        <v>0</v>
      </c>
      <c r="L21" s="132">
        <f>'Main Page'!B103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409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409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51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409">
        <f>'Main Page'!B79/2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51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409">
        <f>2*(3.3*'Main Page'!B89+471)/3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409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3" t="s">
        <v>199</v>
      </c>
      <c r="C27" s="129"/>
      <c r="D27" s="129"/>
      <c r="E27" s="129"/>
      <c r="F27" s="129"/>
      <c r="G27" s="129"/>
      <c r="H27" s="129"/>
      <c r="I27" s="409">
        <f>2.6*'Main Page'!B89+0.002168*C1^3.4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3" t="s">
        <v>200</v>
      </c>
      <c r="C28" s="129"/>
      <c r="D28" s="129"/>
      <c r="E28" s="129"/>
      <c r="F28" s="129"/>
      <c r="G28" s="129"/>
      <c r="H28" s="129"/>
      <c r="I28" s="409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4"/>
      <c r="O34" s="157"/>
    </row>
    <row r="35" spans="1:25" s="112" customFormat="1" ht="12.75">
      <c r="B35" s="163" t="s">
        <v>216</v>
      </c>
      <c r="I35" s="410" t="s">
        <v>466</v>
      </c>
      <c r="J35" s="410"/>
    </row>
    <row r="36" spans="1:25" s="112" customFormat="1" ht="12.75">
      <c r="B36" s="163" t="s">
        <v>217</v>
      </c>
      <c r="C36" s="150" t="s">
        <v>218</v>
      </c>
      <c r="I36" s="412" t="s">
        <v>467</v>
      </c>
      <c r="J36" s="412"/>
    </row>
    <row r="37" spans="1:25" s="112" customFormat="1" ht="12.75">
      <c r="B37" s="163" t="s">
        <v>219</v>
      </c>
      <c r="C37" s="112" t="s">
        <v>220</v>
      </c>
      <c r="I37" s="413" t="s">
        <v>468</v>
      </c>
      <c r="J37" s="413"/>
    </row>
    <row r="38" spans="1:25" s="112" customFormat="1" ht="12.75">
      <c r="B38" s="164"/>
    </row>
    <row r="39" spans="1:25" s="112" customFormat="1" ht="12.75">
      <c r="B39" s="163" t="s">
        <v>226</v>
      </c>
      <c r="C39" s="112" t="s">
        <v>227</v>
      </c>
    </row>
    <row r="40" spans="1:25" s="112" customFormat="1" ht="12.75">
      <c r="B40" s="163" t="s">
        <v>223</v>
      </c>
      <c r="C40" s="112" t="s">
        <v>224</v>
      </c>
    </row>
    <row r="41" spans="1:25" s="112" customFormat="1" ht="12.75">
      <c r="B41" s="163" t="s">
        <v>225</v>
      </c>
      <c r="C41" s="112" t="s">
        <v>228</v>
      </c>
    </row>
    <row r="42" spans="1:25" s="112" customFormat="1" ht="12.75">
      <c r="B42" s="165"/>
    </row>
    <row r="43" spans="1:25" s="112" customFormat="1" ht="12.75">
      <c r="B43" s="163" t="s">
        <v>229</v>
      </c>
      <c r="C43" s="112" t="s">
        <v>230</v>
      </c>
    </row>
    <row r="44" spans="1:25" s="112" customFormat="1" ht="12.75">
      <c r="B44" s="163" t="s">
        <v>231</v>
      </c>
      <c r="C44" s="112" t="s">
        <v>232</v>
      </c>
    </row>
    <row r="45" spans="1:25" s="112" customFormat="1" ht="12.75">
      <c r="B45" s="163" t="s">
        <v>275</v>
      </c>
      <c r="C45" s="112" t="s">
        <v>276</v>
      </c>
    </row>
    <row r="46" spans="1:25" s="112" customFormat="1" ht="12.75">
      <c r="B46" s="165"/>
    </row>
    <row r="47" spans="1:25" s="112" customFormat="1" ht="12.75">
      <c r="B47" s="163" t="s">
        <v>234</v>
      </c>
      <c r="C47" s="114" t="s">
        <v>235</v>
      </c>
    </row>
    <row r="48" spans="1:25" s="112" customFormat="1" ht="12.75">
      <c r="B48" s="163" t="s">
        <v>233</v>
      </c>
      <c r="C48" s="112" t="s">
        <v>236</v>
      </c>
    </row>
    <row r="49" spans="2:3" s="112" customFormat="1" ht="12.75">
      <c r="B49" s="163" t="s">
        <v>277</v>
      </c>
      <c r="C49" s="112" t="s">
        <v>278</v>
      </c>
    </row>
    <row r="50" spans="2:3" s="112" customFormat="1" ht="12.75">
      <c r="B50" s="163"/>
    </row>
    <row r="51" spans="2:3" s="112" customFormat="1" ht="12.75">
      <c r="B51" s="163"/>
    </row>
    <row r="52" spans="2:3" s="112" customFormat="1" ht="12.75">
      <c r="B52" s="163" t="s">
        <v>237</v>
      </c>
      <c r="C52" s="112" t="s">
        <v>241</v>
      </c>
    </row>
    <row r="53" spans="2:3" s="112" customFormat="1" ht="12.75">
      <c r="B53" s="163" t="s">
        <v>238</v>
      </c>
      <c r="C53" s="112" t="s">
        <v>242</v>
      </c>
    </row>
    <row r="54" spans="2:3" s="112" customFormat="1" ht="12.75">
      <c r="B54" s="163" t="s">
        <v>243</v>
      </c>
      <c r="C54" s="112" t="s">
        <v>244</v>
      </c>
    </row>
    <row r="55" spans="2:3" s="112" customFormat="1" ht="12.75">
      <c r="B55" s="163" t="s">
        <v>245</v>
      </c>
      <c r="C55" s="112" t="s">
        <v>246</v>
      </c>
    </row>
    <row r="56" spans="2:3" s="112" customFormat="1" ht="12.75">
      <c r="B56" s="163"/>
    </row>
    <row r="57" spans="2:3" s="112" customFormat="1" ht="12.75">
      <c r="B57" s="163" t="s">
        <v>252</v>
      </c>
      <c r="C57" s="112" t="s">
        <v>253</v>
      </c>
    </row>
    <row r="58" spans="2:3" s="112" customFormat="1" ht="12.75">
      <c r="B58" s="163" t="s">
        <v>247</v>
      </c>
      <c r="C58" s="112" t="s">
        <v>248</v>
      </c>
    </row>
    <row r="59" spans="2:3" s="112" customFormat="1" ht="12.75">
      <c r="B59" s="163" t="s">
        <v>249</v>
      </c>
      <c r="C59" s="112" t="s">
        <v>251</v>
      </c>
    </row>
    <row r="60" spans="2:3" s="112" customFormat="1" ht="12.75">
      <c r="B60" s="163" t="s">
        <v>250</v>
      </c>
      <c r="C60" s="112" t="s">
        <v>254</v>
      </c>
    </row>
    <row r="61" spans="2:3" s="112" customFormat="1" ht="12.75">
      <c r="B61" s="163"/>
    </row>
    <row r="62" spans="2:3" s="112" customFormat="1" ht="12.75">
      <c r="B62" s="163" t="s">
        <v>256</v>
      </c>
      <c r="C62" s="112" t="s">
        <v>261</v>
      </c>
    </row>
    <row r="63" spans="2:3" s="112" customFormat="1" ht="12.75">
      <c r="B63" s="163" t="s">
        <v>257</v>
      </c>
      <c r="C63" s="112" t="s">
        <v>262</v>
      </c>
    </row>
    <row r="64" spans="2:3" s="112" customFormat="1" ht="12.75">
      <c r="B64" s="163" t="s">
        <v>258</v>
      </c>
      <c r="C64" s="112" t="s">
        <v>263</v>
      </c>
    </row>
    <row r="65" spans="2:3" s="112" customFormat="1" ht="12.75">
      <c r="B65" s="163" t="s">
        <v>259</v>
      </c>
      <c r="C65" s="112" t="s">
        <v>264</v>
      </c>
    </row>
    <row r="66" spans="2:3" s="112" customFormat="1" ht="12.75">
      <c r="B66" s="163" t="s">
        <v>260</v>
      </c>
      <c r="C66" s="112" t="s">
        <v>265</v>
      </c>
    </row>
    <row r="67" spans="2:3" s="112" customFormat="1" ht="12.75">
      <c r="B67" s="163"/>
    </row>
    <row r="68" spans="2:3" s="112" customFormat="1" ht="12.75">
      <c r="B68" s="163" t="s">
        <v>266</v>
      </c>
      <c r="C68" s="112" t="s">
        <v>267</v>
      </c>
    </row>
    <row r="69" spans="2:3" s="112" customFormat="1" ht="12.75">
      <c r="B69" s="163" t="s">
        <v>268</v>
      </c>
      <c r="C69" s="112" t="s">
        <v>269</v>
      </c>
    </row>
    <row r="70" spans="2:3" s="112" customFormat="1" ht="12.75">
      <c r="B70" s="163"/>
    </row>
    <row r="71" spans="2:3" s="112" customFormat="1" ht="12.75">
      <c r="B71" s="163" t="s">
        <v>272</v>
      </c>
      <c r="C71" s="112" t="s">
        <v>273</v>
      </c>
    </row>
    <row r="72" spans="2:3" s="112" customFormat="1" ht="12.75">
      <c r="B72" s="163" t="s">
        <v>270</v>
      </c>
      <c r="C72" s="112" t="s">
        <v>271</v>
      </c>
    </row>
    <row r="73" spans="2:3" s="112" customFormat="1" ht="12.75">
      <c r="B73" s="163" t="s">
        <v>274</v>
      </c>
      <c r="C73" s="112" t="s">
        <v>279</v>
      </c>
    </row>
    <row r="74" spans="2:3" s="112" customFormat="1" ht="12.75">
      <c r="B74" s="163"/>
    </row>
    <row r="75" spans="2:3" s="112" customFormat="1" ht="12.75">
      <c r="B75" s="163" t="s">
        <v>281</v>
      </c>
      <c r="C75" s="112" t="s">
        <v>241</v>
      </c>
    </row>
    <row r="76" spans="2:3" s="112" customFormat="1" ht="12.75">
      <c r="B76" s="163" t="s">
        <v>280</v>
      </c>
      <c r="C76" s="112" t="s">
        <v>240</v>
      </c>
    </row>
    <row r="77" spans="2:3" s="112" customFormat="1" ht="12.75">
      <c r="B77" s="163" t="s">
        <v>282</v>
      </c>
      <c r="C77" s="112" t="s">
        <v>283</v>
      </c>
    </row>
    <row r="78" spans="2:3" s="112" customFormat="1" ht="12.75">
      <c r="B78" s="163" t="s">
        <v>284</v>
      </c>
      <c r="C78" s="112" t="s">
        <v>244</v>
      </c>
    </row>
    <row r="79" spans="2:3" s="112" customFormat="1" ht="12.75">
      <c r="B79" s="163" t="s">
        <v>285</v>
      </c>
      <c r="C79" s="112" t="s">
        <v>286</v>
      </c>
    </row>
    <row r="80" spans="2:3" s="112" customFormat="1" ht="12.75">
      <c r="B80" s="163"/>
    </row>
    <row r="81" spans="2:3" s="112" customFormat="1" ht="12.75">
      <c r="B81" s="163" t="s">
        <v>287</v>
      </c>
      <c r="C81" s="112" t="s">
        <v>253</v>
      </c>
    </row>
    <row r="82" spans="2:3" s="112" customFormat="1" ht="12.75">
      <c r="B82" s="163" t="s">
        <v>288</v>
      </c>
      <c r="C82" s="112" t="s">
        <v>240</v>
      </c>
    </row>
    <row r="83" spans="2:3" s="112" customFormat="1" ht="12.75">
      <c r="B83" s="163" t="s">
        <v>289</v>
      </c>
      <c r="C83" s="112" t="s">
        <v>292</v>
      </c>
    </row>
    <row r="84" spans="2:3" s="112" customFormat="1" ht="12.75">
      <c r="B84" s="163" t="s">
        <v>290</v>
      </c>
      <c r="C84" s="112" t="s">
        <v>293</v>
      </c>
    </row>
    <row r="85" spans="2:3" s="112" customFormat="1" ht="12.75">
      <c r="B85" s="163" t="s">
        <v>291</v>
      </c>
      <c r="C85" s="112" t="s">
        <v>286</v>
      </c>
    </row>
    <row r="86" spans="2:3" s="112" customFormat="1" ht="12.75">
      <c r="B86" s="163"/>
    </row>
    <row r="87" spans="2:3" s="112" customFormat="1" ht="12.75">
      <c r="B87" s="163" t="s">
        <v>294</v>
      </c>
      <c r="C87" s="112" t="s">
        <v>295</v>
      </c>
    </row>
    <row r="88" spans="2:3" s="112" customFormat="1" ht="12.75">
      <c r="B88" s="163" t="s">
        <v>296</v>
      </c>
      <c r="C88" s="112" t="s">
        <v>298</v>
      </c>
    </row>
    <row r="89" spans="2:3" s="112" customFormat="1" ht="12.75">
      <c r="B89" s="163" t="s">
        <v>297</v>
      </c>
      <c r="C89" s="112" t="s">
        <v>299</v>
      </c>
    </row>
    <row r="90" spans="2:3" s="112" customFormat="1" ht="12.75">
      <c r="B90" s="163" t="s">
        <v>300</v>
      </c>
      <c r="C90" s="112" t="s">
        <v>301</v>
      </c>
    </row>
    <row r="91" spans="2:3" s="112" customFormat="1" ht="12.75">
      <c r="B91" s="163" t="s">
        <v>302</v>
      </c>
      <c r="C91" s="112" t="s">
        <v>286</v>
      </c>
    </row>
    <row r="92" spans="2:3" s="112" customFormat="1" ht="12.75"/>
    <row r="93" spans="2:3" s="112" customFormat="1" ht="12.75">
      <c r="B93" s="163" t="s">
        <v>199</v>
      </c>
      <c r="C93" s="112" t="s">
        <v>304</v>
      </c>
    </row>
    <row r="94" spans="2:3" s="112" customFormat="1" ht="12.75">
      <c r="B94" s="163" t="s">
        <v>200</v>
      </c>
      <c r="C94" s="112" t="s">
        <v>303</v>
      </c>
    </row>
    <row r="95" spans="2:3" s="112" customFormat="1" ht="12.75">
      <c r="B95" s="164"/>
    </row>
    <row r="96" spans="2:3" ht="12.7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2015-10-20T21:05:11Z</dcterms:modified>
</cp:coreProperties>
</file>