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3" l="1"/>
  <c r="C17" i="13"/>
  <c r="C16" i="13"/>
  <c r="C16" i="10" l="1"/>
  <c r="G42" i="12" l="1"/>
  <c r="F42" i="12"/>
  <c r="D20" i="12" s="1"/>
  <c r="E42" i="12"/>
  <c r="F22" i="12" s="1"/>
  <c r="D42" i="12"/>
  <c r="G41" i="12"/>
  <c r="F41" i="12"/>
  <c r="D16" i="12" s="1"/>
  <c r="E41" i="12"/>
  <c r="D41" i="12"/>
  <c r="G18" i="12" s="1"/>
  <c r="G40" i="12"/>
  <c r="F40" i="12"/>
  <c r="D13" i="12" s="1"/>
  <c r="E40" i="12"/>
  <c r="F14" i="12" s="1"/>
  <c r="D40" i="12"/>
  <c r="G13" i="12" s="1"/>
  <c r="G39" i="12"/>
  <c r="F39" i="12"/>
  <c r="E39" i="12"/>
  <c r="F8" i="12" s="1"/>
  <c r="D39" i="12"/>
  <c r="G10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C15" i="13"/>
  <c r="C13" i="13"/>
  <c r="C12" i="13"/>
  <c r="C11" i="13"/>
  <c r="C10" i="13"/>
  <c r="C9" i="13"/>
  <c r="C8" i="13"/>
  <c r="C6" i="13"/>
  <c r="C5" i="13"/>
  <c r="C4" i="13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14" i="13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C19" i="10" l="1"/>
  <c r="D9" i="12"/>
  <c r="D17" i="12"/>
  <c r="G9" i="12"/>
  <c r="F15" i="12"/>
  <c r="F16" i="12"/>
  <c r="D21" i="12"/>
  <c r="F11" i="12"/>
  <c r="F19" i="12"/>
  <c r="G19" i="12"/>
  <c r="D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2" i="12"/>
  <c r="D14" i="12"/>
  <c r="G15" i="12"/>
  <c r="D18" i="12"/>
  <c r="F10" i="12"/>
  <c r="D12" i="12"/>
  <c r="G17" i="12"/>
  <c r="B43" i="5"/>
  <c r="B89" i="5" l="1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I37" i="6" s="1"/>
  <c r="H19" i="3" s="1"/>
  <c r="H15" i="3"/>
  <c r="D38" i="6"/>
  <c r="G38" i="6"/>
  <c r="G35" i="6" s="1"/>
  <c r="F17" i="3" s="1"/>
  <c r="I38" i="6"/>
  <c r="I42" i="6" s="1"/>
  <c r="H24" i="3" s="1"/>
  <c r="G43" i="6"/>
  <c r="G44" i="6" s="1"/>
  <c r="F26" i="3" s="1"/>
  <c r="I43" i="6"/>
  <c r="H25" i="3" s="1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6" i="5"/>
  <c r="B88" i="5"/>
  <c r="C2" i="8" s="1"/>
  <c r="I12" i="8" s="1"/>
  <c r="B29" i="5"/>
  <c r="B30" i="5"/>
  <c r="B24" i="5"/>
  <c r="I8" i="8"/>
  <c r="M8" i="8" s="1"/>
  <c r="N8" i="8" s="1"/>
  <c r="I9" i="8"/>
  <c r="H30" i="3"/>
  <c r="J12" i="8"/>
  <c r="I22" i="8"/>
  <c r="E12" i="8"/>
  <c r="M12" i="8" s="1"/>
  <c r="N25" i="3"/>
  <c r="F25" i="3"/>
  <c r="G41" i="6"/>
  <c r="F23" i="3" s="1"/>
  <c r="G42" i="6"/>
  <c r="F24" i="3" s="1"/>
  <c r="G39" i="6"/>
  <c r="F21" i="3" s="1"/>
  <c r="G40" i="6"/>
  <c r="F22" i="3" s="1"/>
  <c r="H20" i="3"/>
  <c r="I36" i="6"/>
  <c r="H18" i="3"/>
  <c r="I34" i="6"/>
  <c r="H16" i="3"/>
  <c r="O12" i="8" l="1"/>
  <c r="C16" i="7"/>
  <c r="B9" i="4" s="1"/>
  <c r="I46" i="6"/>
  <c r="H28" i="3" s="1"/>
  <c r="I45" i="6"/>
  <c r="H27" i="3" s="1"/>
  <c r="I41" i="6"/>
  <c r="H23" i="3" s="1"/>
  <c r="G47" i="6"/>
  <c r="F29" i="3" s="1"/>
  <c r="G46" i="6"/>
  <c r="F28" i="3" s="1"/>
  <c r="G45" i="6"/>
  <c r="F27" i="3" s="1"/>
  <c r="G37" i="6"/>
  <c r="F19" i="3" s="1"/>
  <c r="I39" i="6"/>
  <c r="H21" i="3" s="1"/>
  <c r="G36" i="6"/>
  <c r="F18" i="3" s="1"/>
  <c r="I35" i="6"/>
  <c r="H17" i="3" s="1"/>
  <c r="G34" i="6"/>
  <c r="F16" i="3" s="1"/>
  <c r="I40" i="6"/>
  <c r="H22" i="3" s="1"/>
  <c r="I47" i="6"/>
  <c r="H29" i="3" s="1"/>
  <c r="I44" i="6"/>
  <c r="H26" i="3" s="1"/>
  <c r="F20" i="3"/>
  <c r="M36" i="6"/>
  <c r="L18" i="3" s="1"/>
  <c r="O40" i="6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J31" i="6" l="1"/>
  <c r="I13" i="3" s="1"/>
  <c r="N21" i="8"/>
  <c r="T47" i="6"/>
  <c r="O22" i="8"/>
  <c r="H45" i="6"/>
  <c r="G27" i="3" s="1"/>
  <c r="P12" i="8"/>
  <c r="M23" i="8"/>
  <c r="O23" i="8" s="1"/>
  <c r="L15" i="8"/>
  <c r="D7" i="5" s="1"/>
  <c r="J32" i="6"/>
  <c r="I14" i="3" s="1"/>
  <c r="H30" i="6"/>
  <c r="G12" i="3" s="1"/>
  <c r="L14" i="8"/>
  <c r="N7" i="8"/>
  <c r="M5" i="8"/>
  <c r="I14" i="8"/>
  <c r="E8" i="5" s="1"/>
  <c r="H46" i="6"/>
  <c r="G28" i="3" s="1"/>
  <c r="P11" i="8"/>
  <c r="M16" i="8" s="1"/>
  <c r="F6" i="5" s="1"/>
  <c r="J15" i="8"/>
  <c r="R8" i="8" s="1"/>
  <c r="I15" i="8"/>
  <c r="E7" i="5" s="1"/>
  <c r="O7" i="8"/>
  <c r="M9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J30" i="6"/>
  <c r="I12" i="3" s="1"/>
  <c r="P30" i="6"/>
  <c r="O12" i="3" s="1"/>
  <c r="T30" i="6"/>
  <c r="C7" i="5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 s="1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R12" i="8"/>
  <c r="T46" i="6"/>
  <c r="I30" i="8"/>
  <c r="E5" i="5" s="1"/>
  <c r="F19" i="7" l="1"/>
  <c r="F15" i="7"/>
  <c r="Q6" i="8"/>
  <c r="L17" i="8"/>
  <c r="L31" i="8" s="1"/>
  <c r="P9" i="8"/>
  <c r="P10" i="8"/>
  <c r="B110" i="5"/>
  <c r="D8" i="5"/>
  <c r="P5" i="8"/>
  <c r="M14" i="8" s="1"/>
  <c r="F8" i="5" s="1"/>
  <c r="N5" i="8"/>
  <c r="P6" i="8"/>
  <c r="N23" i="8"/>
  <c r="Q5" i="8"/>
  <c r="J17" i="8"/>
  <c r="J31" i="8" s="1"/>
  <c r="B8" i="5"/>
  <c r="B53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R24" i="8"/>
  <c r="R28" i="8"/>
  <c r="R21" i="8"/>
  <c r="R22" i="8"/>
  <c r="P27" i="8"/>
  <c r="T50" i="6"/>
  <c r="G22" i="7"/>
  <c r="R23" i="8"/>
  <c r="Q23" i="8"/>
  <c r="D5" i="5"/>
  <c r="Q28" i="8"/>
  <c r="Q25" i="8"/>
  <c r="Q26" i="8"/>
  <c r="Q24" i="8"/>
  <c r="Q21" i="8"/>
  <c r="Q22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N14" i="8" l="1"/>
  <c r="G8" i="5" s="1"/>
  <c r="O14" i="8"/>
  <c r="H8" i="5" s="1"/>
  <c r="R32" i="3"/>
  <c r="B109" i="5" s="1"/>
  <c r="B111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C11" i="4" l="1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12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<sst xmlns="http://schemas.openxmlformats.org/spreadsheetml/2006/main" count="782" uniqueCount="517">
  <si>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</si>
  <si>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</si>
  <si>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</si>
  <si>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</si>
  <si>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</si>
  <si>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</si>
  <si>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</si>
  <si>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</si>
  <si>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</si>
  <si>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</si>
  <si>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</si>
  <si>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</si>
  <si>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</si>
  <si>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</si>
  <si>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</si>
  <si>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</si>
  <si>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</si>
  <si>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</si>
  <si>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</si>
  <si>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</si>
  <si>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</si>
  <si>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</si>
  <si>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</si>
  <si>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</si>
  <si>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</si>
  <si>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</si>
  <si>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</si>
  <si>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</si>
  <si>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</si>
  <si>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</si>
  <si>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</si>
  <si>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</si>
  <si>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</si>
  <si>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</si>
  <si>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</si>
  <si>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</si>
  <si>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</si>
  <si>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</si>
  <si>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</si>
  <si>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</si>
  <si>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</si>
  <si>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</si>
  <si>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</si>
  <si>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</si>
  <si>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</si>
  <si>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</si>
  <si>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</si>
  <si>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</si>
  <si>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</si>
  <si>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</si>
  <si>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</si>
  <si>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</si>
  <si>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</si>
  <si>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</si>
  <si>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</si>
  <si>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</si>
  <si>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</si>
  <si>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</si>
  <si>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</si>
  <si>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</si>
  <si>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</si>
  <si>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</si>
  <si>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</si>
  <si>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</si>
  <si>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</si>
  <si>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</si>
  <si>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</si>
  <si>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</si>
  <si>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</si>
  <si>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</si>
  <si>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</si>
  <si>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</si>
  <si>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</si>
  <si>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</si>
  <si>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</si>
  <si>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</si>
  <si>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</si>
  <si>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</si>
  <si>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</si>
  <si>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</si>
  <si>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</si>
  <si>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</si>
  <si>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</si>
  <si>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</si>
  <si>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</si>
  <si>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</si>
  <si>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</si>
  <si>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</si>
  <si>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</si>
  <si>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</si>
  <si>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</si>
  <si>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</si>
  <si>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</si>
  <si>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</si>
  <si>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</si>
  <si>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</si>
  <si>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</si>
  <si>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</si>
  <si>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</si>
  <si>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</si>
  <si>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</si>
  <si>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</si>
  <si>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</si>
  <si>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</si>
  <si>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</si>
  <si>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</si>
  <si>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</si>
  <si>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</si>
  <si>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</si>
  <si>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</si>
  <si>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</si>
  <si>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</si>
  <si>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</si>
  <si>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</si>
  <si>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</si>
  <si>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</si>
  <si>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</si>
  <si>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</si>
  <si>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</si>
  <si>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</si>
  <si>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</si>
  <si>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</si>
  <si>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</si>
  <si>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</si>
  <si>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</si>
  <si>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</si>
  <si>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</si>
  <si>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</si>
  <si>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</si>
  <si>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</si>
  <si>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</si>
  <si>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</si>
  <si>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</si>
  <si>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</si>
  <si>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</si>
  <si>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</si>
  <si>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</si>
  <si>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</si>
  <si>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</si>
  <si>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</si>
  <si>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</si>
  <si>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</si>
  <si>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</si>
  <si>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</si>
  <si>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</si>
  <si>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</si>
  <si>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</si>
  <si>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</si>
  <si>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</si>
  <si>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</si>
  <si>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</si>
  <si>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</si>
  <si>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</si>
  <si>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</si>
  <si>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</si>
  <si>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</si>
  <si>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</si>
  <si>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</si>
  <si>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</si>
  <si>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</si>
  <si>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</si>
  <si>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</si>
  <si>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</si>
  <si>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</si>
  <si>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</si>
  <si>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</si>
  <si>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</si>
  <si>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</si>
  <si>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</si>
  <si>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</si>
  <si>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</si>
  <si>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</si>
  <si>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</si>
  <si>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</si>
  <si>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</si>
  <si>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</si>
  <si>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</si>
  <si>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</si>
  <si>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</si>
  <si>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</si>
  <si>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</si>
  <si>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</si>
  <si>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</si>
  <si>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</si>
  <si>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</si>
  <si>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</si>
  <si>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</si>
  <si>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</si>
  <si>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</si>
  <si>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</si>
  <si>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</si>
  <si>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</si>
  <si>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</si>
  <si>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</si>
  <si>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</si>
  <si>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</si>
  <si>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</si>
  <si>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</si>
  <si>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</si>
  <si>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</si>
  <si>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</si>
  <si>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</si>
  <si>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</si>
  <si>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</si>
  <si>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</si>
  <si>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</si>
  <si>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</si>
  <si>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</si>
  <si>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</si>
  <si>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</si>
  <si>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</si>
  <si>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</si>
  <si>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</si>
  <si>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</si>
  <si>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</si>
  <si>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</si>
  <si>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</si>
  <si>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</si>
  <si>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</si>
  <si>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</si>
  <si>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</si>
  <si>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</si>
  <si>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</si>
  <si>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</si>
  <si>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</si>
  <si>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</si>
  <si>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</si>
  <si>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</si>
  <si>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</si>
  <si>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</si>
  <si>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</si>
  <si>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</si>
  <si>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</si>
  <si>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</si>
  <si>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</si>
  <si>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</si>
  <si>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</si>
  <si>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</si>
  <si>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</si>
  <si>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</si>
  <si>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</si>
  <si>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</si>
  <si>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</si>
  <si>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</si>
  <si>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</si>
  <si>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</si>
  <si>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</si>
  <si>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</si>
  <si>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</si>
  <si>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</si>
  <si>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</si>
  <si>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</si>
  <si>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</si>
  <si>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</si>
  <si>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</si>
  <si>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</si>
  <si>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</si>
  <si>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</si>
  <si>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</si>
  <si>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</si>
  <si>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</si>
  <si>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</si>
  <si>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</si>
  <si>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</si>
  <si>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</si>
  <si>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</si>
  <si>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</si>
  <si>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</si>
  <si>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</si>
  <si>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</si>
  <si>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</si>
  <si>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</si>
  <si>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</si>
  <si>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</si>
  <si>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</si>
  <si>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</si>
  <si>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</si>
  <si>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</si>
  <si>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</si>
  <si>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</si>
  <si>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</si>
  <si>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</si>
  <si>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</si>
  <si>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</si>
  <si>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</si>
  <si>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</si>
  <si>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</si>
  <si>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</si>
  <si>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</si>
  <si>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</si>
  <si>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</si>
  <si>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</si>
  <si>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</si>
  <si>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</si>
  <si>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</si>
  <si>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</si>
  <si>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</si>
  <si>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</si>
  <si>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</si>
  <si>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</si>
  <si>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</si>
  <si>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</si>
  <si>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</si>
  <si>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</si>
  <si>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</si>
  <si>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</si>
  <si>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</si>
  <si>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</si>
  <si>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</si>
  <si>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</si>
  <si>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</si>
  <si>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</si>
  <si>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</si>
  <si>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</si>
  <si>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</si>
  <si>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</si>
  <si>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</si>
  <si>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</si>
  <si>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</si>
  <si>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</si>
  <si>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</si>
  <si>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</si>
  <si>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</si>
  <si>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</si>
  <si>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</si>
  <si>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</si>
  <si>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</si>
  <si>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</si>
  <si>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</si>
  <si>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</si>
  <si>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</si>
  <si>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</si>
  <si>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</si>
  <si>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</si>
  <si>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</si>
  <si>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</si>
  <si>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</si>
  <si>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</si>
  <si>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</si>
  <si>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</si>
  <si>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</si>
  <si>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</si>
  <si>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</si>
  <si>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</si>
  <si>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</si>
  <si>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</si>
  <si>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</si>
  <si>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</si>
  <si>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</si>
  <si>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</si>
  <si>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</si>
  <si>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</si>
  <si>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</si>
  <si>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</si>
  <si>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</si>
  <si>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</si>
  <si>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</si>
  <si>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</si>
  <si>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</si>
  <si>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</si>
  <si>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</si>
  <si>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</si>
  <si>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</si>
  <si>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</si>
  <si>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</si>
  <si>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</si>
  <si>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</si>
  <si>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</si>
  <si>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</si>
  <si>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</si>
  <si>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</si>
  <si>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</si>
  <si>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</si>
  <si>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</si>
  <si>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</si>
  <si>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</si>
  <si>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</si>
  <si>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</si>
  <si>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</si>
  <si>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</si>
  <si>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</si>
  <si>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</si>
  <si>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</si>
  <si>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</si>
  <si>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</si>
  <si>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</si>
  <si>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</si>
  <si>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</si>
  <si>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</si>
  <si>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</si>
  <si>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</si>
  <si>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</si>
  <si>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</si>
  <si>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</si>
  <si>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</si>
  <si>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</si>
  <si>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</si>
  <si>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</si>
  <si>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</si>
  <si>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</si>
  <si>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</si>
  <si>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</si>
  <si>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</si>
  <si>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</si>
  <si>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</si>
  <si>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</si>
  <si>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</si>
  <si>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</si>
  <si>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</si>
  <si>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</si>
  <si>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</si>
  <si>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</si>
  <si>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</si>
  <si>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</si>
  <si>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</si>
  <si>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</si>
  <si>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</si>
  <si>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</si>
  <si>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</si>
  <si>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</si>
  <si>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</si>
  <si>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</si>
  <si>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</si>
  <si>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</si>
  <si>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</si>
  <si>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</si>
  <si>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</si>
  <si>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</si>
  <si>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</si>
  <si>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</si>
  <si>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</si>
  <si>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</si>
  <si>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</si>
  <si>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</si>
  <si>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</si>
  <si>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</si>
  <si>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</si>
  <si>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</si>
  <si>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</si>
  <si>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</si>
  <si>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</si>
  <si>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</si>
  <si>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</si>
  <si>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</si>
  <si>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</si>
  <si>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</si>
  <si>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</si>
  <si>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</si>
  <si>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</si>
  <si>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</si>
  <si>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</si>
  <si>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</si>
  <si>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</si>
  <si>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</si>
  <si>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</si>
  <si>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VS_RtGnSp</t>
  </si>
  <si>
    <t>N-m</t>
  </si>
  <si>
    <t>VS_RtTq</t>
  </si>
  <si>
    <t>N-m/HSSrpm^2</t>
  </si>
  <si>
    <t>VS_Rgn2K</t>
  </si>
  <si>
    <t>deg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</si>
  <si>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</si>
  <si>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</si>
  <si>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</si>
  <si>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</si>
  <si>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</si>
  <si>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</si>
  <si>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</si>
  <si>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</si>
  <si>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</si>
  <si>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</si>
  <si>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</si>
  <si>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</si>
  <si>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</si>
  <si>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</si>
  <si>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</si>
  <si>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</si>
  <si>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</si>
  <si>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</si>
  <si>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OverHang</t>
  </si>
  <si>
    <t>NacCMxn</t>
  </si>
  <si>
    <t>NacCMyn</t>
  </si>
  <si>
    <t>NacCMzn</t>
  </si>
  <si>
    <t>TowerHt</t>
  </si>
  <si>
    <t>Twr2Shft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</si>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</sst>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00000"/>
    <numFmt numFmtId="170" formatCode="0.0000000"/>
    <numFmt numFmtId="171" formatCode="0.000000"/>
    <numFmt numFmtId="172" formatCode="0.00000E+00"/>
    <numFmt numFmtId="173" formatCode="0.00000000E+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 applyFill="1"/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Border="1"/>
    <xf numFmtId="172" fontId="0" fillId="0" borderId="0" xfId="0" applyNumberFormat="1" applyAlignment="1">
      <alignment horizontal="right"/>
    </xf>
    <xf numFmtId="168" fontId="0" fillId="0" borderId="0" xfId="0" applyNumberFormat="1"/>
    <xf numFmtId="173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9488"/>
        <c:axId val="115921664"/>
      </c:scatterChart>
      <c:valAx>
        <c:axId val="11591948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21664"/>
        <c:crossesAt val="-10"/>
        <c:crossBetween val="midCat"/>
      </c:valAx>
      <c:valAx>
        <c:axId val="11592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9194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50</xdr:row>
      <xdr:rowOff>112229</xdr:rowOff>
    </xdr:from>
    <xdr:to>
      <xdr:col>14</xdr:col>
      <xdr:colOff>132936</xdr:colOff>
      <xdr:row>60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44</xdr:row>
      <xdr:rowOff>58392</xdr:rowOff>
    </xdr:from>
    <xdr:to>
      <xdr:col>12</xdr:col>
      <xdr:colOff>203338</xdr:colOff>
      <xdr:row>49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abSelected="1" topLeftCell="A121" zoomScale="115" zoomScaleNormal="115" workbookViewId="0">
      <selection activeCell="C144" sqref="C144:F144"/>
    </sheetView>
  </sheetViews>
  <sheetFormatPr defaultRowHeight="11.25"/>
  <cols>
    <col min="1" max="1" width="34.83203125" customWidth="1"/>
    <col min="2" max="2" width="11.66406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399</v>
      </c>
      <c r="C1" s="396" t="s">
        <v>393</v>
      </c>
      <c r="D1" s="397"/>
      <c r="E1" s="397"/>
      <c r="F1" s="397"/>
      <c r="G1" s="397"/>
      <c r="H1" s="398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0" t="s">
        <v>119</v>
      </c>
      <c r="C3" s="391"/>
      <c r="D3" s="392"/>
      <c r="E3" s="35"/>
      <c r="F3" s="393" t="s">
        <v>18</v>
      </c>
      <c r="G3" s="394"/>
      <c r="H3" s="395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PI()*(B67^4-B68^4)/32/(GECdrivetrain!C7)*GECtwrdata!F7</f>
        <v>2300693019.9789252</v>
      </c>
      <c r="D14" s="348" t="s">
        <v>418</v>
      </c>
      <c r="E14" s="349"/>
    </row>
    <row r="15" spans="1:8">
      <c r="A15" s="61" t="s">
        <v>420</v>
      </c>
      <c r="B15" s="372">
        <v>5</v>
      </c>
      <c r="D15" s="348" t="s">
        <v>403</v>
      </c>
      <c r="E15" s="349"/>
    </row>
    <row r="16" spans="1:8">
      <c r="A16" s="61" t="s">
        <v>419</v>
      </c>
      <c r="B16" s="372">
        <v>64807728</v>
      </c>
      <c r="D16" s="348" t="s">
        <v>403</v>
      </c>
      <c r="E16" s="349"/>
    </row>
    <row r="17" spans="1:21" ht="23.4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399" t="s">
        <v>374</v>
      </c>
      <c r="E19" s="398"/>
      <c r="F19" s="398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399" t="s">
        <v>373</v>
      </c>
      <c r="E20" s="398"/>
      <c r="F20" s="398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2">
        <f>B89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B92</f>
        <v>5000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11.190581936148892</v>
      </c>
    </row>
    <row r="30" spans="1:21" ht="9.75" customHeight="1">
      <c r="A30" s="100" t="s">
        <v>376</v>
      </c>
      <c r="B30" s="271">
        <f>B92*1000/(B29*PI()/30)/(B19-C19-B20-C20)</f>
        <v>4612612.6126126135</v>
      </c>
    </row>
    <row r="31" spans="1:21" ht="9.75" customHeight="1">
      <c r="A31" s="350" t="s">
        <v>404</v>
      </c>
      <c r="B31" s="271">
        <f>B92*1000/(B87*PI()/30)/(B19)</f>
        <v>27921.919840683397</v>
      </c>
      <c r="D31" s="348" t="s">
        <v>405</v>
      </c>
      <c r="E31" s="349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" customHeight="1">
      <c r="A37" s="373" t="s">
        <v>421</v>
      </c>
      <c r="B37" s="277">
        <v>2.6</v>
      </c>
      <c r="D37" s="348" t="s">
        <v>422</v>
      </c>
      <c r="E37" s="349"/>
    </row>
    <row r="38" spans="1:5" ht="12" customHeight="1">
      <c r="A38" s="373" t="s">
        <v>423</v>
      </c>
      <c r="B38" s="277">
        <v>30</v>
      </c>
      <c r="D38" s="348" t="s">
        <v>422</v>
      </c>
      <c r="E38" s="349"/>
    </row>
    <row r="39" spans="1:5" ht="12" customHeight="1">
      <c r="A39" s="373" t="s">
        <v>424</v>
      </c>
      <c r="B39" s="277">
        <v>-0.5</v>
      </c>
      <c r="D39" s="348" t="s">
        <v>422</v>
      </c>
      <c r="E39" s="349"/>
    </row>
    <row r="40" spans="1:5" ht="12" customHeight="1">
      <c r="A40" s="373" t="s">
        <v>425</v>
      </c>
      <c r="B40" s="277">
        <v>2.5000000000000001E-2</v>
      </c>
      <c r="D40" s="348" t="s">
        <v>422</v>
      </c>
      <c r="E40" s="349"/>
    </row>
    <row r="41" spans="1:5" ht="12.75" customHeight="1"/>
    <row r="42" spans="1:5" ht="12.75" customHeight="1">
      <c r="A42" s="109" t="s">
        <v>406</v>
      </c>
      <c r="B42" s="29"/>
      <c r="D42" s="348" t="s">
        <v>403</v>
      </c>
      <c r="E42" s="349"/>
    </row>
    <row r="43" spans="1:5" ht="12" customHeight="1">
      <c r="A43" s="373" t="s">
        <v>426</v>
      </c>
      <c r="B43" s="277">
        <f>B31/B87^2</f>
        <v>8.6178764940380848E-3</v>
      </c>
      <c r="D43" s="348" t="s">
        <v>427</v>
      </c>
      <c r="E43" s="349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8">
        <v>2.9279999999999999</v>
      </c>
    </row>
    <row r="47" spans="1:5">
      <c r="A47" s="100" t="s">
        <v>123</v>
      </c>
      <c r="B47" s="279">
        <v>4.41</v>
      </c>
    </row>
    <row r="48" spans="1:5" ht="15" customHeight="1">
      <c r="A48" s="100" t="s">
        <v>124</v>
      </c>
      <c r="B48" s="279">
        <v>16</v>
      </c>
    </row>
    <row r="49" spans="1:4" ht="11.25" customHeight="1">
      <c r="A49" s="100" t="s">
        <v>125</v>
      </c>
      <c r="B49" s="279">
        <v>10.17</v>
      </c>
    </row>
    <row r="50" spans="1:4" ht="13.5" customHeight="1">
      <c r="A50" s="100" t="s">
        <v>126</v>
      </c>
      <c r="B50" s="279">
        <v>35.700000000000003</v>
      </c>
    </row>
    <row r="51" spans="1:4" ht="13.5" customHeight="1">
      <c r="A51" s="100" t="s">
        <v>385</v>
      </c>
      <c r="B51" s="332">
        <v>5</v>
      </c>
    </row>
    <row r="52" spans="1:4" ht="18" customHeight="1">
      <c r="A52" s="109" t="s">
        <v>383</v>
      </c>
      <c r="B52" s="63"/>
    </row>
    <row r="53" spans="1:4" ht="13.5" customHeight="1">
      <c r="A53" s="100" t="s">
        <v>384</v>
      </c>
      <c r="B53" s="105">
        <f>ABS(B8)+B13/2*(B11+B18)/57.3-0.5*(B47+B13/2/B9*(B49-B47))</f>
        <v>8.1827591169737772</v>
      </c>
    </row>
    <row r="55" spans="1:4">
      <c r="A55" s="2" t="s">
        <v>12</v>
      </c>
      <c r="C55" s="5"/>
    </row>
    <row r="56" spans="1:4">
      <c r="A56" s="110" t="s">
        <v>127</v>
      </c>
      <c r="B56" s="280">
        <v>6.4</v>
      </c>
      <c r="C56" t="s">
        <v>85</v>
      </c>
      <c r="D56" t="s">
        <v>128</v>
      </c>
    </row>
    <row r="57" spans="1:4">
      <c r="A57" s="110" t="s">
        <v>129</v>
      </c>
      <c r="B57" s="280">
        <v>3.5939999999999999</v>
      </c>
      <c r="C57" t="s">
        <v>85</v>
      </c>
      <c r="D57" s="274" t="s">
        <v>381</v>
      </c>
    </row>
    <row r="58" spans="1:4" ht="10.9" customHeight="1">
      <c r="A58" s="110" t="s">
        <v>130</v>
      </c>
      <c r="B58" s="280">
        <v>3.09</v>
      </c>
      <c r="C58" t="s">
        <v>85</v>
      </c>
      <c r="D58" t="s">
        <v>131</v>
      </c>
    </row>
    <row r="59" spans="1:4">
      <c r="A59" s="110" t="s">
        <v>132</v>
      </c>
      <c r="B59" s="280">
        <v>0.1</v>
      </c>
      <c r="C59" t="s">
        <v>85</v>
      </c>
      <c r="D59" s="274" t="s">
        <v>377</v>
      </c>
    </row>
    <row r="60" spans="1:4">
      <c r="A60" s="18" t="s">
        <v>133</v>
      </c>
      <c r="B60" s="281">
        <v>7850</v>
      </c>
      <c r="C60" t="s">
        <v>102</v>
      </c>
    </row>
    <row r="61" spans="1:4">
      <c r="A61" s="18" t="s">
        <v>134</v>
      </c>
      <c r="B61" s="280">
        <v>-6</v>
      </c>
      <c r="C61" t="s">
        <v>85</v>
      </c>
      <c r="D61" t="s">
        <v>135</v>
      </c>
    </row>
    <row r="62" spans="1:4">
      <c r="A62" s="18" t="s">
        <v>136</v>
      </c>
      <c r="B62" s="280">
        <v>0</v>
      </c>
      <c r="C62" t="s">
        <v>85</v>
      </c>
    </row>
    <row r="63" spans="1:4">
      <c r="A63" s="18" t="s">
        <v>137</v>
      </c>
      <c r="B63" s="280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80">
        <v>3.6</v>
      </c>
      <c r="C66" t="s">
        <v>85</v>
      </c>
      <c r="D66" t="s">
        <v>379</v>
      </c>
    </row>
    <row r="67" spans="1:4">
      <c r="A67" s="18" t="s">
        <v>140</v>
      </c>
      <c r="B67" s="280">
        <v>1.04</v>
      </c>
      <c r="C67" t="s">
        <v>85</v>
      </c>
    </row>
    <row r="68" spans="1:4">
      <c r="A68" s="18" t="s">
        <v>141</v>
      </c>
      <c r="B68" s="280">
        <v>0.52</v>
      </c>
      <c r="C68" t="s">
        <v>85</v>
      </c>
      <c r="D68" t="s">
        <v>142</v>
      </c>
    </row>
    <row r="69" spans="1:4">
      <c r="A69" s="18" t="s">
        <v>133</v>
      </c>
      <c r="B69" s="281">
        <v>7850</v>
      </c>
      <c r="C69" t="s">
        <v>102</v>
      </c>
    </row>
    <row r="70" spans="1:4">
      <c r="A70" s="18" t="s">
        <v>136</v>
      </c>
      <c r="B70" s="280">
        <v>0</v>
      </c>
      <c r="C70" t="s">
        <v>85</v>
      </c>
      <c r="D70" t="s">
        <v>143</v>
      </c>
    </row>
    <row r="71" spans="1:4">
      <c r="A71" s="18" t="s">
        <v>137</v>
      </c>
      <c r="B71" s="280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80">
        <v>-4.2</v>
      </c>
      <c r="C74" t="s">
        <v>85</v>
      </c>
      <c r="D74" t="s">
        <v>146</v>
      </c>
    </row>
    <row r="75" spans="1:4">
      <c r="A75" s="18" t="s">
        <v>147</v>
      </c>
      <c r="B75" s="280">
        <v>0</v>
      </c>
      <c r="C75" t="s">
        <v>85</v>
      </c>
    </row>
    <row r="76" spans="1:4">
      <c r="A76" s="18" t="s">
        <v>148</v>
      </c>
      <c r="B76" s="280">
        <v>0</v>
      </c>
      <c r="C76" t="s">
        <v>85</v>
      </c>
    </row>
    <row r="77" spans="1:4">
      <c r="A77" s="18" t="s">
        <v>149</v>
      </c>
      <c r="B77" s="280">
        <v>-1.2</v>
      </c>
      <c r="C77" t="s">
        <v>85</v>
      </c>
      <c r="D77" t="s">
        <v>150</v>
      </c>
    </row>
    <row r="78" spans="1:4">
      <c r="A78" s="18" t="s">
        <v>151</v>
      </c>
      <c r="B78" s="280">
        <v>0</v>
      </c>
      <c r="C78" t="s">
        <v>85</v>
      </c>
    </row>
    <row r="79" spans="1:4">
      <c r="A79" s="18" t="s">
        <v>152</v>
      </c>
      <c r="B79" s="280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2">
        <v>42259</v>
      </c>
      <c r="C82" t="s">
        <v>117</v>
      </c>
      <c r="D82" t="s">
        <v>155</v>
      </c>
    </row>
    <row r="83" spans="1:4">
      <c r="A83" s="18" t="s">
        <v>134</v>
      </c>
      <c r="B83" s="280">
        <v>0</v>
      </c>
      <c r="C83" t="s">
        <v>85</v>
      </c>
      <c r="D83" t="s">
        <v>156</v>
      </c>
    </row>
    <row r="84" spans="1:4">
      <c r="A84" s="18" t="s">
        <v>136</v>
      </c>
      <c r="B84" s="280">
        <v>0</v>
      </c>
      <c r="C84" t="s">
        <v>85</v>
      </c>
    </row>
    <row r="85" spans="1:4">
      <c r="A85" s="18" t="s">
        <v>137</v>
      </c>
      <c r="B85" s="280">
        <v>0</v>
      </c>
      <c r="C85" t="s">
        <v>85</v>
      </c>
    </row>
    <row r="86" spans="1:4">
      <c r="A86" s="18" t="s">
        <v>394</v>
      </c>
      <c r="B86" s="280">
        <v>75</v>
      </c>
      <c r="C86" t="s">
        <v>395</v>
      </c>
    </row>
    <row r="87" spans="1:4">
      <c r="A87" s="18" t="s">
        <v>396</v>
      </c>
      <c r="B87" s="280">
        <v>1800</v>
      </c>
      <c r="C87" t="s">
        <v>397</v>
      </c>
    </row>
    <row r="88" spans="1:4">
      <c r="A88" s="18" t="s">
        <v>157</v>
      </c>
      <c r="B88" s="336">
        <f>1800/B89</f>
        <v>160.84954386379741</v>
      </c>
    </row>
    <row r="89" spans="1:4">
      <c r="A89" s="18" t="s">
        <v>158</v>
      </c>
      <c r="B89" s="336">
        <f>B86/B13*2*30/PI()</f>
        <v>11.190581936148892</v>
      </c>
      <c r="D89" t="s">
        <v>380</v>
      </c>
    </row>
    <row r="90" spans="1:4">
      <c r="A90" s="18"/>
      <c r="B90" s="123"/>
    </row>
    <row r="91" spans="1:4">
      <c r="A91" s="111" t="s">
        <v>159</v>
      </c>
      <c r="B91" s="125"/>
    </row>
    <row r="92" spans="1:4">
      <c r="A92" s="18" t="s">
        <v>160</v>
      </c>
      <c r="B92" s="283">
        <v>5000</v>
      </c>
      <c r="C92" t="s">
        <v>161</v>
      </c>
    </row>
    <row r="93" spans="1:4">
      <c r="A93" s="18" t="s">
        <v>134</v>
      </c>
      <c r="B93" s="280">
        <v>1.5</v>
      </c>
      <c r="C93" t="s">
        <v>85</v>
      </c>
      <c r="D93" t="s">
        <v>162</v>
      </c>
    </row>
    <row r="94" spans="1:4">
      <c r="A94" s="18" t="s">
        <v>136</v>
      </c>
      <c r="B94" s="284">
        <v>0</v>
      </c>
      <c r="C94" t="s">
        <v>85</v>
      </c>
    </row>
    <row r="95" spans="1:4">
      <c r="A95" s="18" t="s">
        <v>137</v>
      </c>
      <c r="B95" s="284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4">
        <v>4.2</v>
      </c>
      <c r="C98" t="s">
        <v>85</v>
      </c>
      <c r="D98" t="s">
        <v>164</v>
      </c>
    </row>
    <row r="99" spans="1:4">
      <c r="A99" s="18" t="s">
        <v>165</v>
      </c>
      <c r="B99" s="280">
        <v>4.5</v>
      </c>
      <c r="C99" t="s">
        <v>85</v>
      </c>
      <c r="D99" t="s">
        <v>166</v>
      </c>
    </row>
    <row r="100" spans="1:4">
      <c r="A100" s="18" t="s">
        <v>167</v>
      </c>
      <c r="B100" s="280">
        <v>2.2080000000000002</v>
      </c>
      <c r="C100" t="s">
        <v>85</v>
      </c>
    </row>
    <row r="101" spans="1:4">
      <c r="A101" s="18" t="s">
        <v>168</v>
      </c>
      <c r="B101" s="280">
        <v>0.39100000000000001</v>
      </c>
      <c r="C101" t="s">
        <v>85</v>
      </c>
    </row>
    <row r="102" spans="1:4">
      <c r="A102" s="18" t="s">
        <v>169</v>
      </c>
      <c r="B102" s="280">
        <v>0.35299999999999998</v>
      </c>
      <c r="C102" t="s">
        <v>85</v>
      </c>
    </row>
    <row r="103" spans="1:4">
      <c r="A103" s="18" t="s">
        <v>133</v>
      </c>
      <c r="B103" s="281">
        <v>7850</v>
      </c>
      <c r="C103" t="s">
        <v>85</v>
      </c>
    </row>
    <row r="104" spans="1:4">
      <c r="A104" s="18" t="s">
        <v>134</v>
      </c>
      <c r="B104" s="284">
        <v>0</v>
      </c>
      <c r="C104" t="s">
        <v>85</v>
      </c>
    </row>
    <row r="105" spans="1:4">
      <c r="A105" s="18" t="s">
        <v>136</v>
      </c>
      <c r="B105" s="284">
        <v>0</v>
      </c>
      <c r="C105" t="s">
        <v>85</v>
      </c>
    </row>
    <row r="106" spans="1:4">
      <c r="A106" s="18" t="s">
        <v>137</v>
      </c>
      <c r="B106" s="284">
        <v>-1.464</v>
      </c>
      <c r="C106" t="s">
        <v>85</v>
      </c>
      <c r="D106" t="s">
        <v>170</v>
      </c>
    </row>
    <row r="108" spans="1:4">
      <c r="A108" s="111" t="s">
        <v>388</v>
      </c>
    </row>
    <row r="109" spans="1:4">
      <c r="A109" s="333" t="s">
        <v>389</v>
      </c>
      <c r="B109" s="334">
        <f>'Blade Data'!R32*B10+E8</f>
        <v>209406.61759284293</v>
      </c>
      <c r="C109" t="s">
        <v>117</v>
      </c>
    </row>
    <row r="110" spans="1:4">
      <c r="A110" s="333" t="s">
        <v>390</v>
      </c>
      <c r="B110" s="334">
        <f>E5+E6+E7</f>
        <v>270668.70913834521</v>
      </c>
      <c r="C110" t="s">
        <v>117</v>
      </c>
    </row>
    <row r="111" spans="1:4">
      <c r="A111" s="333" t="s">
        <v>391</v>
      </c>
      <c r="B111" s="334">
        <f>B109+B110</f>
        <v>480075.32673118811</v>
      </c>
      <c r="C111" t="s">
        <v>117</v>
      </c>
    </row>
    <row r="112" spans="1:4">
      <c r="A112" s="18" t="s">
        <v>398</v>
      </c>
      <c r="B112" s="334">
        <f>GECtwrdata!O26</f>
        <v>775097.181771609</v>
      </c>
      <c r="C112" t="s">
        <v>117</v>
      </c>
    </row>
    <row r="113" spans="1:13">
      <c r="A113" t="s">
        <v>348</v>
      </c>
      <c r="H113" t="s">
        <v>320</v>
      </c>
      <c r="I113" s="184"/>
      <c r="J113" s="184"/>
    </row>
    <row r="114" spans="1:13" ht="14.25">
      <c r="A114" s="185"/>
      <c r="B114" s="186"/>
      <c r="C114" s="187" t="s">
        <v>321</v>
      </c>
      <c r="D114" s="188"/>
      <c r="E114" s="186"/>
      <c r="F114" s="189" t="s">
        <v>322</v>
      </c>
      <c r="G114" s="190"/>
      <c r="H114" s="185"/>
      <c r="I114" s="191" t="s">
        <v>333</v>
      </c>
      <c r="J114" s="191" t="s">
        <v>334</v>
      </c>
      <c r="K114" s="192" t="s">
        <v>335</v>
      </c>
    </row>
    <row r="115" spans="1:13" ht="13.5">
      <c r="A115" s="193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4" t="s">
        <v>341</v>
      </c>
      <c r="H115" s="193" t="s">
        <v>87</v>
      </c>
      <c r="I115" s="176" t="s">
        <v>342</v>
      </c>
      <c r="J115" s="176" t="s">
        <v>342</v>
      </c>
      <c r="K115" s="195" t="s">
        <v>342</v>
      </c>
    </row>
    <row r="116" spans="1:13" ht="12">
      <c r="A116" s="285">
        <v>7.0000000000000007E-2</v>
      </c>
      <c r="B116" s="286">
        <v>1744.3133922079908</v>
      </c>
      <c r="C116" s="287">
        <v>29122938.297288962</v>
      </c>
      <c r="D116" s="288">
        <v>3620</v>
      </c>
      <c r="E116" s="289">
        <v>3620</v>
      </c>
      <c r="F116" s="287">
        <v>29122938.297288962</v>
      </c>
      <c r="G116" s="290">
        <v>3620</v>
      </c>
      <c r="H116" s="291">
        <v>7.0000000000000007E-2</v>
      </c>
      <c r="I116" s="292">
        <v>1.2430064449702122E-4</v>
      </c>
      <c r="J116" s="292">
        <v>1.2430064449702122E-4</v>
      </c>
      <c r="K116" s="293">
        <v>1.2430064449702122E-4</v>
      </c>
    </row>
    <row r="117" spans="1:13" ht="12">
      <c r="A117" s="294">
        <v>0.25</v>
      </c>
      <c r="B117" s="286">
        <v>820.83943163266395</v>
      </c>
      <c r="C117" s="287">
        <v>18532000</v>
      </c>
      <c r="D117" s="288">
        <v>3620</v>
      </c>
      <c r="E117" s="289">
        <v>3831.1603891089389</v>
      </c>
      <c r="F117" s="287">
        <v>3703647.8899118411</v>
      </c>
      <c r="G117" s="290">
        <v>975.93034057089426</v>
      </c>
      <c r="H117" s="295">
        <v>0.25</v>
      </c>
      <c r="I117" s="287">
        <v>1.9533779408590547E-4</v>
      </c>
      <c r="J117" s="287">
        <v>2.0673215999940313E-4</v>
      </c>
      <c r="K117" s="296">
        <v>2.6350516290416708E-4</v>
      </c>
    </row>
    <row r="118" spans="1:13" ht="12">
      <c r="A118" s="294">
        <v>0.5</v>
      </c>
      <c r="B118" s="286">
        <v>461.4693354399289</v>
      </c>
      <c r="C118" s="287">
        <v>7977800</v>
      </c>
      <c r="D118" s="288">
        <v>3620</v>
      </c>
      <c r="E118" s="289">
        <v>3770.5998818939092</v>
      </c>
      <c r="F118" s="287">
        <v>954719.98330712854</v>
      </c>
      <c r="G118" s="290">
        <v>975.93034057089426</v>
      </c>
      <c r="H118" s="295">
        <v>0.5</v>
      </c>
      <c r="I118" s="287">
        <v>4.537591817292988E-4</v>
      </c>
      <c r="J118" s="287">
        <v>4.7263655166761628E-4</v>
      </c>
      <c r="K118" s="296">
        <v>1.0222163122534562E-3</v>
      </c>
    </row>
    <row r="119" spans="1:13" ht="12">
      <c r="A119" s="297">
        <v>0.75</v>
      </c>
      <c r="B119" s="298">
        <v>280.18826091065512</v>
      </c>
      <c r="C119" s="299">
        <v>2056600</v>
      </c>
      <c r="D119" s="300">
        <v>3620</v>
      </c>
      <c r="E119" s="301">
        <v>3790.393874645878</v>
      </c>
      <c r="F119" s="299">
        <v>332680.49931206577</v>
      </c>
      <c r="G119" s="302">
        <v>975.93034057089426</v>
      </c>
      <c r="H119" s="303">
        <v>0.75</v>
      </c>
      <c r="I119" s="299">
        <v>1.7601867159389283E-3</v>
      </c>
      <c r="J119" s="299">
        <v>1.8430389354497122E-3</v>
      </c>
      <c r="K119" s="304">
        <v>2.9335363587254869E-3</v>
      </c>
    </row>
    <row r="121" spans="1:13">
      <c r="A121" t="s">
        <v>349</v>
      </c>
    </row>
    <row r="122" spans="1:13" ht="13.5">
      <c r="A122" s="185"/>
      <c r="B122" s="189" t="s">
        <v>88</v>
      </c>
      <c r="C122" s="189" t="s">
        <v>323</v>
      </c>
      <c r="D122" s="189" t="s">
        <v>89</v>
      </c>
      <c r="E122" s="196" t="s">
        <v>324</v>
      </c>
      <c r="F122" s="189" t="s">
        <v>325</v>
      </c>
      <c r="G122" s="189" t="s">
        <v>326</v>
      </c>
      <c r="H122" s="189" t="s">
        <v>327</v>
      </c>
      <c r="I122" s="189" t="s">
        <v>343</v>
      </c>
      <c r="J122" s="189" t="s">
        <v>344</v>
      </c>
      <c r="K122" s="189" t="s">
        <v>113</v>
      </c>
      <c r="L122" s="189" t="s">
        <v>112</v>
      </c>
      <c r="M122" s="197" t="s">
        <v>345</v>
      </c>
    </row>
    <row r="123" spans="1:13" ht="13.5">
      <c r="A123" s="193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5" t="s">
        <v>357</v>
      </c>
    </row>
    <row r="124" spans="1:13">
      <c r="A124" s="305">
        <v>0.05</v>
      </c>
      <c r="B124" s="306">
        <v>3.456438912877827</v>
      </c>
      <c r="C124" s="307">
        <v>1</v>
      </c>
      <c r="D124" s="307" t="s">
        <v>378</v>
      </c>
      <c r="E124" s="346">
        <v>0.25</v>
      </c>
      <c r="F124" s="306">
        <v>0.5</v>
      </c>
      <c r="G124" s="306">
        <v>0.5</v>
      </c>
      <c r="H124" s="309">
        <v>3708.4116472912633</v>
      </c>
      <c r="I124" s="310">
        <v>63720689411.753181</v>
      </c>
      <c r="J124" s="310">
        <v>63720689411.753181</v>
      </c>
      <c r="K124" s="310">
        <v>42582928810.746231</v>
      </c>
      <c r="L124" s="310">
        <v>22057695577.548672</v>
      </c>
      <c r="M124" s="311">
        <v>11076.026331706065</v>
      </c>
    </row>
    <row r="125" spans="1:13">
      <c r="A125" s="285">
        <v>7.0000000000000007E-2</v>
      </c>
      <c r="B125" s="312">
        <v>3.4564389128778257</v>
      </c>
      <c r="C125" s="313">
        <v>1</v>
      </c>
      <c r="D125" s="313" t="s">
        <v>378</v>
      </c>
      <c r="E125" s="346">
        <v>0.25</v>
      </c>
      <c r="F125" s="312">
        <v>0.5</v>
      </c>
      <c r="G125" s="312">
        <v>0.5</v>
      </c>
      <c r="H125" s="314">
        <v>622.32317170970805</v>
      </c>
      <c r="I125" s="315">
        <v>14036801421.634676</v>
      </c>
      <c r="J125" s="315">
        <v>14036801421.634676</v>
      </c>
      <c r="K125" s="315">
        <v>9469182296.3330479</v>
      </c>
      <c r="L125" s="315">
        <v>4904988079.2989025</v>
      </c>
      <c r="M125" s="316">
        <v>1858.7116243479393</v>
      </c>
    </row>
    <row r="126" spans="1:13">
      <c r="A126" s="294">
        <v>0.25</v>
      </c>
      <c r="B126" s="312">
        <v>5.11988823977648</v>
      </c>
      <c r="C126" s="313">
        <v>0.33</v>
      </c>
      <c r="D126" s="313">
        <v>4.4774839135584772</v>
      </c>
      <c r="E126" s="308">
        <v>0.34</v>
      </c>
      <c r="F126" s="312">
        <v>0.40155924806474785</v>
      </c>
      <c r="G126" s="312">
        <v>0.32671302753123166</v>
      </c>
      <c r="H126" s="314">
        <v>684.40053797312055</v>
      </c>
      <c r="I126" s="315">
        <v>4203286116.1718955</v>
      </c>
      <c r="J126" s="315">
        <v>12611588173.054085</v>
      </c>
      <c r="K126" s="317">
        <v>9141425662.3435383</v>
      </c>
      <c r="L126" s="317">
        <v>145303921.84035307</v>
      </c>
      <c r="M126" s="318">
        <v>959.83453034575007</v>
      </c>
    </row>
    <row r="127" spans="1:13">
      <c r="A127" s="294">
        <v>0.5</v>
      </c>
      <c r="B127" s="312">
        <v>3.9255778511557029</v>
      </c>
      <c r="C127" s="313">
        <v>0.24</v>
      </c>
      <c r="D127" s="313">
        <v>8.9761837714735897</v>
      </c>
      <c r="E127" s="308">
        <v>0.31</v>
      </c>
      <c r="F127" s="312">
        <v>0.37588941559495792</v>
      </c>
      <c r="G127" s="312">
        <v>0.32336301372350362</v>
      </c>
      <c r="H127" s="314">
        <v>516.27028971966695</v>
      </c>
      <c r="I127" s="315">
        <v>1017265797.32573</v>
      </c>
      <c r="J127" s="315">
        <v>2540323261.1101747</v>
      </c>
      <c r="K127" s="317">
        <v>6898689157.7993288</v>
      </c>
      <c r="L127" s="317">
        <v>57861076.091574006</v>
      </c>
      <c r="M127" s="318">
        <v>304.44012217310359</v>
      </c>
    </row>
    <row r="128" spans="1:13">
      <c r="A128" s="294">
        <v>0.75</v>
      </c>
      <c r="B128" s="312">
        <v>2.7312674625349254</v>
      </c>
      <c r="C128" s="313">
        <v>0.21</v>
      </c>
      <c r="D128" s="313">
        <v>8.8011309411295144</v>
      </c>
      <c r="E128" s="308">
        <v>0.28000000000000003</v>
      </c>
      <c r="F128" s="312">
        <v>0.38745755696890288</v>
      </c>
      <c r="G128" s="312">
        <v>0.3261326391065098</v>
      </c>
      <c r="H128" s="314">
        <v>225.15720776799671</v>
      </c>
      <c r="I128" s="315">
        <v>159223885.56322324</v>
      </c>
      <c r="J128" s="315">
        <v>610414304.9755882</v>
      </c>
      <c r="K128" s="317">
        <v>2907294183.0127583</v>
      </c>
      <c r="L128" s="317">
        <v>11605234.21344462</v>
      </c>
      <c r="M128" s="318">
        <v>65.910007513233523</v>
      </c>
    </row>
    <row r="129" spans="1:13">
      <c r="A129" s="319">
        <v>1</v>
      </c>
      <c r="B129" s="320">
        <v>1.6565913131826264</v>
      </c>
      <c r="C129" s="321">
        <v>0.16</v>
      </c>
      <c r="D129" s="321">
        <v>0</v>
      </c>
      <c r="E129" s="320">
        <v>0.25</v>
      </c>
      <c r="F129" s="320">
        <v>0.49249999999999999</v>
      </c>
      <c r="G129" s="320">
        <v>0.35780000000000001</v>
      </c>
      <c r="H129" s="322">
        <v>21.986079158927165</v>
      </c>
      <c r="I129" s="323">
        <v>1559775.5371830396</v>
      </c>
      <c r="J129" s="323">
        <v>53624369.654070929</v>
      </c>
      <c r="K129" s="324">
        <v>235713983.59357151</v>
      </c>
      <c r="L129" s="324">
        <v>1237516.5813282721</v>
      </c>
      <c r="M129" s="325">
        <v>5.4492188866567579</v>
      </c>
    </row>
    <row r="131" spans="1:13">
      <c r="B131" s="18" t="s">
        <v>350</v>
      </c>
      <c r="C131" s="200"/>
      <c r="D131" t="s">
        <v>351</v>
      </c>
      <c r="H131" t="s">
        <v>407</v>
      </c>
    </row>
    <row r="133" spans="1:13">
      <c r="A133" t="s">
        <v>369</v>
      </c>
    </row>
    <row r="134" spans="1:13">
      <c r="A134" s="185"/>
      <c r="B134" s="231" t="s">
        <v>364</v>
      </c>
      <c r="C134" s="351" t="s">
        <v>408</v>
      </c>
      <c r="D134" s="190"/>
    </row>
    <row r="135" spans="1:13" ht="12">
      <c r="A135" s="193" t="s">
        <v>87</v>
      </c>
      <c r="B135" s="234" t="s">
        <v>367</v>
      </c>
      <c r="C135" s="226"/>
      <c r="D135" s="227"/>
    </row>
    <row r="136" spans="1:13">
      <c r="A136" s="237">
        <f t="shared" ref="A136:A141" si="0">A124</f>
        <v>0.05</v>
      </c>
      <c r="B136" s="257">
        <v>10.5</v>
      </c>
      <c r="C136" s="326"/>
      <c r="D136" s="342">
        <v>1</v>
      </c>
    </row>
    <row r="137" spans="1:13">
      <c r="A137" s="242">
        <f t="shared" si="0"/>
        <v>7.0000000000000007E-2</v>
      </c>
      <c r="B137" s="258">
        <v>10.5</v>
      </c>
      <c r="C137" s="327"/>
      <c r="D137" s="344">
        <v>1</v>
      </c>
    </row>
    <row r="138" spans="1:13">
      <c r="A138" s="242">
        <f t="shared" si="0"/>
        <v>0.25</v>
      </c>
      <c r="B138" s="329">
        <v>10.5</v>
      </c>
      <c r="C138" s="352"/>
      <c r="D138" s="344">
        <v>2</v>
      </c>
    </row>
    <row r="139" spans="1:13">
      <c r="A139" s="242">
        <f t="shared" si="0"/>
        <v>0.5</v>
      </c>
      <c r="B139" s="329">
        <v>2.5</v>
      </c>
      <c r="C139" s="327"/>
      <c r="D139" s="344">
        <v>2.5</v>
      </c>
    </row>
    <row r="140" spans="1:13">
      <c r="A140" s="242">
        <f t="shared" si="0"/>
        <v>0.75</v>
      </c>
      <c r="B140" s="329">
        <v>0</v>
      </c>
      <c r="C140" s="327"/>
      <c r="D140" s="344">
        <v>3</v>
      </c>
    </row>
    <row r="141" spans="1:13">
      <c r="A141" s="248">
        <f t="shared" si="0"/>
        <v>1</v>
      </c>
      <c r="B141" s="330">
        <v>-0.6</v>
      </c>
      <c r="C141" s="328"/>
      <c r="D141" s="353">
        <v>4</v>
      </c>
    </row>
    <row r="143" spans="1:13" ht="12">
      <c r="A143" s="337" t="s">
        <v>400</v>
      </c>
      <c r="B143" s="338" t="s">
        <v>401</v>
      </c>
      <c r="C143" s="339"/>
    </row>
    <row r="144" spans="1:13">
      <c r="A144" s="340">
        <v>1</v>
      </c>
      <c r="B144" s="341"/>
      <c r="C144" s="342" t="s">
        <v>515</v>
      </c>
      <c r="E144" s="348" t="s">
        <v>516</v>
      </c>
      <c r="F144" s="349"/>
    </row>
    <row r="145" spans="1:7">
      <c r="A145" s="340">
        <v>2</v>
      </c>
      <c r="B145" s="343"/>
      <c r="C145" s="344" t="s">
        <v>409</v>
      </c>
      <c r="E145" s="348" t="s">
        <v>410</v>
      </c>
      <c r="F145" s="349"/>
      <c r="G145" s="349"/>
    </row>
    <row r="146" spans="1:7">
      <c r="A146" s="340">
        <v>3</v>
      </c>
      <c r="B146" s="343"/>
      <c r="C146" s="344" t="s">
        <v>411</v>
      </c>
      <c r="E146" s="348" t="s">
        <v>410</v>
      </c>
      <c r="F146" s="349"/>
      <c r="G146" s="349"/>
    </row>
    <row r="147" spans="1:7">
      <c r="A147" s="345">
        <v>4</v>
      </c>
      <c r="B147" s="354"/>
      <c r="C147" s="353" t="s">
        <v>412</v>
      </c>
      <c r="E147" s="348" t="s">
        <v>410</v>
      </c>
      <c r="F147" s="349"/>
      <c r="G147" s="349"/>
    </row>
    <row r="148" spans="1:7" ht="12" thickBot="1"/>
    <row r="149" spans="1:7" ht="12" thickBot="1">
      <c r="A149" s="386" t="s">
        <v>402</v>
      </c>
      <c r="B149" s="388"/>
      <c r="C149" s="389"/>
      <c r="E149" s="348" t="s">
        <v>403</v>
      </c>
      <c r="F149" s="349"/>
    </row>
    <row r="150" spans="1:7" ht="12" thickBot="1">
      <c r="A150" s="355" t="s">
        <v>35</v>
      </c>
      <c r="B150" s="356" t="s">
        <v>36</v>
      </c>
      <c r="C150" s="356" t="s">
        <v>37</v>
      </c>
      <c r="E150" s="348" t="s">
        <v>403</v>
      </c>
      <c r="F150" s="349"/>
    </row>
    <row r="151" spans="1:7" ht="12" thickBot="1">
      <c r="A151" s="357">
        <v>3.882E-2</v>
      </c>
      <c r="B151" s="358">
        <v>3.882E-2</v>
      </c>
      <c r="C151" s="359">
        <v>5.8999999999999997E-2</v>
      </c>
      <c r="E151" s="348" t="s">
        <v>403</v>
      </c>
      <c r="F151" s="349"/>
    </row>
    <row r="152" spans="1:7" ht="12" thickBot="1"/>
    <row r="153" spans="1:7" ht="12" thickBot="1">
      <c r="A153" s="386" t="s">
        <v>413</v>
      </c>
      <c r="B153" s="387"/>
      <c r="C153" s="360"/>
      <c r="E153" s="348" t="s">
        <v>403</v>
      </c>
      <c r="F153" s="349"/>
    </row>
    <row r="154" spans="1:7">
      <c r="A154" s="361" t="s">
        <v>50</v>
      </c>
      <c r="B154" s="362">
        <v>3.4349999999999999E-2</v>
      </c>
      <c r="C154" s="363"/>
      <c r="E154" s="348" t="s">
        <v>403</v>
      </c>
      <c r="F154" s="349"/>
    </row>
    <row r="155" spans="1:7">
      <c r="A155" s="364" t="s">
        <v>51</v>
      </c>
      <c r="B155" s="365">
        <v>3.4349999999999999E-2</v>
      </c>
      <c r="C155" s="366"/>
      <c r="E155" s="348" t="s">
        <v>403</v>
      </c>
      <c r="F155" s="349"/>
    </row>
    <row r="156" spans="1:7">
      <c r="A156" s="367" t="s">
        <v>52</v>
      </c>
      <c r="B156" s="365">
        <v>3.4349999999999999E-2</v>
      </c>
      <c r="E156" s="348" t="s">
        <v>403</v>
      </c>
      <c r="F156" s="349"/>
    </row>
    <row r="157" spans="1:7" ht="12" thickBot="1">
      <c r="A157" s="368" t="s">
        <v>53</v>
      </c>
      <c r="B157" s="369">
        <v>3.4349999999999999E-2</v>
      </c>
      <c r="E157" s="348" t="s">
        <v>403</v>
      </c>
      <c r="F157" s="349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4.41</v>
      </c>
      <c r="D8" t="s">
        <v>85</v>
      </c>
    </row>
    <row r="9" spans="2:15">
      <c r="B9" t="s">
        <v>99</v>
      </c>
      <c r="C9" s="154">
        <f>'Main Page'!B50</f>
        <v>35.700000000000003</v>
      </c>
      <c r="D9" t="s">
        <v>97</v>
      </c>
    </row>
    <row r="10" spans="2:15">
      <c r="B10" t="s">
        <v>100</v>
      </c>
      <c r="C10" s="154">
        <f>'Main Page'!B48</f>
        <v>16</v>
      </c>
      <c r="D10" t="s">
        <v>97</v>
      </c>
    </row>
    <row r="11" spans="2:15">
      <c r="B11" t="s">
        <v>386</v>
      </c>
      <c r="C11" s="154">
        <f>'Main Page'!B51</f>
        <v>5</v>
      </c>
      <c r="D11" t="s">
        <v>387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6.4</v>
      </c>
      <c r="F5" s="132">
        <f>'Main Page'!B59</f>
        <v>0.1</v>
      </c>
      <c r="G5" s="131"/>
      <c r="H5" s="135">
        <f>'Main Page'!B60</f>
        <v>7850</v>
      </c>
      <c r="I5" s="136">
        <f>H5*F5*PI()*E5^2</f>
        <v>101013.5135464648</v>
      </c>
      <c r="J5" s="132">
        <f>'Main Page'!B61</f>
        <v>-6</v>
      </c>
      <c r="K5" s="132">
        <f>'Main Page'!B62</f>
        <v>0</v>
      </c>
      <c r="L5" s="132">
        <f>'Main Page'!B63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Page'!B61</f>
        <v>-6</v>
      </c>
      <c r="K6" s="132">
        <f>'Main Page'!B62</f>
        <v>0</v>
      </c>
      <c r="L6" s="132">
        <f>'Main Page'!B63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3.6</v>
      </c>
      <c r="D7" s="132">
        <f>'Main Page'!B68</f>
        <v>0.52</v>
      </c>
      <c r="E7" s="132">
        <f>'Main Page'!B67</f>
        <v>1.04</v>
      </c>
      <c r="F7" s="131"/>
      <c r="G7" s="136"/>
      <c r="H7" s="135">
        <f>'Main Page'!B69</f>
        <v>7850</v>
      </c>
      <c r="I7" s="136">
        <f>0.25*PI()*(E7^2-D7^2)*H7*C7</f>
        <v>18004.869621582769</v>
      </c>
      <c r="J7" s="132">
        <f>0.5*('Main Page'!B74+'Main Page'!B77)</f>
        <v>-2.7</v>
      </c>
      <c r="K7" s="132">
        <f>'Main Page'!B70</f>
        <v>0</v>
      </c>
      <c r="L7" s="132">
        <f>'Main Page'!B71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Page'!B74</f>
        <v>-4.2</v>
      </c>
      <c r="K8" s="132">
        <f>'Main Page'!B75</f>
        <v>0</v>
      </c>
      <c r="L8" s="132">
        <f>'Main Page'!B76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Page'!B77</f>
        <v>-1.2</v>
      </c>
      <c r="K9" s="132">
        <f>'Main Page'!B78</f>
        <v>0</v>
      </c>
      <c r="L9" s="132">
        <f>'Main Page'!B79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Page'!B82/2</f>
        <v>21129.5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Page'!B92+471)/3</f>
        <v>5657</v>
      </c>
      <c r="J11" s="132">
        <f>'Main Page'!B93</f>
        <v>1.5</v>
      </c>
      <c r="K11" s="132">
        <f>'Main Page'!B94</f>
        <v>0</v>
      </c>
      <c r="L11" s="132">
        <f>'Main Page'!B95</f>
        <v>0</v>
      </c>
      <c r="M11" s="160">
        <f>0.0000486*C1^5.333</f>
        <v>8402084.3541007079</v>
      </c>
      <c r="N11" s="160">
        <f>M11/2/('Main Page'!B88^2)+I11*C11^2/12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Page'!B92/0.10472/C2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3" t="s">
        <v>240</v>
      </c>
      <c r="E19" s="403"/>
      <c r="F19" s="403"/>
      <c r="G19" s="403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4.2</v>
      </c>
      <c r="D21" s="132">
        <f>'Main Page'!B99</f>
        <v>4.5</v>
      </c>
      <c r="E21" s="132">
        <f>'Main Page'!B100</f>
        <v>2.2080000000000002</v>
      </c>
      <c r="F21" s="132">
        <f>'Main Page'!B101</f>
        <v>0.39100000000000001</v>
      </c>
      <c r="G21" s="132">
        <f>'Main Page'!B102</f>
        <v>0.35299999999999998</v>
      </c>
      <c r="H21" s="136">
        <f>'Main Page'!B103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Page'!B104</f>
        <v>0</v>
      </c>
      <c r="K21" s="132">
        <f>'Main Page'!B105</f>
        <v>0</v>
      </c>
      <c r="L21" s="132">
        <f>'Main Page'!B106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Page'!B82/2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Page'!B92+471)/3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3" sqref="B3:H22"/>
    </sheetView>
  </sheetViews>
  <sheetFormatPr defaultRowHeight="11.25"/>
  <cols>
    <col min="2" max="7" width="15.83203125" customWidth="1"/>
  </cols>
  <sheetData>
    <row r="1" spans="1:8">
      <c r="A1" t="s">
        <v>428</v>
      </c>
      <c r="B1" t="s">
        <v>429</v>
      </c>
      <c r="C1" t="s">
        <v>430</v>
      </c>
    </row>
    <row r="3" spans="1:8">
      <c r="A3" t="s">
        <v>102</v>
      </c>
      <c r="B3" t="s">
        <v>431</v>
      </c>
      <c r="C3" s="18">
        <f>'Main Page'!B17</f>
        <v>1.2250000000000001</v>
      </c>
    </row>
    <row r="4" spans="1:8">
      <c r="A4" t="s">
        <v>432</v>
      </c>
      <c r="B4" t="s">
        <v>433</v>
      </c>
      <c r="C4">
        <v>5.0000000000000001E-3</v>
      </c>
    </row>
    <row r="5" spans="1:8">
      <c r="A5" t="s">
        <v>434</v>
      </c>
      <c r="B5" t="s">
        <v>435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434</v>
      </c>
      <c r="B6" t="s">
        <v>436</v>
      </c>
      <c r="C6" s="18">
        <v>15</v>
      </c>
      <c r="D6" s="18"/>
      <c r="E6" s="18"/>
      <c r="F6" s="18"/>
    </row>
    <row r="7" spans="1:8">
      <c r="B7" t="s">
        <v>437</v>
      </c>
      <c r="C7" t="s">
        <v>438</v>
      </c>
      <c r="D7" t="s">
        <v>439</v>
      </c>
      <c r="E7" t="s">
        <v>440</v>
      </c>
      <c r="F7" t="s">
        <v>88</v>
      </c>
      <c r="G7" t="s">
        <v>441</v>
      </c>
      <c r="H7" t="s">
        <v>513</v>
      </c>
    </row>
    <row r="8" spans="1:8">
      <c r="C8" s="374">
        <f>C37*('Main Page'!B$13/2-'Main Page'!B$56/2) + 'Main Page'!B$56/2</f>
        <v>5.2266666666666666</v>
      </c>
      <c r="D8" s="375">
        <f>(F39-F38)/($D39-$D38)*($C8-$D39)+F38</f>
        <v>11.1</v>
      </c>
      <c r="E8">
        <f>(1/$C$6)*('Main Page'!B$13/2-'Main Page'!B$56/2)</f>
        <v>4.0533333333333328</v>
      </c>
      <c r="F8" s="375">
        <f>(E$39-E$38)/(D$39-D$38)*(C8-D$38)+E$38</f>
        <v>3.5642550729545901</v>
      </c>
      <c r="G8">
        <f>ROUND((G$39-G$38)/(D$39-D$38)*(C8-D$38)+G$38,0)</f>
        <v>1</v>
      </c>
      <c r="H8" t="s">
        <v>514</v>
      </c>
    </row>
    <row r="9" spans="1:8">
      <c r="C9" s="374">
        <f>C38*('Main Page'!B$13/2-'Main Page'!B$56/2) + 'Main Page'!B$56/2</f>
        <v>9.2800000000000011</v>
      </c>
      <c r="D9" s="375">
        <f>(F39-F38)/($D39-$D38)*($C9-$D39)+F38</f>
        <v>11.1</v>
      </c>
      <c r="E9">
        <f>(1/$C$6)*('Main Page'!B$13/2-'Main Page'!B$56/2)</f>
        <v>4.0533333333333328</v>
      </c>
      <c r="F9" s="375">
        <f t="shared" ref="F9" si="0">(E$39-E$38)/(D$39-D$38)*(C9-D$38)+E$38</f>
        <v>4.149542799085598</v>
      </c>
      <c r="G9">
        <f>ROUNDUP((G$39-G$38)/(D$39-D$38)*(C9-D$38)+G$38,0)</f>
        <v>2</v>
      </c>
      <c r="H9" t="s">
        <v>514</v>
      </c>
    </row>
    <row r="10" spans="1:8">
      <c r="C10" s="374">
        <f>C39*('Main Page'!B$13/2-'Main Page'!B$56/2) + 'Main Page'!B$56/2</f>
        <v>13.333333333333332</v>
      </c>
      <c r="D10" s="375">
        <f>(F39-F38)/($D39-$D38)*($C10-$D39)+F38</f>
        <v>11.1</v>
      </c>
      <c r="E10">
        <f>(1/$C$6)*('Main Page'!B$13/2-'Main Page'!B$56/2)</f>
        <v>4.0533333333333328</v>
      </c>
      <c r="F10" s="375">
        <f>(E$39-E$38)/(D$39-D$38)*(C10-D$38)+E$38</f>
        <v>4.7348305252166059</v>
      </c>
      <c r="G10">
        <f>ROUND((G$39-G$38)/(D$39-D$38)*(C10-D$38)+G$38,0)</f>
        <v>2</v>
      </c>
      <c r="H10" t="s">
        <v>514</v>
      </c>
    </row>
    <row r="11" spans="1:8">
      <c r="C11" s="374">
        <f>C40*('Main Page'!B$13/2-'Main Page'!B$56/2) + 'Main Page'!B$56/2</f>
        <v>17.386666666666667</v>
      </c>
      <c r="D11" s="375">
        <f>(F40-F39)/($D40-$D39)*($C11-$D39)+F39</f>
        <v>10.406666666666666</v>
      </c>
      <c r="E11">
        <f>(1/$C$6)*('Main Page'!B$13/2-'Main Page'!B$56/2)</f>
        <v>4.0533333333333328</v>
      </c>
      <c r="F11" s="375">
        <f>(E$40-E$39)/(D$40-D$39)*(C11-D$39)+E$39</f>
        <v>5.0163813394293459</v>
      </c>
      <c r="G11">
        <f>ROUND((G$40-G$39)/(D$40-D$39)*(C11-D$39)+G$39,0)</f>
        <v>2</v>
      </c>
      <c r="H11" t="s">
        <v>514</v>
      </c>
    </row>
    <row r="12" spans="1:8">
      <c r="C12" s="374">
        <f>C41*('Main Page'!B$13/2-'Main Page'!B$56/2) + 'Main Page'!B$56/2</f>
        <v>21.439999999999998</v>
      </c>
      <c r="D12" s="375">
        <f>(F40-F39)/($D40-$D39)*($C12-$D39)+F39</f>
        <v>8.3800000000000008</v>
      </c>
      <c r="E12">
        <f>(1/$C$6)*('Main Page'!B$13/2-'Main Page'!B$56/2)</f>
        <v>4.0533333333333328</v>
      </c>
      <c r="F12" s="375">
        <f t="shared" ref="F12:F13" si="1">(E$40-E$39)/(D$40-D$39)*(C12-D$39)+E$39</f>
        <v>4.7138227076454156</v>
      </c>
      <c r="G12">
        <f t="shared" ref="G12:G14" si="2">ROUND((G$40-G$39)/(D$40-D$39)*(C12-D$39)+G$39,0)</f>
        <v>2</v>
      </c>
      <c r="H12" t="s">
        <v>514</v>
      </c>
    </row>
    <row r="13" spans="1:8">
      <c r="C13" s="374">
        <f>C42*('Main Page'!B$13/2-'Main Page'!B$56/2) + 'Main Page'!B$56/2</f>
        <v>25.493333333333329</v>
      </c>
      <c r="D13" s="375">
        <f>(F40-F39)/($D40-$D39)*($C13-$D39)+F39</f>
        <v>6.3533333333333353</v>
      </c>
      <c r="E13">
        <f>(1/$C$6)*('Main Page'!B$13/2-'Main Page'!B$56/2)</f>
        <v>4.0533333333333328</v>
      </c>
      <c r="F13" s="375">
        <f t="shared" si="1"/>
        <v>4.4112640758614861</v>
      </c>
      <c r="G13">
        <f t="shared" si="2"/>
        <v>2</v>
      </c>
      <c r="H13" t="s">
        <v>514</v>
      </c>
    </row>
    <row r="14" spans="1:8">
      <c r="C14" s="374">
        <f>C43*('Main Page'!B$13/2-'Main Page'!B$56/2) + 'Main Page'!B$56/2</f>
        <v>29.546666666666667</v>
      </c>
      <c r="D14" s="375">
        <f>(F40-F39)/($D40-$D39)*($C14-$D39)+F39</f>
        <v>4.3266666666666662</v>
      </c>
      <c r="E14">
        <f>(1/$C$6)*('Main Page'!B$13/2-'Main Page'!B$56/2)</f>
        <v>4.0533333333333328</v>
      </c>
      <c r="F14" s="375">
        <f>(E$40-E$39)/(D$40-D$39)*(C14-D$39)+E$39</f>
        <v>4.1087054440775557</v>
      </c>
      <c r="G14">
        <f t="shared" si="2"/>
        <v>2</v>
      </c>
      <c r="H14" t="s">
        <v>514</v>
      </c>
    </row>
    <row r="15" spans="1:8">
      <c r="C15" s="374">
        <f>C44*('Main Page'!B$13/2-'Main Page'!B$56/2) + 'Main Page'!B$56/2</f>
        <v>33.6</v>
      </c>
      <c r="D15" s="375">
        <f>(F41-F40)/($D41-$D40)*($C15-$D40)+F40</f>
        <v>2.8499999999999996</v>
      </c>
      <c r="E15">
        <f>(1/$C$6)*('Main Page'!B$13/2-'Main Page'!B$56/2)</f>
        <v>4.0533333333333328</v>
      </c>
      <c r="F15" s="375">
        <f>(E$41-E$40)/(D$41-D$40)*(C15-D$40)+E$40</f>
        <v>3.8061468122936248</v>
      </c>
      <c r="G15">
        <f>ROUND((G$41-G$40)/(D$41-D$40)*(C15-D$40)+G$40,0)</f>
        <v>3</v>
      </c>
      <c r="H15" t="s">
        <v>514</v>
      </c>
    </row>
    <row r="16" spans="1:8">
      <c r="C16" s="374">
        <f>C45*('Main Page'!B$13/2-'Main Page'!B$56/2) + 'Main Page'!B$56/2</f>
        <v>37.653333333333336</v>
      </c>
      <c r="D16" s="375">
        <f>(F41-F40)/($D41-$D40)*($C16-$D40)+F40</f>
        <v>2.2166666666666663</v>
      </c>
      <c r="E16">
        <f>(1/$C$6)*('Main Page'!B$13/2-'Main Page'!B$56/2)</f>
        <v>4.0533333333333328</v>
      </c>
      <c r="F16" s="375">
        <f t="shared" ref="F16:F18" si="3">(E$41-E$40)/(D$41-D$40)*(C16-D$40)+E$40</f>
        <v>3.5035881805096944</v>
      </c>
      <c r="G16">
        <f t="shared" ref="G16:G18" si="4">ROUND((G$41-G$40)/(D$41-D$40)*(C16-D$40)+G$40,0)</f>
        <v>3</v>
      </c>
      <c r="H16" t="s">
        <v>514</v>
      </c>
    </row>
    <row r="17" spans="3:8">
      <c r="C17" s="374">
        <f>C46*('Main Page'!B$13/2-'Main Page'!B$56/2) + 'Main Page'!B$56/2</f>
        <v>41.706666666666663</v>
      </c>
      <c r="D17" s="375">
        <f>(F41-F40)/($D41-$D40)*($C17-$D40)+F40</f>
        <v>1.5833333333333339</v>
      </c>
      <c r="E17">
        <f>(1/$C$6)*('Main Page'!B$13/2-'Main Page'!B$56/2)</f>
        <v>4.0533333333333328</v>
      </c>
      <c r="F17" s="375">
        <f t="shared" si="3"/>
        <v>3.2010295487257645</v>
      </c>
      <c r="G17">
        <f t="shared" si="4"/>
        <v>3</v>
      </c>
      <c r="H17" t="s">
        <v>514</v>
      </c>
    </row>
    <row r="18" spans="3:8">
      <c r="C18" s="374">
        <f>C47*('Main Page'!B$13/2-'Main Page'!B$56/2) + 'Main Page'!B$56/2</f>
        <v>45.76</v>
      </c>
      <c r="D18" s="375">
        <f>(F41-F40)/($D41-$D40)*($C18-$D40)+F40</f>
        <v>0.95000000000000062</v>
      </c>
      <c r="E18">
        <f>(1/$C$6)*('Main Page'!B$13/2-'Main Page'!B$56/2)</f>
        <v>4.0533333333333328</v>
      </c>
      <c r="F18" s="375">
        <f t="shared" si="3"/>
        <v>2.8984709169418341</v>
      </c>
      <c r="G18">
        <f t="shared" si="4"/>
        <v>3</v>
      </c>
      <c r="H18" t="s">
        <v>514</v>
      </c>
    </row>
    <row r="19" spans="3:8">
      <c r="C19" s="374">
        <f>C48*('Main Page'!B$13/2-'Main Page'!B$56/2) + 'Main Page'!B$56/2</f>
        <v>49.81333333333334</v>
      </c>
      <c r="D19" s="375">
        <f>(F42-F41)/($D42-$D41)*($C19-$D41)+F41</f>
        <v>0.5319999999999997</v>
      </c>
      <c r="E19">
        <f>(1/$C$6)*('Main Page'!B$13/2-'Main Page'!B$56/2)</f>
        <v>4.0533333333333328</v>
      </c>
      <c r="F19" s="375">
        <f>(E$42-E$41)/(D$42-D$41)*(C19-D$41)+E$41</f>
        <v>2.6094708322749978</v>
      </c>
      <c r="G19">
        <f>ROUND((G$42-G$41)/(D$42-D$41)*(C19-D$41)+G$41,0)</f>
        <v>3</v>
      </c>
      <c r="H19" t="s">
        <v>514</v>
      </c>
    </row>
    <row r="20" spans="3:8">
      <c r="C20" s="374">
        <f>C49*('Main Page'!B$13/2-'Main Page'!B$56/2) + 'Main Page'!B$56/2</f>
        <v>53.866666666666667</v>
      </c>
      <c r="D20" s="375">
        <f>(F42-F41)/($D42-$D41)*($C20-$D41)+F41</f>
        <v>0.38</v>
      </c>
      <c r="E20">
        <f>(1/$C$6)*('Main Page'!B$13/2-'Main Page'!B$56/2)</f>
        <v>4.0533333333333328</v>
      </c>
      <c r="F20" s="375">
        <f t="shared" ref="F20:F22" si="5">(E$42-E$41)/(D$42-D$41)*(C20-D$41)+E$41</f>
        <v>2.3372195411057488</v>
      </c>
      <c r="G20">
        <f t="shared" ref="G20:G22" si="6">ROUND((G$42-G$41)/(D$42-D$41)*(C20-D$41)+G$41,0)</f>
        <v>3</v>
      </c>
      <c r="H20" t="s">
        <v>514</v>
      </c>
    </row>
    <row r="21" spans="3:8">
      <c r="C21" s="374">
        <f>C50*('Main Page'!B$13/2-'Main Page'!B$56/2) + 'Main Page'!B$56/2</f>
        <v>57.92</v>
      </c>
      <c r="D21" s="375">
        <f>(F42-F41)/($D42-$D41)*($C21-$D41)+F41</f>
        <v>0.22799999999999992</v>
      </c>
      <c r="E21">
        <f>(1/$C$6)*('Main Page'!B$13/2-'Main Page'!B$56/2)</f>
        <v>4.0533333333333328</v>
      </c>
      <c r="F21" s="375">
        <f t="shared" si="5"/>
        <v>2.0649682499364999</v>
      </c>
      <c r="G21">
        <f t="shared" si="6"/>
        <v>4</v>
      </c>
      <c r="H21" t="s">
        <v>514</v>
      </c>
    </row>
    <row r="22" spans="3:8">
      <c r="C22" s="374">
        <f>C51*('Main Page'!B$13/2-'Main Page'!B$56/2) + 'Main Page'!B$56/2</f>
        <v>61.973333333333336</v>
      </c>
      <c r="D22" s="375">
        <f>(F42-F41)/($D42-$D41)*($C22-$D41)+F41</f>
        <v>7.5999999999999845E-2</v>
      </c>
      <c r="E22">
        <f>(1/$C$6)*('Main Page'!B$13/2-'Main Page'!B$56/2)</f>
        <v>4.0533333333333328</v>
      </c>
      <c r="F22" s="375">
        <f t="shared" si="5"/>
        <v>1.7927169587672509</v>
      </c>
      <c r="G22">
        <f t="shared" si="6"/>
        <v>4</v>
      </c>
      <c r="H22" t="s">
        <v>514</v>
      </c>
    </row>
    <row r="36" spans="2:7">
      <c r="B36" t="s">
        <v>442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76">
        <f>B37/C$6</f>
        <v>3.3333333333333333E-2</v>
      </c>
      <c r="D37" s="102">
        <f>GECbladedata!$B5*('Main Page'!B$13/2)</f>
        <v>3.2</v>
      </c>
      <c r="E37">
        <f>GECbladedata!$C5</f>
        <v>3.456438912877827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76">
        <f t="shared" ref="C38:C51" si="7">B38/C$6</f>
        <v>0.1</v>
      </c>
      <c r="D38" s="102">
        <f>GECbladedata!$B6*('Main Page'!B$13/2)</f>
        <v>4.4800000000000004</v>
      </c>
      <c r="E38">
        <f>GECbladedata!$C6</f>
        <v>3.4564389128778257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76">
        <f t="shared" si="7"/>
        <v>0.16666666666666666</v>
      </c>
      <c r="D39" s="102">
        <f>GECbladedata!$B7*('Main Page'!B$13/2)</f>
        <v>16</v>
      </c>
      <c r="E39">
        <f>GECbladedata!$C7</f>
        <v>5.11988823977648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76">
        <f t="shared" si="7"/>
        <v>0.23333333333333334</v>
      </c>
      <c r="D40" s="102">
        <f>GECbladedata!$B8*('Main Page'!B$13/2)</f>
        <v>32</v>
      </c>
      <c r="E40">
        <f>GECbladedata!$C8</f>
        <v>3.9255778511557029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76">
        <f t="shared" si="7"/>
        <v>0.3</v>
      </c>
      <c r="D41" s="102">
        <f>GECbladedata!$B9*('Main Page'!B$13/2)</f>
        <v>48</v>
      </c>
      <c r="E41">
        <f>GECbladedata!$C9</f>
        <v>2.7312674625349254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76">
        <f t="shared" si="7"/>
        <v>0.36666666666666664</v>
      </c>
      <c r="D42" s="102">
        <f>GECbladedata!$B10*('Main Page'!B$13/2)</f>
        <v>64</v>
      </c>
      <c r="E42">
        <f>GECbladedata!$C10</f>
        <v>1.6565913131826264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76">
        <f t="shared" si="7"/>
        <v>0.43333333333333335</v>
      </c>
    </row>
    <row r="44" spans="2:7">
      <c r="B44">
        <v>7.5</v>
      </c>
      <c r="C44" s="376">
        <f t="shared" si="7"/>
        <v>0.5</v>
      </c>
    </row>
    <row r="45" spans="2:7">
      <c r="B45">
        <v>8.5</v>
      </c>
      <c r="C45" s="376">
        <f t="shared" si="7"/>
        <v>0.56666666666666665</v>
      </c>
    </row>
    <row r="46" spans="2:7">
      <c r="B46">
        <v>9.5</v>
      </c>
      <c r="C46" s="376">
        <f t="shared" si="7"/>
        <v>0.6333333333333333</v>
      </c>
    </row>
    <row r="47" spans="2:7">
      <c r="B47">
        <v>10.5</v>
      </c>
      <c r="C47" s="376">
        <f t="shared" si="7"/>
        <v>0.7</v>
      </c>
    </row>
    <row r="48" spans="2:7">
      <c r="B48">
        <v>11.5</v>
      </c>
      <c r="C48" s="376">
        <f t="shared" si="7"/>
        <v>0.76666666666666672</v>
      </c>
    </row>
    <row r="49" spans="2:3">
      <c r="B49">
        <v>12.5</v>
      </c>
      <c r="C49" s="376">
        <f t="shared" si="7"/>
        <v>0.83333333333333337</v>
      </c>
    </row>
    <row r="50" spans="2:3">
      <c r="B50">
        <v>13.5</v>
      </c>
      <c r="C50" s="376">
        <f t="shared" si="7"/>
        <v>0.9</v>
      </c>
    </row>
    <row r="51" spans="2:3">
      <c r="B51">
        <v>14.5</v>
      </c>
      <c r="C51" s="376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G2" sqref="G2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428</v>
      </c>
      <c r="B1" t="s">
        <v>429</v>
      </c>
      <c r="C1" t="s">
        <v>430</v>
      </c>
    </row>
    <row r="3" spans="1:25">
      <c r="A3" t="s">
        <v>85</v>
      </c>
      <c r="B3" t="s">
        <v>443</v>
      </c>
      <c r="C3" s="18">
        <f>'Main Page'!B13/2</f>
        <v>64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414</v>
      </c>
    </row>
    <row r="4" spans="1:25">
      <c r="A4" t="s">
        <v>85</v>
      </c>
      <c r="B4" t="s">
        <v>444</v>
      </c>
      <c r="C4" s="18">
        <f>'Main Page'!B56/2</f>
        <v>3.2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415</v>
      </c>
    </row>
    <row r="5" spans="1:25">
      <c r="A5" t="s">
        <v>387</v>
      </c>
      <c r="B5" t="s">
        <v>445</v>
      </c>
      <c r="C5" s="18">
        <f>'Main Page'!A151*100</f>
        <v>3.8820000000000001</v>
      </c>
      <c r="D5" s="18">
        <f>'Main Page'!B151*100</f>
        <v>3.8820000000000001</v>
      </c>
      <c r="E5" s="377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0" t="s">
        <v>416</v>
      </c>
    </row>
    <row r="6" spans="1:25">
      <c r="B6" t="s">
        <v>446</v>
      </c>
      <c r="C6" s="378" t="s">
        <v>447</v>
      </c>
      <c r="D6" s="378" t="s">
        <v>448</v>
      </c>
      <c r="E6" s="378" t="s">
        <v>449</v>
      </c>
      <c r="F6" s="378" t="s">
        <v>450</v>
      </c>
      <c r="G6" s="378" t="s">
        <v>451</v>
      </c>
      <c r="H6" s="378" t="s">
        <v>452</v>
      </c>
      <c r="I6" s="378" t="s">
        <v>453</v>
      </c>
      <c r="J6" s="378" t="s">
        <v>454</v>
      </c>
      <c r="K6" s="378"/>
      <c r="L6" s="37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0" t="s">
        <v>417</v>
      </c>
    </row>
    <row r="7" spans="1:25">
      <c r="C7" s="379">
        <f>GECbladedata!$C28</f>
        <v>0</v>
      </c>
      <c r="D7" s="379">
        <f>0.25+GECbladedata!$Q28/GECbladedata!$P28</f>
        <v>0.25</v>
      </c>
      <c r="E7" s="379">
        <f>GECbladedata!$K28</f>
        <v>11.1</v>
      </c>
      <c r="F7" s="379">
        <f>GECbladedata!$D28</f>
        <v>3708.4116472912633</v>
      </c>
      <c r="G7" s="380">
        <f>GECbladedata!$O28</f>
        <v>63720689411.753181</v>
      </c>
      <c r="H7" s="381">
        <f>GECbladedata!$N28</f>
        <v>63720689411.753181</v>
      </c>
      <c r="I7" s="381">
        <f>GECbladedata!$L28</f>
        <v>22057695577.548672</v>
      </c>
      <c r="J7" s="381">
        <f>GECbladedata!$M28</f>
        <v>42582928810.746231</v>
      </c>
      <c r="K7" s="378"/>
      <c r="L7" s="37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79">
        <f>GECbladedata!$C29</f>
        <v>2.1052631578947371E-2</v>
      </c>
      <c r="D8" s="379">
        <f>0.25+GECbladedata!$Q29/GECbladedata!$P29</f>
        <v>0.25</v>
      </c>
      <c r="E8" s="379">
        <f>GECbladedata!$K29</f>
        <v>11.1</v>
      </c>
      <c r="F8" s="379">
        <f>GECbladedata!$D29</f>
        <v>622.32317170970805</v>
      </c>
      <c r="G8" s="380">
        <f>GECbladedata!$O29</f>
        <v>14036801421.634676</v>
      </c>
      <c r="H8" s="381">
        <f>GECbladedata!$N29</f>
        <v>14036801421.634676</v>
      </c>
      <c r="I8" s="381">
        <f>GECbladedata!$L29</f>
        <v>4904988079.2989025</v>
      </c>
      <c r="J8" s="381">
        <f>GECbladedata!$M29</f>
        <v>9469182296.3330479</v>
      </c>
      <c r="K8" s="378"/>
      <c r="L8" s="37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79">
        <f>GECbladedata!$C30</f>
        <v>5.2631578947368411E-2</v>
      </c>
      <c r="D9" s="379">
        <f>0.25+GECbladedata!$Q30/GECbladedata!$P30</f>
        <v>0.22943093302493281</v>
      </c>
      <c r="E9" s="379">
        <f>GECbladedata!$K30</f>
        <v>11.1</v>
      </c>
      <c r="F9" s="379">
        <f>GECbladedata!$D30</f>
        <v>632.66939942027682</v>
      </c>
      <c r="G9" s="380">
        <f>GECbladedata!$O30</f>
        <v>12397882204.057547</v>
      </c>
      <c r="H9" s="381">
        <f>GECbladedata!$N30</f>
        <v>13799265880.204578</v>
      </c>
      <c r="I9" s="381">
        <f>GECbladedata!$L30</f>
        <v>4111707386.3891439</v>
      </c>
      <c r="J9" s="381">
        <f>GECbladedata!$M30</f>
        <v>9414556190.668129</v>
      </c>
      <c r="K9" s="378"/>
      <c r="L9" s="37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79">
        <f>GECbladedata!$C31</f>
        <v>0.10526315789473684</v>
      </c>
      <c r="D10" s="379">
        <f>0.25+GECbladedata!$Q31/GECbladedata!$P31</f>
        <v>0.20118976511421421</v>
      </c>
      <c r="E10" s="379">
        <f>GECbladedata!$K31</f>
        <v>11.1</v>
      </c>
      <c r="F10" s="379">
        <f>GECbladedata!$D31</f>
        <v>649.91311227122469</v>
      </c>
      <c r="G10" s="380">
        <f>GECbladedata!$O31</f>
        <v>9666350174.7623291</v>
      </c>
      <c r="H10" s="381">
        <f>GECbladedata!$N31</f>
        <v>13403373311.154413</v>
      </c>
      <c r="I10" s="381">
        <f>GECbladedata!$L31</f>
        <v>2789572898.206214</v>
      </c>
      <c r="J10" s="381">
        <f>GECbladedata!$M31</f>
        <v>9323512681.2265987</v>
      </c>
      <c r="K10" s="378"/>
      <c r="L10" s="37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79">
        <f>GECbladedata!$C32</f>
        <v>0.15789473684210525</v>
      </c>
      <c r="D11" s="379">
        <f>0.25+GECbladedata!$Q32/GECbladedata!$P32</f>
        <v>0.17855181001027015</v>
      </c>
      <c r="E11" s="379">
        <f>GECbladedata!$K32</f>
        <v>11.1</v>
      </c>
      <c r="F11" s="379">
        <f>GECbladedata!$D32</f>
        <v>667.15682512217268</v>
      </c>
      <c r="G11" s="380">
        <f>GECbladedata!$O32</f>
        <v>6934818145.4671125</v>
      </c>
      <c r="H11" s="381">
        <f>GECbladedata!$N32</f>
        <v>13007480742.104248</v>
      </c>
      <c r="I11" s="381">
        <f>GECbladedata!$L32</f>
        <v>1467438410.0232835</v>
      </c>
      <c r="J11" s="381">
        <f>GECbladedata!$M32</f>
        <v>9232469171.7850685</v>
      </c>
      <c r="K11" s="378"/>
      <c r="L11" s="37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79">
        <f>GECbladedata!$C33</f>
        <v>0.21052631578947367</v>
      </c>
      <c r="D12" s="379">
        <f>0.25+GECbladedata!$Q33/GECbladedata!$P33</f>
        <v>0.15999999999999998</v>
      </c>
      <c r="E12" s="379">
        <f>GECbladedata!$K33</f>
        <v>11.1</v>
      </c>
      <c r="F12" s="379">
        <f>GECbladedata!$D33</f>
        <v>684.40053797312055</v>
      </c>
      <c r="G12" s="380">
        <f>GECbladedata!$O33</f>
        <v>4203286116.1718955</v>
      </c>
      <c r="H12" s="381">
        <f>GECbladedata!$N33</f>
        <v>12611588173.054085</v>
      </c>
      <c r="I12" s="381">
        <f>GECbladedata!$L33</f>
        <v>145303921.84035307</v>
      </c>
      <c r="J12" s="381">
        <f>GECbladedata!$M33</f>
        <v>9141425662.3435383</v>
      </c>
      <c r="K12" s="378"/>
      <c r="L12" s="37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79">
        <f>GECbladedata!$C34</f>
        <v>0.26315789473684209</v>
      </c>
      <c r="D13" s="379">
        <f>0.25+GECbladedata!$Q34/GECbladedata!$P34</f>
        <v>0.16482551543977603</v>
      </c>
      <c r="E13" s="379">
        <f>GECbladedata!$K34</f>
        <v>9.5</v>
      </c>
      <c r="F13" s="379">
        <f>GECbladedata!$D34</f>
        <v>650.77448832242987</v>
      </c>
      <c r="G13" s="380">
        <f>GECbladedata!$O34</f>
        <v>3566082052.4026623</v>
      </c>
      <c r="H13" s="381">
        <f>GECbladedata!$N34</f>
        <v>10597335190.665302</v>
      </c>
      <c r="I13" s="381">
        <f>GECbladedata!$L34</f>
        <v>127815352.69059727</v>
      </c>
      <c r="J13" s="381">
        <f>GECbladedata!$M34</f>
        <v>8692878361.4346962</v>
      </c>
    </row>
    <row r="14" spans="1:25">
      <c r="C14" s="379">
        <f>GECbladedata!$C35</f>
        <v>0.31578947368421051</v>
      </c>
      <c r="D14" s="379">
        <f>0.25+GECbladedata!$Q35/GECbladedata!$P35</f>
        <v>0.17014762368544883</v>
      </c>
      <c r="E14" s="379">
        <f>GECbladedata!$K35</f>
        <v>7.9</v>
      </c>
      <c r="F14" s="379">
        <f>GECbladedata!$D35</f>
        <v>617.14843867173909</v>
      </c>
      <c r="G14" s="380">
        <f>GECbladedata!$O35</f>
        <v>2928877988.6334295</v>
      </c>
      <c r="H14" s="381">
        <f>GECbladedata!$N35</f>
        <v>8583082208.2765217</v>
      </c>
      <c r="I14" s="381">
        <f>GECbladedata!$L35</f>
        <v>110326783.54084146</v>
      </c>
      <c r="J14" s="381">
        <f>GECbladedata!$M35</f>
        <v>8244331060.5258551</v>
      </c>
    </row>
    <row r="15" spans="1:25">
      <c r="C15" s="379">
        <f>GECbladedata!$C36</f>
        <v>0.36842105263157893</v>
      </c>
      <c r="D15" s="379">
        <f>0.25+GECbladedata!$Q36/GECbladedata!$P36</f>
        <v>0.17604713944554043</v>
      </c>
      <c r="E15" s="379">
        <f>GECbladedata!$K36</f>
        <v>6.2999999999999989</v>
      </c>
      <c r="F15" s="379">
        <f>GECbladedata!$D36</f>
        <v>583.52238902104841</v>
      </c>
      <c r="G15" s="380">
        <f>GECbladedata!$O36</f>
        <v>2291673924.8641958</v>
      </c>
      <c r="H15" s="381">
        <f>GECbladedata!$N36</f>
        <v>6568829225.8877373</v>
      </c>
      <c r="I15" s="381">
        <f>GECbladedata!$L36</f>
        <v>92838214.391085625</v>
      </c>
      <c r="J15" s="381">
        <f>GECbladedata!$M36</f>
        <v>7795783759.617012</v>
      </c>
    </row>
    <row r="16" spans="1:25">
      <c r="C16" s="379">
        <f>GECbladedata!$C37</f>
        <v>0.42105263157894735</v>
      </c>
      <c r="D16" s="379">
        <f>0.25+GECbladedata!$Q37/GECbladedata!$P37</f>
        <v>0.18262341876379959</v>
      </c>
      <c r="E16" s="379">
        <f>GECbladedata!$K37</f>
        <v>4.6999999999999993</v>
      </c>
      <c r="F16" s="379">
        <f>GECbladedata!$D37</f>
        <v>549.89633937035762</v>
      </c>
      <c r="G16" s="380">
        <f>GECbladedata!$O37</f>
        <v>1654469861.0949631</v>
      </c>
      <c r="H16" s="381">
        <f>GECbladedata!$N37</f>
        <v>4554576243.4989557</v>
      </c>
      <c r="I16" s="381">
        <f>GECbladedata!$L37</f>
        <v>75349645.241329819</v>
      </c>
      <c r="J16" s="381">
        <f>GECbladedata!$M37</f>
        <v>7347236458.7081709</v>
      </c>
    </row>
    <row r="17" spans="2:23">
      <c r="C17" s="379">
        <f>GECbladedata!$C38</f>
        <v>0.47368421052631576</v>
      </c>
      <c r="D17" s="379">
        <f>0.25+GECbladedata!$Q38/GECbladedata!$P38</f>
        <v>0.19</v>
      </c>
      <c r="E17" s="379">
        <f>GECbladedata!$K38</f>
        <v>3.1</v>
      </c>
      <c r="F17" s="379">
        <f>GECbladedata!$D38</f>
        <v>516.27028971966695</v>
      </c>
      <c r="G17" s="380">
        <f>GECbladedata!$O38</f>
        <v>1017265797.32573</v>
      </c>
      <c r="H17" s="381">
        <f>GECbladedata!$N38</f>
        <v>2540323261.1101747</v>
      </c>
      <c r="I17" s="381">
        <f>GECbladedata!$L38</f>
        <v>57861076.091574006</v>
      </c>
      <c r="J17" s="381">
        <f>GECbladedata!$M38</f>
        <v>6898689157.7993288</v>
      </c>
    </row>
    <row r="18" spans="2:23">
      <c r="C18" s="379">
        <f>GECbladedata!$C39</f>
        <v>0.52631578947368418</v>
      </c>
      <c r="D18" s="379">
        <f>0.25+GECbladedata!$Q39/GECbladedata!$P39</f>
        <v>0.194445041544376</v>
      </c>
      <c r="E18" s="379">
        <f>GECbladedata!$K39</f>
        <v>2.5999999999999996</v>
      </c>
      <c r="F18" s="379">
        <f>GECbladedata!$D39</f>
        <v>458.04767332933284</v>
      </c>
      <c r="G18" s="380">
        <f>GECbladedata!$O39</f>
        <v>845657414.97322845</v>
      </c>
      <c r="H18" s="381">
        <f>GECbladedata!$N39</f>
        <v>2154341469.8832569</v>
      </c>
      <c r="I18" s="381">
        <f>GECbladedata!$L39</f>
        <v>48609907.71594812</v>
      </c>
      <c r="J18" s="381">
        <f>GECbladedata!$M39</f>
        <v>6100410162.8420143</v>
      </c>
    </row>
    <row r="19" spans="2:23">
      <c r="C19" s="379">
        <f>GECbladedata!$C40</f>
        <v>0.57894736842105254</v>
      </c>
      <c r="D19" s="379">
        <f>0.25+GECbladedata!$Q40/GECbladedata!$P40</f>
        <v>0.19950597456940372</v>
      </c>
      <c r="E19" s="379">
        <f>GECbladedata!$K40</f>
        <v>2.1000000000000005</v>
      </c>
      <c r="F19" s="379">
        <f>GECbladedata!$D40</f>
        <v>399.8250569389989</v>
      </c>
      <c r="G19" s="380">
        <f>GECbladedata!$O40</f>
        <v>674049032.6207273</v>
      </c>
      <c r="H19" s="381">
        <f>GECbladedata!$N40</f>
        <v>1768359678.6563401</v>
      </c>
      <c r="I19" s="381">
        <f>GECbladedata!$L40</f>
        <v>39358739.340322256</v>
      </c>
      <c r="J19" s="381">
        <f>GECbladedata!$M40</f>
        <v>5302131167.8847008</v>
      </c>
    </row>
    <row r="20" spans="2:23">
      <c r="B20" s="370"/>
      <c r="C20" s="379">
        <f>GECbladedata!$C41</f>
        <v>0.63157894736842102</v>
      </c>
      <c r="D20" s="379">
        <f>0.25+GECbladedata!$Q41/GECbladedata!$P41</f>
        <v>0.20532033117510171</v>
      </c>
      <c r="E20" s="379">
        <f>GECbladedata!$K41</f>
        <v>1.5999999999999999</v>
      </c>
      <c r="F20" s="379">
        <f>GECbladedata!$D41</f>
        <v>341.60244054866479</v>
      </c>
      <c r="G20" s="380">
        <f>GECbladedata!$O41</f>
        <v>502440650.26822585</v>
      </c>
      <c r="H20" s="381">
        <f>GECbladedata!$N41</f>
        <v>1382377887.4294226</v>
      </c>
      <c r="I20" s="381">
        <f>GECbladedata!$L41</f>
        <v>30107570.96469637</v>
      </c>
      <c r="J20" s="381">
        <f>GECbladedata!$M41</f>
        <v>4503852172.9273863</v>
      </c>
    </row>
    <row r="21" spans="2:23">
      <c r="B21" s="370"/>
      <c r="C21" s="379">
        <f>GECbladedata!$C42</f>
        <v>0.68421052631578938</v>
      </c>
      <c r="D21" s="379">
        <f>0.25+GECbladedata!$Q42/GECbladedata!$P42</f>
        <v>0.21206988557647902</v>
      </c>
      <c r="E21" s="379">
        <f>GECbladedata!$K42</f>
        <v>1.1000000000000005</v>
      </c>
      <c r="F21" s="379">
        <f>GECbladedata!$D42</f>
        <v>283.37982415833085</v>
      </c>
      <c r="G21" s="380">
        <f>GECbladedata!$O42</f>
        <v>330832267.91572475</v>
      </c>
      <c r="H21" s="381">
        <f>GECbladedata!$N42</f>
        <v>996396096.20250583</v>
      </c>
      <c r="I21" s="381">
        <f>GECbladedata!$L42</f>
        <v>20856402.589070506</v>
      </c>
      <c r="J21" s="381">
        <f>GECbladedata!$M42</f>
        <v>3705573177.9700732</v>
      </c>
    </row>
    <row r="22" spans="2:23">
      <c r="C22" s="379">
        <f>GECbladedata!$C43</f>
        <v>0.73684210526315785</v>
      </c>
      <c r="D22" s="379">
        <f>0.25+GECbladedata!$Q43/GECbladedata!$P43</f>
        <v>0.21999999999999997</v>
      </c>
      <c r="E22" s="379">
        <f>GECbladedata!$K43</f>
        <v>0.6</v>
      </c>
      <c r="F22" s="379">
        <f>GECbladedata!$D43</f>
        <v>225.15720776799671</v>
      </c>
      <c r="G22" s="380">
        <f>GECbladedata!$O43</f>
        <v>159223885.56322324</v>
      </c>
      <c r="H22" s="381">
        <f>GECbladedata!$N43</f>
        <v>610414304.9755882</v>
      </c>
      <c r="I22" s="381">
        <f>GECbladedata!$L43</f>
        <v>11605234.21344462</v>
      </c>
      <c r="J22" s="381">
        <f>GECbladedata!$M43</f>
        <v>2907294183.0127583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79">
        <f>GECbladedata!$C44</f>
        <v>0.78947368421052622</v>
      </c>
      <c r="D23" s="379">
        <f>0.25+GECbladedata!$Q44/GECbladedata!$P44</f>
        <v>0.22395001413170748</v>
      </c>
      <c r="E23" s="379">
        <f>GECbladedata!$K44</f>
        <v>0.47999999999999987</v>
      </c>
      <c r="F23" s="379">
        <f>GECbladedata!$D44</f>
        <v>184.52298204618276</v>
      </c>
      <c r="G23" s="380">
        <f>GECbladedata!$O44</f>
        <v>127691063.55801517</v>
      </c>
      <c r="H23" s="381">
        <f>GECbladedata!$N44</f>
        <v>499056317.91128469</v>
      </c>
      <c r="I23" s="381">
        <f>GECbladedata!$L44</f>
        <v>9531690.6870213486</v>
      </c>
      <c r="J23" s="381">
        <f>GECbladedata!$M44</f>
        <v>2372978143.1289206</v>
      </c>
    </row>
    <row r="24" spans="2:23">
      <c r="C24" s="379">
        <f>GECbladedata!$C45</f>
        <v>0.84210526315789458</v>
      </c>
      <c r="D24" s="379">
        <f>0.25+GECbladedata!$Q45/GECbladedata!$P45</f>
        <v>0.22863783855373815</v>
      </c>
      <c r="E24" s="379">
        <f>GECbladedata!$K45</f>
        <v>0.36000000000000004</v>
      </c>
      <c r="F24" s="379">
        <f>GECbladedata!$D45</f>
        <v>143.8887563243689</v>
      </c>
      <c r="G24" s="380">
        <f>GECbladedata!$O45</f>
        <v>96158241.552807182</v>
      </c>
      <c r="H24" s="381">
        <f>GECbladedata!$N45</f>
        <v>387698330.84698135</v>
      </c>
      <c r="I24" s="381">
        <f>GECbladedata!$L45</f>
        <v>7458147.1605980825</v>
      </c>
      <c r="J24" s="381">
        <f>GECbladedata!$M45</f>
        <v>1838662103.2450838</v>
      </c>
    </row>
    <row r="25" spans="2:23">
      <c r="C25" s="379">
        <f>GECbladedata!$C46</f>
        <v>0.89473684210526305</v>
      </c>
      <c r="D25" s="379">
        <f>0.25+GECbladedata!$Q46/GECbladedata!$P46</f>
        <v>0.23429148811842618</v>
      </c>
      <c r="E25" s="379">
        <f>GECbladedata!$K46</f>
        <v>0.23999999999999994</v>
      </c>
      <c r="F25" s="379">
        <f>GECbladedata!$D46</f>
        <v>103.25453060255496</v>
      </c>
      <c r="G25" s="380">
        <f>GECbladedata!$O46</f>
        <v>64625419.547599107</v>
      </c>
      <c r="H25" s="381">
        <f>GECbladedata!$N46</f>
        <v>276340343.78267783</v>
      </c>
      <c r="I25" s="381">
        <f>GECbladedata!$L46</f>
        <v>5384603.6341748107</v>
      </c>
      <c r="J25" s="381">
        <f>GECbladedata!$M46</f>
        <v>1304346063.3612461</v>
      </c>
    </row>
    <row r="26" spans="2:23">
      <c r="C26" s="379">
        <f>GECbladedata!$C47</f>
        <v>0.94736842105263142</v>
      </c>
      <c r="D26" s="379">
        <f>0.25+GECbladedata!$Q47/GECbladedata!$P47</f>
        <v>0.24124372302597649</v>
      </c>
      <c r="E26" s="379">
        <f>GECbladedata!$K47</f>
        <v>0.12000000000000011</v>
      </c>
      <c r="F26" s="379">
        <f>GECbladedata!$D47</f>
        <v>62.620304880741116</v>
      </c>
      <c r="G26" s="380">
        <f>GECbladedata!$O47</f>
        <v>33092597.542391106</v>
      </c>
      <c r="H26" s="381">
        <f>GECbladedata!$N47</f>
        <v>164982356.71837449</v>
      </c>
      <c r="I26" s="381">
        <f>GECbladedata!$L47</f>
        <v>3311060.1077515446</v>
      </c>
      <c r="J26" s="381">
        <f>GECbladedata!$M47</f>
        <v>770030023.47740936</v>
      </c>
    </row>
    <row r="27" spans="2:23">
      <c r="C27" s="379">
        <f>GECbladedata!$C48</f>
        <v>0.99999999999999989</v>
      </c>
      <c r="D27" s="379">
        <f>0.25+GECbladedata!$Q48/GECbladedata!$P48</f>
        <v>0.25</v>
      </c>
      <c r="E27" s="379">
        <f>GECbladedata!$K48</f>
        <v>0</v>
      </c>
      <c r="F27" s="379">
        <f>GECbladedata!$D48</f>
        <v>21.986079158927165</v>
      </c>
      <c r="G27" s="380">
        <f>GECbladedata!$O48</f>
        <v>1559775.5371830396</v>
      </c>
      <c r="H27" s="381">
        <f>GECbladedata!$N48</f>
        <v>53624369.654070929</v>
      </c>
      <c r="I27" s="381">
        <f>GECbladedata!$L48</f>
        <v>1237516.5813282721</v>
      </c>
      <c r="J27" s="381">
        <f>GECbladedata!$M48</f>
        <v>235713983.59357151</v>
      </c>
    </row>
    <row r="29" spans="2:23">
      <c r="D29" s="3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F25" sqref="F25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428</v>
      </c>
      <c r="B2" t="s">
        <v>429</v>
      </c>
      <c r="C2" t="s">
        <v>430</v>
      </c>
    </row>
    <row r="3" spans="1:14">
      <c r="K3" s="375"/>
      <c r="L3" s="371"/>
      <c r="M3" s="371"/>
      <c r="N3" s="370"/>
    </row>
    <row r="4" spans="1:14">
      <c r="A4" t="s">
        <v>397</v>
      </c>
      <c r="B4" t="s">
        <v>455</v>
      </c>
      <c r="C4" s="101">
        <f>'Main Page'!B87</f>
        <v>1800</v>
      </c>
      <c r="K4" s="375"/>
      <c r="L4" s="371"/>
      <c r="M4" s="371"/>
      <c r="N4" s="370"/>
    </row>
    <row r="5" spans="1:14">
      <c r="A5" t="s">
        <v>456</v>
      </c>
      <c r="B5" t="s">
        <v>457</v>
      </c>
      <c r="C5" s="376">
        <f>'Main Page'!$B$31</f>
        <v>27921.919840683397</v>
      </c>
      <c r="K5" s="375"/>
    </row>
    <row r="6" spans="1:14">
      <c r="A6" t="s">
        <v>458</v>
      </c>
      <c r="B6" t="s">
        <v>459</v>
      </c>
      <c r="C6" s="374">
        <f>'Main Page'!B43</f>
        <v>8.6178764940380848E-3</v>
      </c>
      <c r="K6" s="375"/>
    </row>
    <row r="7" spans="1:14">
      <c r="A7" t="s">
        <v>460</v>
      </c>
      <c r="B7" t="s">
        <v>461</v>
      </c>
      <c r="C7" s="374">
        <v>2.6</v>
      </c>
      <c r="K7" s="375"/>
    </row>
    <row r="8" spans="1:14">
      <c r="A8" t="s">
        <v>397</v>
      </c>
      <c r="B8" t="s">
        <v>462</v>
      </c>
      <c r="C8">
        <f>'Main Page'!$B$29</f>
        <v>11.190581936148892</v>
      </c>
      <c r="G8" t="s">
        <v>463</v>
      </c>
      <c r="K8" s="375"/>
    </row>
    <row r="9" spans="1:14">
      <c r="A9" t="s">
        <v>460</v>
      </c>
      <c r="B9" t="s">
        <v>464</v>
      </c>
      <c r="C9" s="102">
        <f>'Main Page'!$B$34</f>
        <v>2.6</v>
      </c>
      <c r="G9" t="s">
        <v>465</v>
      </c>
      <c r="K9" s="375"/>
    </row>
    <row r="10" spans="1:14">
      <c r="A10" t="s">
        <v>460</v>
      </c>
      <c r="B10" t="s">
        <v>466</v>
      </c>
      <c r="C10" s="102">
        <f>'Main Page'!$B$35</f>
        <v>90</v>
      </c>
      <c r="G10" t="s">
        <v>467</v>
      </c>
      <c r="K10" s="375"/>
    </row>
    <row r="11" spans="1:14">
      <c r="A11" t="s">
        <v>432</v>
      </c>
      <c r="B11" t="s">
        <v>468</v>
      </c>
      <c r="C11">
        <f>'Main Page'!$B$40</f>
        <v>2.5000000000000001E-2</v>
      </c>
      <c r="G11" t="s">
        <v>469</v>
      </c>
      <c r="K11" s="375"/>
    </row>
    <row r="12" spans="1:14">
      <c r="A12" t="s">
        <v>470</v>
      </c>
      <c r="B12" t="s">
        <v>471</v>
      </c>
      <c r="C12">
        <f>'Main Page'!$B$37*PI()/180</f>
        <v>4.5378560551852569E-2</v>
      </c>
      <c r="G12" t="s">
        <v>472</v>
      </c>
      <c r="K12" s="375"/>
    </row>
    <row r="13" spans="1:14">
      <c r="A13" t="s">
        <v>470</v>
      </c>
      <c r="B13" t="s">
        <v>473</v>
      </c>
      <c r="C13">
        <f>'Main Page'!$B$38*PI()/180</f>
        <v>0.52359877559829882</v>
      </c>
      <c r="G13" t="s">
        <v>474</v>
      </c>
      <c r="K13" s="375"/>
    </row>
    <row r="14" spans="1:14">
      <c r="A14" t="s">
        <v>434</v>
      </c>
      <c r="B14" t="s">
        <v>475</v>
      </c>
      <c r="C14">
        <f>1/C12^C15</f>
        <v>0.21302244142778143</v>
      </c>
      <c r="G14" t="s">
        <v>476</v>
      </c>
      <c r="K14" s="375"/>
    </row>
    <row r="15" spans="1:14">
      <c r="A15" t="s">
        <v>434</v>
      </c>
      <c r="B15" t="s">
        <v>477</v>
      </c>
      <c r="C15">
        <f>'Main Page'!$B$39</f>
        <v>-0.5</v>
      </c>
      <c r="G15" t="s">
        <v>478</v>
      </c>
      <c r="K15" s="375"/>
    </row>
    <row r="16" spans="1:14">
      <c r="B16" t="s">
        <v>509</v>
      </c>
      <c r="C16" s="101">
        <f>(4*'Main Page'!$B$29/30*PI())^2</f>
        <v>21.972656250000007</v>
      </c>
      <c r="D16" s="101">
        <v>0</v>
      </c>
      <c r="E16" s="101">
        <v>0</v>
      </c>
      <c r="G16" t="s">
        <v>510</v>
      </c>
      <c r="K16" s="375"/>
    </row>
    <row r="17" spans="2:11">
      <c r="B17" t="s">
        <v>511</v>
      </c>
      <c r="C17" s="101">
        <f>(4*'Main Page'!$B$29/30*PI())^2</f>
        <v>21.972656250000007</v>
      </c>
      <c r="D17" s="101">
        <f>2*0.8*(4*'Main Page'!$B$29/30*PI())</f>
        <v>7.5000000000000018</v>
      </c>
      <c r="E17" s="101">
        <v>1</v>
      </c>
      <c r="G17" t="s">
        <v>512</v>
      </c>
      <c r="K17" s="102"/>
    </row>
    <row r="19" spans="2:11">
      <c r="K19" s="376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48" sqref="C48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428</v>
      </c>
      <c r="B1" t="s">
        <v>429</v>
      </c>
      <c r="C1" t="s">
        <v>430</v>
      </c>
    </row>
    <row r="3" spans="1:13">
      <c r="A3" t="s">
        <v>85</v>
      </c>
      <c r="B3" t="s">
        <v>479</v>
      </c>
      <c r="C3" s="376">
        <f>'Main Page'!B61</f>
        <v>-6</v>
      </c>
    </row>
    <row r="4" spans="1:13">
      <c r="A4" t="s">
        <v>85</v>
      </c>
      <c r="B4" t="s">
        <v>480</v>
      </c>
      <c r="C4" s="376">
        <f>('Main Page'!B5*'Main Page'!E5+'Main Page'!B6*'Main Page'!E6+'Main Page'!B7*'Main Page'!E7)/C11</f>
        <v>-0.32556971818134689</v>
      </c>
      <c r="I4" s="102"/>
    </row>
    <row r="5" spans="1:13">
      <c r="A5" t="s">
        <v>85</v>
      </c>
      <c r="B5" t="s">
        <v>481</v>
      </c>
      <c r="C5" s="376">
        <f>('Main Page'!C5*'Main Page'!E5+'Main Page'!C6*'Main Page'!E6+'Main Page'!C7*'Main Page'!E7)/C11</f>
        <v>0</v>
      </c>
    </row>
    <row r="6" spans="1:13">
      <c r="A6" t="s">
        <v>85</v>
      </c>
      <c r="B6" t="s">
        <v>482</v>
      </c>
      <c r="C6" s="376">
        <f>('Main Page'!D5*'Main Page'!E5+'Main Page'!D6*'Main Page'!E6+'Main Page'!D7*'Main Page'!E7)/C11+'Main Page'!B46</f>
        <v>2.3429012413100061</v>
      </c>
      <c r="I6" s="103"/>
      <c r="J6" s="103"/>
      <c r="K6" s="103"/>
    </row>
    <row r="7" spans="1:13">
      <c r="A7" t="s">
        <v>85</v>
      </c>
      <c r="B7" t="s">
        <v>483</v>
      </c>
      <c r="C7" s="376">
        <f>'Main Page'!B9-'Main Page'!B46</f>
        <v>151.072</v>
      </c>
      <c r="I7" s="103"/>
      <c r="J7" s="103"/>
      <c r="K7" s="103"/>
    </row>
    <row r="8" spans="1:13">
      <c r="A8" t="s">
        <v>85</v>
      </c>
      <c r="B8" t="s">
        <v>484</v>
      </c>
      <c r="C8" s="376">
        <f>'Main Page'!B46</f>
        <v>2.9279999999999999</v>
      </c>
      <c r="I8" s="103"/>
      <c r="J8" s="103"/>
      <c r="K8" s="103"/>
    </row>
    <row r="9" spans="1:13">
      <c r="A9" t="s">
        <v>460</v>
      </c>
      <c r="B9" t="s">
        <v>485</v>
      </c>
      <c r="C9" s="376">
        <f>-'Main Page'!B11</f>
        <v>-5</v>
      </c>
      <c r="I9" s="103"/>
    </row>
    <row r="10" spans="1:13">
      <c r="A10" t="s">
        <v>460</v>
      </c>
      <c r="B10" t="s">
        <v>486</v>
      </c>
      <c r="C10" s="376">
        <f>-'Main Page'!B18</f>
        <v>0</v>
      </c>
      <c r="I10" s="103"/>
      <c r="M10" s="370"/>
    </row>
    <row r="11" spans="1:13">
      <c r="A11" t="s">
        <v>117</v>
      </c>
      <c r="B11" t="s">
        <v>487</v>
      </c>
      <c r="C11" s="376">
        <f>SUM('Main Page'!E5+'Main Page'!E6+'Main Page'!E7)</f>
        <v>270668.70913834521</v>
      </c>
      <c r="I11" s="103"/>
      <c r="M11" s="370"/>
    </row>
    <row r="12" spans="1:13">
      <c r="A12" t="s">
        <v>117</v>
      </c>
      <c r="B12" t="s">
        <v>488</v>
      </c>
      <c r="C12" s="376">
        <f>'Main Page'!E8</f>
        <v>125969.62234646481</v>
      </c>
      <c r="I12" s="103"/>
      <c r="M12" s="370"/>
    </row>
    <row r="13" spans="1:13">
      <c r="A13" t="s">
        <v>489</v>
      </c>
      <c r="B13" t="s">
        <v>490</v>
      </c>
      <c r="C13" s="376">
        <f>SUM('Main Page'!H5:H7)</f>
        <v>739595.80544436211</v>
      </c>
      <c r="I13" s="103"/>
    </row>
    <row r="14" spans="1:13">
      <c r="A14" t="s">
        <v>489</v>
      </c>
      <c r="B14" t="s">
        <v>491</v>
      </c>
      <c r="C14" s="376">
        <f>SUM(GECdrivetrain!M11:'GECdrivetrain'!M12)/('Main Page'!$B$88)^2</f>
        <v>438.85452296241118</v>
      </c>
      <c r="I14" s="103"/>
    </row>
    <row r="15" spans="1:13">
      <c r="A15" t="s">
        <v>489</v>
      </c>
      <c r="B15" t="s">
        <v>492</v>
      </c>
      <c r="C15" s="376">
        <f>GECdrivetrain!M5</f>
        <v>668484.97012246738</v>
      </c>
    </row>
    <row r="16" spans="1:13">
      <c r="A16" t="s">
        <v>387</v>
      </c>
      <c r="B16" t="s">
        <v>493</v>
      </c>
      <c r="C16" s="385">
        <f>'Main Page'!B19*100</f>
        <v>95</v>
      </c>
    </row>
    <row r="17" spans="1:13">
      <c r="A17" t="s">
        <v>434</v>
      </c>
      <c r="B17" t="s">
        <v>494</v>
      </c>
      <c r="C17">
        <f>'Main Page'!$B$88</f>
        <v>160.84954386379741</v>
      </c>
    </row>
    <row r="18" spans="1:13">
      <c r="A18" t="s">
        <v>495</v>
      </c>
      <c r="B18" t="s">
        <v>496</v>
      </c>
      <c r="C18" s="384">
        <f>'Main Page'!B14</f>
        <v>2300693019.9789252</v>
      </c>
      <c r="I18" s="103"/>
    </row>
    <row r="19" spans="1:13">
      <c r="A19" t="s">
        <v>497</v>
      </c>
      <c r="B19" t="s">
        <v>498</v>
      </c>
      <c r="C19" s="384">
        <f>2*'Main Page'!B15/100*SQRT(C18*'Main Page'!B16*C14*C17^2/('Main Page'!B16+C14*C17^2))</f>
        <v>14909175.1810933</v>
      </c>
      <c r="I19" s="103"/>
    </row>
    <row r="20" spans="1:13">
      <c r="A20" t="s">
        <v>499</v>
      </c>
      <c r="B20" t="s">
        <v>500</v>
      </c>
      <c r="C20" s="335">
        <f>'Main Page'!B92*1000</f>
        <v>5000000</v>
      </c>
      <c r="M20" s="370"/>
    </row>
    <row r="21" spans="1:13">
      <c r="I21" s="103"/>
      <c r="M21" s="370"/>
    </row>
    <row r="22" spans="1:13">
      <c r="I22" s="103"/>
      <c r="M22" s="3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C55" sqref="C5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428</v>
      </c>
      <c r="B1" t="s">
        <v>429</v>
      </c>
      <c r="C1" t="s">
        <v>430</v>
      </c>
    </row>
    <row r="3" spans="1:14">
      <c r="A3" t="s">
        <v>387</v>
      </c>
      <c r="B3" t="s">
        <v>501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502</v>
      </c>
      <c r="C4" t="s">
        <v>503</v>
      </c>
      <c r="D4" t="s">
        <v>504</v>
      </c>
      <c r="E4" t="s">
        <v>505</v>
      </c>
      <c r="F4" t="s">
        <v>506</v>
      </c>
      <c r="G4" t="s">
        <v>507</v>
      </c>
      <c r="H4" t="s">
        <v>508</v>
      </c>
    </row>
    <row r="5" spans="1:14">
      <c r="C5" s="375">
        <f>GECtwrdata!$B15/9</f>
        <v>0</v>
      </c>
      <c r="D5">
        <f>GECtwrdata!$G15</f>
        <v>9401.5183391824921</v>
      </c>
      <c r="E5" s="383">
        <f>GECtwrdata!$N15</f>
        <v>2949313618900.4307</v>
      </c>
      <c r="F5" s="383">
        <f>GECtwrdata!$N15</f>
        <v>2949313618900.4307</v>
      </c>
      <c r="G5" s="383">
        <f>GECtwrdata!$K15</f>
        <v>2268702783769.562</v>
      </c>
      <c r="H5" s="383">
        <f>GECtwrdata!$H15</f>
        <v>228122980629.23849</v>
      </c>
      <c r="N5" s="370"/>
    </row>
    <row r="6" spans="1:14">
      <c r="C6" s="375">
        <f>GECtwrdata!$B16/9</f>
        <v>0.1111111111111111</v>
      </c>
      <c r="D6">
        <f>GECtwrdata!$G16</f>
        <v>8269.7152709443981</v>
      </c>
      <c r="E6" s="383">
        <f>GECtwrdata!$N16</f>
        <v>2278019361998.5259</v>
      </c>
      <c r="F6" s="383">
        <f>GECtwrdata!$N16</f>
        <v>2278019361998.5259</v>
      </c>
      <c r="G6" s="383">
        <f>GECtwrdata!$K16</f>
        <v>1752322586152.7122</v>
      </c>
      <c r="H6" s="383">
        <f>GECtwrdata!$H16</f>
        <v>200660364475.44794</v>
      </c>
      <c r="N6" s="370"/>
    </row>
    <row r="7" spans="1:14">
      <c r="C7" s="375">
        <f>GECtwrdata!$B17/9</f>
        <v>0.22222222222222221</v>
      </c>
      <c r="D7">
        <f>GECtwrdata!$G17</f>
        <v>7210.4630543628509</v>
      </c>
      <c r="E7" s="383">
        <f>GECtwrdata!$N17</f>
        <v>1728413822137.4292</v>
      </c>
      <c r="F7" s="383">
        <f>GECtwrdata!$N17</f>
        <v>1728413822137.4292</v>
      </c>
      <c r="G7" s="383">
        <f>GECtwrdata!$K17</f>
        <v>1329549093951.8687</v>
      </c>
      <c r="H7" s="383">
        <f>GECtwrdata!$H17</f>
        <v>174958157218.38885</v>
      </c>
      <c r="N7" s="370"/>
    </row>
    <row r="8" spans="1:14">
      <c r="C8" s="375">
        <f>GECtwrdata!$B18/9</f>
        <v>0.33333333333333331</v>
      </c>
      <c r="D8">
        <f>GECtwrdata!$G18</f>
        <v>6223.7616894378543</v>
      </c>
      <c r="E8" s="383">
        <f>GECtwrdata!$N18</f>
        <v>1284818865597.1003</v>
      </c>
      <c r="F8" s="383">
        <f>GECtwrdata!$N18</f>
        <v>1284818865597.1003</v>
      </c>
      <c r="G8" s="383">
        <f>GECtwrdata!$K18</f>
        <v>988322204305.46167</v>
      </c>
      <c r="H8" s="383">
        <f>GECtwrdata!$H18</f>
        <v>151016358858.06137</v>
      </c>
      <c r="N8" s="370"/>
    </row>
    <row r="9" spans="1:14">
      <c r="C9" s="375">
        <f>GECtwrdata!$B19/9</f>
        <v>0.44444444444444442</v>
      </c>
      <c r="D9">
        <f>GECtwrdata!$G19</f>
        <v>5309.6111761694065</v>
      </c>
      <c r="E9" s="383">
        <f>GECtwrdata!$N19</f>
        <v>932637953883.65283</v>
      </c>
      <c r="F9" s="383">
        <f>GECtwrdata!$N19</f>
        <v>932637953883.65283</v>
      </c>
      <c r="G9" s="383">
        <f>GECtwrdata!$K19</f>
        <v>717413810679.73291</v>
      </c>
      <c r="H9" s="383">
        <f>GECtwrdata!$H19</f>
        <v>128834969394.46544</v>
      </c>
      <c r="N9" s="370"/>
    </row>
    <row r="10" spans="1:14">
      <c r="C10" s="375">
        <f>GECtwrdata!$B20/9</f>
        <v>0.55555555555555558</v>
      </c>
      <c r="D10">
        <f>GECtwrdata!$G20</f>
        <v>4468.0115145575082</v>
      </c>
      <c r="E10" s="383">
        <f>GECtwrdata!$N20</f>
        <v>658356143729.35046</v>
      </c>
      <c r="F10" s="383">
        <f>GECtwrdata!$N20</f>
        <v>658356143729.35046</v>
      </c>
      <c r="G10" s="383">
        <f>GECtwrdata!$K20</f>
        <v>506427802868.73114</v>
      </c>
      <c r="H10" s="383">
        <f>GECtwrdata!$H20</f>
        <v>108413988827.60104</v>
      </c>
      <c r="N10" s="370"/>
    </row>
    <row r="11" spans="1:14">
      <c r="C11" s="375">
        <f>GECtwrdata!$B21/9</f>
        <v>0.66666666666666663</v>
      </c>
      <c r="D11">
        <f>GECtwrdata!$G21</f>
        <v>3698.9627046021596</v>
      </c>
      <c r="E11" s="383">
        <f>GECtwrdata!$N21</f>
        <v>449540087092.60992</v>
      </c>
      <c r="F11" s="383">
        <f>GECtwrdata!$N21</f>
        <v>449540087092.60992</v>
      </c>
      <c r="G11" s="383">
        <f>GECtwrdata!$K21</f>
        <v>345800066994.31531</v>
      </c>
      <c r="H11" s="383">
        <f>GECtwrdata!$H21</f>
        <v>89753417157.468246</v>
      </c>
      <c r="N11" s="370"/>
    </row>
    <row r="12" spans="1:14">
      <c r="C12" s="375">
        <f>GECtwrdata!$B22/9</f>
        <v>0.77777777777777779</v>
      </c>
      <c r="D12">
        <f>GECtwrdata!$G22</f>
        <v>3002.4647463033616</v>
      </c>
      <c r="E12" s="383">
        <f>GECtwrdata!$N22</f>
        <v>294838031157.99896</v>
      </c>
      <c r="F12" s="383">
        <f>GECtwrdata!$N22</f>
        <v>294838031157.99896</v>
      </c>
      <c r="G12" s="383">
        <f>GECtwrdata!$K22</f>
        <v>226798485506.15305</v>
      </c>
      <c r="H12" s="383">
        <f>GECtwrdata!$H22</f>
        <v>72853254384.067001</v>
      </c>
      <c r="N12" s="370"/>
    </row>
    <row r="13" spans="1:14">
      <c r="C13" s="375">
        <f>GECtwrdata!$B23/9</f>
        <v>0.88888888888888884</v>
      </c>
      <c r="D13">
        <f>GECtwrdata!$G23</f>
        <v>2378.5176396611114</v>
      </c>
      <c r="E13" s="383">
        <f>GECtwrdata!$N23</f>
        <v>183979818336.23752</v>
      </c>
      <c r="F13" s="383">
        <f>GECtwrdata!$N23</f>
        <v>183979818336.23752</v>
      </c>
      <c r="G13" s="383">
        <f>GECtwrdata!$K23</f>
        <v>141522937181.72116</v>
      </c>
      <c r="H13" s="383">
        <f>GECtwrdata!$H23</f>
        <v>57713500507.397308</v>
      </c>
      <c r="N13" s="370"/>
    </row>
    <row r="14" spans="1:14">
      <c r="C14" s="375">
        <f>GECtwrdata!$B24/9</f>
        <v>1</v>
      </c>
      <c r="D14">
        <f>GECtwrdata!$G24</f>
        <v>1827.1213846754108</v>
      </c>
      <c r="E14" s="383">
        <f>GECtwrdata!$N24</f>
        <v>107776886264.19733</v>
      </c>
      <c r="F14" s="383">
        <f>GECtwrdata!$N24</f>
        <v>107776886264.19733</v>
      </c>
      <c r="G14" s="383">
        <f>GECtwrdata!$K24</f>
        <v>82905297126.305634</v>
      </c>
      <c r="H14" s="383">
        <f>GECtwrdata!$H24</f>
        <v>44334155527.45916</v>
      </c>
      <c r="I14" s="371"/>
      <c r="J14" s="371"/>
      <c r="K14" s="371"/>
      <c r="L14" s="371"/>
      <c r="N14" s="370"/>
    </row>
    <row r="15" spans="1:14">
      <c r="N15" s="3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0" t="s">
        <v>84</v>
      </c>
      <c r="B2" s="401"/>
      <c r="C2" s="401"/>
      <c r="D2" s="402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86" t="s">
        <v>84</v>
      </c>
      <c r="E2" s="388"/>
      <c r="F2" s="389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392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Page'!A124</f>
        <v>0.05</v>
      </c>
      <c r="C5" s="202">
        <f>'Main Page'!B124</f>
        <v>3.456438912877827</v>
      </c>
      <c r="D5" s="203">
        <f>'Main Page'!C124</f>
        <v>1</v>
      </c>
      <c r="E5" s="203" t="str">
        <f>'Main Page'!D124</f>
        <v>NA</v>
      </c>
      <c r="F5" s="204">
        <f>'Main Page'!E124</f>
        <v>0.25</v>
      </c>
      <c r="G5" s="202">
        <f>'Main Page'!F124</f>
        <v>0.5</v>
      </c>
      <c r="H5" s="202">
        <f>'Main Page'!G124</f>
        <v>0.5</v>
      </c>
      <c r="I5" s="205">
        <f>'Main Page'!H124</f>
        <v>3708.4116472912633</v>
      </c>
      <c r="J5" s="206">
        <f>'Main Page'!I124</f>
        <v>63720689411.753181</v>
      </c>
      <c r="K5" s="206">
        <f>'Main Page'!J124</f>
        <v>63720689411.753181</v>
      </c>
      <c r="L5" s="206">
        <f>'Main Page'!K124</f>
        <v>42582928810.746231</v>
      </c>
      <c r="M5" s="206">
        <f>'Main Page'!L124</f>
        <v>22057695577.548672</v>
      </c>
      <c r="N5" s="207">
        <f>'Main Page'!M124</f>
        <v>11076.026331706065</v>
      </c>
    </row>
    <row r="6" spans="2:21">
      <c r="B6" s="208">
        <f>'Main Page'!A125</f>
        <v>7.0000000000000007E-2</v>
      </c>
      <c r="C6" s="209">
        <f>'Main Page'!B125</f>
        <v>3.4564389128778257</v>
      </c>
      <c r="D6" s="210">
        <f>'Main Page'!C125</f>
        <v>1</v>
      </c>
      <c r="E6" s="210" t="str">
        <f>'Main Page'!D125</f>
        <v>NA</v>
      </c>
      <c r="F6" s="204">
        <f>'Main Page'!E125</f>
        <v>0.25</v>
      </c>
      <c r="G6" s="209">
        <f>'Main Page'!F125</f>
        <v>0.5</v>
      </c>
      <c r="H6" s="209">
        <f>'Main Page'!G125</f>
        <v>0.5</v>
      </c>
      <c r="I6" s="211">
        <f>'Main Page'!H125</f>
        <v>622.32317170970805</v>
      </c>
      <c r="J6" s="212">
        <f>'Main Page'!I125</f>
        <v>14036801421.634676</v>
      </c>
      <c r="K6" s="212">
        <f>'Main Page'!J125</f>
        <v>14036801421.634676</v>
      </c>
      <c r="L6" s="212">
        <f>'Main Page'!K125</f>
        <v>9469182296.3330479</v>
      </c>
      <c r="M6" s="212">
        <f>'Main Page'!L125</f>
        <v>4904988079.2989025</v>
      </c>
      <c r="N6" s="213">
        <f>'Main Page'!M125</f>
        <v>1858.7116243479393</v>
      </c>
    </row>
    <row r="7" spans="2:21">
      <c r="B7" s="198">
        <f>'Main Page'!A126</f>
        <v>0.25</v>
      </c>
      <c r="C7" s="209">
        <f>'Main Page'!B126</f>
        <v>5.11988823977648</v>
      </c>
      <c r="D7" s="210">
        <f>'Main Page'!C126</f>
        <v>0.33</v>
      </c>
      <c r="E7" s="210">
        <f>'Main Page'!D126</f>
        <v>4.4774839135584772</v>
      </c>
      <c r="F7" s="204">
        <f>'Main Page'!E126</f>
        <v>0.34</v>
      </c>
      <c r="G7" s="209">
        <f>'Main Page'!F126</f>
        <v>0.40155924806474785</v>
      </c>
      <c r="H7" s="209">
        <f>'Main Page'!G126</f>
        <v>0.32671302753123166</v>
      </c>
      <c r="I7" s="211">
        <f>'Main Page'!H126</f>
        <v>684.40053797312055</v>
      </c>
      <c r="J7" s="212">
        <f>'Main Page'!I126</f>
        <v>4203286116.1718955</v>
      </c>
      <c r="K7" s="212">
        <f>'Main Page'!J126</f>
        <v>12611588173.054085</v>
      </c>
      <c r="L7" s="199">
        <f>'Main Page'!K126</f>
        <v>9141425662.3435383</v>
      </c>
      <c r="M7" s="199">
        <f>'Main Page'!L126</f>
        <v>145303921.84035307</v>
      </c>
      <c r="N7" s="214">
        <f>'Main Page'!M126</f>
        <v>959.83453034575007</v>
      </c>
    </row>
    <row r="8" spans="2:21">
      <c r="B8" s="198">
        <f>'Main Page'!A127</f>
        <v>0.5</v>
      </c>
      <c r="C8" s="209">
        <f>'Main Page'!B127</f>
        <v>3.9255778511557029</v>
      </c>
      <c r="D8" s="215">
        <f>'Main Page'!C127</f>
        <v>0.24</v>
      </c>
      <c r="E8" s="210">
        <f>'Main Page'!D127</f>
        <v>8.9761837714735897</v>
      </c>
      <c r="F8" s="204">
        <f>'Main Page'!E127</f>
        <v>0.31</v>
      </c>
      <c r="G8" s="209">
        <f>'Main Page'!F127</f>
        <v>0.37588941559495792</v>
      </c>
      <c r="H8" s="209">
        <f>'Main Page'!G127</f>
        <v>0.32336301372350362</v>
      </c>
      <c r="I8" s="211">
        <f>'Main Page'!H127</f>
        <v>516.27028971966695</v>
      </c>
      <c r="J8" s="212">
        <f>'Main Page'!I127</f>
        <v>1017265797.32573</v>
      </c>
      <c r="K8" s="212">
        <f>'Main Page'!J127</f>
        <v>2540323261.1101747</v>
      </c>
      <c r="L8" s="199">
        <f>'Main Page'!K127</f>
        <v>6898689157.7993288</v>
      </c>
      <c r="M8" s="199">
        <f>'Main Page'!L127</f>
        <v>57861076.091574006</v>
      </c>
      <c r="N8" s="214">
        <f>'Main Page'!M127</f>
        <v>304.44012217310359</v>
      </c>
    </row>
    <row r="9" spans="2:21">
      <c r="B9" s="198">
        <f>'Main Page'!A128</f>
        <v>0.75</v>
      </c>
      <c r="C9" s="209">
        <f>'Main Page'!B128</f>
        <v>2.7312674625349254</v>
      </c>
      <c r="D9" s="215">
        <f>'Main Page'!C128</f>
        <v>0.21</v>
      </c>
      <c r="E9" s="210">
        <f>'Main Page'!D128</f>
        <v>8.8011309411295144</v>
      </c>
      <c r="F9" s="204">
        <f>'Main Page'!E128</f>
        <v>0.28000000000000003</v>
      </c>
      <c r="G9" s="209">
        <f>'Main Page'!F128</f>
        <v>0.38745755696890288</v>
      </c>
      <c r="H9" s="209">
        <f>'Main Page'!G128</f>
        <v>0.3261326391065098</v>
      </c>
      <c r="I9" s="211">
        <f>'Main Page'!H128</f>
        <v>225.15720776799671</v>
      </c>
      <c r="J9" s="212">
        <f>'Main Page'!I128</f>
        <v>159223885.56322324</v>
      </c>
      <c r="K9" s="212">
        <f>'Main Page'!J128</f>
        <v>610414304.9755882</v>
      </c>
      <c r="L9" s="199">
        <f>'Main Page'!K128</f>
        <v>2907294183.0127583</v>
      </c>
      <c r="M9" s="199">
        <f>'Main Page'!L128</f>
        <v>11605234.21344462</v>
      </c>
      <c r="N9" s="214">
        <f>'Main Page'!M128</f>
        <v>65.910007513233523</v>
      </c>
    </row>
    <row r="10" spans="2:21">
      <c r="B10" s="216">
        <f>'Main Page'!A129</f>
        <v>1</v>
      </c>
      <c r="C10" s="217">
        <f>'Main Page'!B129</f>
        <v>1.6565913131826264</v>
      </c>
      <c r="D10" s="218">
        <f>'Main Page'!C129</f>
        <v>0.16</v>
      </c>
      <c r="E10" s="218">
        <f>'Main Page'!D129</f>
        <v>0</v>
      </c>
      <c r="F10" s="217">
        <f>'Main Page'!E129</f>
        <v>0.25</v>
      </c>
      <c r="G10" s="217">
        <f>'Main Page'!F129</f>
        <v>0.49249999999999999</v>
      </c>
      <c r="H10" s="217">
        <f>'Main Page'!G129</f>
        <v>0.35780000000000001</v>
      </c>
      <c r="I10" s="219">
        <f>'Main Page'!H129</f>
        <v>21.986079158927165</v>
      </c>
      <c r="J10" s="220">
        <f>'Main Page'!I129</f>
        <v>1559775.5371830396</v>
      </c>
      <c r="K10" s="220">
        <f>'Main Page'!J129</f>
        <v>53624369.654070929</v>
      </c>
      <c r="L10" s="221">
        <f>'Main Page'!K129</f>
        <v>235713983.59357151</v>
      </c>
      <c r="M10" s="221">
        <f>'Main Page'!L129</f>
        <v>1237516.5813282721</v>
      </c>
      <c r="N10" s="222">
        <f>'Main Page'!M129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Page'!B56/2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Page'!C$131/('Main Page'!C$131+1)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Page'!B136-'Main Page'!B$141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Page'!D136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Page'!C$131/('Main Page'!C$131+1)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Page'!B137-'Main Page'!B$141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Page'!D137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Page'!C$131/('Main Page'!C$131+1)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Page'!B138-'Main Page'!B$141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Page'!D138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Page'!C$131/('Main Page'!C$131+1)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Page'!B139-'Main Page'!B$141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Page'!C$131/('Main Page'!C$131+1)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Page'!B140-'Main Page'!B$141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Page'!D140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Page'!C$131/('Main Page'!C$131+1)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Page'!B141-'Main Page'!B$141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382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2015-12-29T18:33:44Z</dcterms:modified>
</cp:coreProperties>
</file>