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5" yWindow="150" windowWidth="8070" windowHeight="7575"/>
  </bookViews>
  <sheets>
    <sheet name="Main Page" sheetId="5" r:id="rId1"/>
    <sheet name="Rotor_JR" sheetId="9" r:id="rId2"/>
    <sheet name="Nacelle_JR" sheetId="10" r:id="rId3"/>
    <sheet name="Tower_JR" sheetId="11" r:id="rId4"/>
    <sheet name="Tower Data" sheetId="4" r:id="rId5"/>
    <sheet name="Blade Data" sheetId="3" r:id="rId6"/>
    <sheet name="GECbladedata" sheetId="6" r:id="rId7"/>
    <sheet name="GECtwrdata" sheetId="7" r:id="rId8"/>
    <sheet name="GECdrivetrain" sheetId="8" r:id="rId9"/>
  </sheets>
  <definedNames>
    <definedName name="_xlnm.Print_Area" localSheetId="5">'Blade Data'!$A$6:$Q$32</definedName>
  </definedNames>
  <calcPr calcId="145621" iterate="1" iterateDelta="1E-4"/>
</workbook>
</file>

<file path=xl/calcChain.xml><?xml version="1.0" encoding="utf-8"?>
<calcChain xmlns="http://schemas.openxmlformats.org/spreadsheetml/2006/main">
  <c r="B86" i="5" l="1"/>
  <c r="A20" i="10" l="1"/>
  <c r="A12" i="9" l="1"/>
  <c r="D11" i="11" l="1"/>
  <c r="C11" i="11"/>
  <c r="B11" i="11"/>
  <c r="A11" i="11"/>
  <c r="A9" i="11"/>
  <c r="A8" i="11"/>
  <c r="A7" i="11"/>
  <c r="A6" i="11"/>
  <c r="A5" i="11"/>
  <c r="A4" i="11"/>
  <c r="A3" i="11"/>
  <c r="A2" i="11"/>
  <c r="A1" i="11"/>
  <c r="A10" i="11"/>
  <c r="B10" i="11"/>
  <c r="C10" i="11"/>
  <c r="D10" i="11"/>
  <c r="E10" i="11"/>
  <c r="F10" i="11"/>
  <c r="G10" i="11"/>
  <c r="H10" i="11"/>
  <c r="I10" i="11"/>
  <c r="J10" i="11"/>
  <c r="A18" i="10"/>
  <c r="A17" i="10"/>
  <c r="A15" i="10"/>
  <c r="A11" i="10"/>
  <c r="A7" i="10"/>
  <c r="A3" i="10"/>
  <c r="A2" i="10"/>
  <c r="A1" i="10"/>
  <c r="J19" i="9"/>
  <c r="I19" i="9"/>
  <c r="H19" i="9"/>
  <c r="G19" i="9"/>
  <c r="F19" i="9"/>
  <c r="E19" i="9"/>
  <c r="D19" i="9"/>
  <c r="C19" i="9"/>
  <c r="B19" i="9"/>
  <c r="A19" i="9"/>
  <c r="J18" i="9"/>
  <c r="I18" i="9"/>
  <c r="H18" i="9"/>
  <c r="G18" i="9"/>
  <c r="F18" i="9"/>
  <c r="E18" i="9"/>
  <c r="D18" i="9"/>
  <c r="C18" i="9"/>
  <c r="B18" i="9"/>
  <c r="A18" i="9"/>
  <c r="J17" i="9"/>
  <c r="I17" i="9"/>
  <c r="H17" i="9"/>
  <c r="G17" i="9"/>
  <c r="F17" i="9"/>
  <c r="E17" i="9"/>
  <c r="D17" i="9"/>
  <c r="C17" i="9"/>
  <c r="B17" i="9"/>
  <c r="A17" i="9"/>
  <c r="J16" i="9"/>
  <c r="I16" i="9"/>
  <c r="H16" i="9"/>
  <c r="G16" i="9"/>
  <c r="F16" i="9"/>
  <c r="E16" i="9"/>
  <c r="D16" i="9"/>
  <c r="C16" i="9"/>
  <c r="B16" i="9"/>
  <c r="A16" i="9"/>
  <c r="J15" i="9"/>
  <c r="I15" i="9"/>
  <c r="H15" i="9"/>
  <c r="G15" i="9"/>
  <c r="F15" i="9"/>
  <c r="E15" i="9"/>
  <c r="D15" i="9"/>
  <c r="C15" i="9"/>
  <c r="B15" i="9"/>
  <c r="A15" i="9"/>
  <c r="J14" i="9"/>
  <c r="I14" i="9"/>
  <c r="H14" i="9"/>
  <c r="G14" i="9"/>
  <c r="F14" i="9"/>
  <c r="E14" i="9"/>
  <c r="D14" i="9"/>
  <c r="C14" i="9"/>
  <c r="B14" i="9"/>
  <c r="A14" i="9"/>
  <c r="J13" i="9"/>
  <c r="I13" i="9"/>
  <c r="H13" i="9"/>
  <c r="G13" i="9"/>
  <c r="F13" i="9"/>
  <c r="E13" i="9"/>
  <c r="D13" i="9"/>
  <c r="C13" i="9"/>
  <c r="B13" i="9"/>
  <c r="A13" i="9"/>
  <c r="A11" i="9"/>
  <c r="A10" i="9"/>
  <c r="A9" i="9"/>
  <c r="A8" i="9"/>
  <c r="A7" i="9"/>
  <c r="C4" i="9"/>
  <c r="B4" i="9"/>
  <c r="A4" i="9"/>
  <c r="D3" i="9"/>
  <c r="C3" i="9"/>
  <c r="B3" i="9"/>
  <c r="A3" i="9"/>
  <c r="A2" i="9"/>
  <c r="A1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A29" i="9"/>
  <c r="A138" i="5"/>
  <c r="A137" i="5"/>
  <c r="A136" i="5"/>
  <c r="A135" i="5"/>
  <c r="A134" i="5"/>
  <c r="A133" i="5"/>
  <c r="B31" i="5"/>
  <c r="B5" i="6" l="1"/>
  <c r="C5" i="6"/>
  <c r="D5" i="6"/>
  <c r="E5" i="6"/>
  <c r="F5" i="6"/>
  <c r="G5" i="6"/>
  <c r="H5" i="6"/>
  <c r="I5" i="6"/>
  <c r="D18" i="6" s="1"/>
  <c r="D28" i="6" s="1"/>
  <c r="J5" i="6"/>
  <c r="K5" i="6"/>
  <c r="N18" i="6" s="1"/>
  <c r="N28" i="6" s="1"/>
  <c r="M10" i="3" s="1"/>
  <c r="L5" i="6"/>
  <c r="M18" i="6" s="1"/>
  <c r="M28" i="6" s="1"/>
  <c r="L10" i="3" s="1"/>
  <c r="M5" i="6"/>
  <c r="L18" i="6" s="1"/>
  <c r="L28" i="6" s="1"/>
  <c r="K10" i="3" s="1"/>
  <c r="N5" i="6"/>
  <c r="B6" i="6"/>
  <c r="B19" i="6" s="1"/>
  <c r="B29" i="6" s="1"/>
  <c r="C6" i="6"/>
  <c r="P19" i="6" s="1"/>
  <c r="P29" i="6" s="1"/>
  <c r="D6" i="6"/>
  <c r="E6" i="6"/>
  <c r="F6" i="6"/>
  <c r="G6" i="6"/>
  <c r="H6" i="6"/>
  <c r="I6" i="6"/>
  <c r="J6" i="6"/>
  <c r="O19" i="6" s="1"/>
  <c r="O29" i="6" s="1"/>
  <c r="N11" i="3" s="1"/>
  <c r="K6" i="6"/>
  <c r="N19" i="6" s="1"/>
  <c r="N29" i="6" s="1"/>
  <c r="L6" i="6"/>
  <c r="M6" i="6"/>
  <c r="L19" i="6" s="1"/>
  <c r="L29" i="6" s="1"/>
  <c r="N6" i="6"/>
  <c r="B7" i="6"/>
  <c r="B20" i="6" s="1"/>
  <c r="C7" i="6"/>
  <c r="D7" i="6"/>
  <c r="E7" i="6"/>
  <c r="F7" i="6"/>
  <c r="G7" i="6"/>
  <c r="H7" i="6"/>
  <c r="I7" i="6"/>
  <c r="D20" i="6" s="1"/>
  <c r="D33" i="6" s="1"/>
  <c r="J7" i="6"/>
  <c r="O20" i="6" s="1"/>
  <c r="O33" i="6" s="1"/>
  <c r="K7" i="6"/>
  <c r="N20" i="6" s="1"/>
  <c r="N33" i="6" s="1"/>
  <c r="L7" i="6"/>
  <c r="M20" i="6" s="1"/>
  <c r="M33" i="6" s="1"/>
  <c r="M36" i="6" s="1"/>
  <c r="L18" i="3" s="1"/>
  <c r="M7" i="6"/>
  <c r="L20" i="6" s="1"/>
  <c r="L33" i="6" s="1"/>
  <c r="N7" i="6"/>
  <c r="B8" i="6"/>
  <c r="B21" i="6" s="1"/>
  <c r="C8" i="6"/>
  <c r="P21" i="6" s="1"/>
  <c r="P38" i="6" s="1"/>
  <c r="O20" i="3" s="1"/>
  <c r="D8" i="6"/>
  <c r="E8" i="6"/>
  <c r="F8" i="6"/>
  <c r="G8" i="6"/>
  <c r="H8" i="6"/>
  <c r="I8" i="6"/>
  <c r="D21" i="6" s="1"/>
  <c r="J8" i="6"/>
  <c r="O21" i="6" s="1"/>
  <c r="O38" i="6" s="1"/>
  <c r="K8" i="6"/>
  <c r="N21" i="6" s="1"/>
  <c r="N38" i="6" s="1"/>
  <c r="L8" i="6"/>
  <c r="M21" i="6" s="1"/>
  <c r="M38" i="6" s="1"/>
  <c r="L20" i="3" s="1"/>
  <c r="M8" i="6"/>
  <c r="N8" i="6"/>
  <c r="E21" i="6" s="1"/>
  <c r="B9" i="6"/>
  <c r="B22" i="6" s="1"/>
  <c r="C9" i="6"/>
  <c r="D9" i="6"/>
  <c r="E9" i="6"/>
  <c r="F9" i="6"/>
  <c r="G9" i="6"/>
  <c r="H9" i="6"/>
  <c r="I9" i="6"/>
  <c r="D22" i="6" s="1"/>
  <c r="D43" i="6" s="1"/>
  <c r="J9" i="6"/>
  <c r="O22" i="6" s="1"/>
  <c r="O43" i="6" s="1"/>
  <c r="K9" i="6"/>
  <c r="N22" i="6" s="1"/>
  <c r="N43" i="6" s="1"/>
  <c r="L9" i="6"/>
  <c r="M22" i="6" s="1"/>
  <c r="M43" i="6" s="1"/>
  <c r="M9" i="6"/>
  <c r="L22" i="6" s="1"/>
  <c r="L43" i="6" s="1"/>
  <c r="N9" i="6"/>
  <c r="B10" i="6"/>
  <c r="B23" i="6" s="1"/>
  <c r="C10" i="6"/>
  <c r="P23" i="6" s="1"/>
  <c r="P48" i="6" s="1"/>
  <c r="O30" i="3" s="1"/>
  <c r="D10" i="6"/>
  <c r="E10" i="6"/>
  <c r="F10" i="6"/>
  <c r="G10" i="6"/>
  <c r="H10" i="6"/>
  <c r="I10" i="6"/>
  <c r="D23" i="6" s="1"/>
  <c r="D48" i="6" s="1"/>
  <c r="J10" i="6"/>
  <c r="O23" i="6" s="1"/>
  <c r="O48" i="6" s="1"/>
  <c r="N30" i="3" s="1"/>
  <c r="K10" i="6"/>
  <c r="L10" i="6"/>
  <c r="M23" i="6" s="1"/>
  <c r="M48" i="6" s="1"/>
  <c r="L30" i="3" s="1"/>
  <c r="M10" i="6"/>
  <c r="L23" i="6" s="1"/>
  <c r="L48" i="6" s="1"/>
  <c r="N10" i="6"/>
  <c r="D12" i="6"/>
  <c r="D13" i="6"/>
  <c r="B3" i="3" s="1"/>
  <c r="B2" i="3" s="1"/>
  <c r="B18" i="6"/>
  <c r="E18" i="6"/>
  <c r="E28" i="6" s="1"/>
  <c r="D10" i="3" s="1"/>
  <c r="K18" i="6"/>
  <c r="K28" i="6" s="1"/>
  <c r="J10" i="3" s="1"/>
  <c r="O18" i="6"/>
  <c r="O28" i="6" s="1"/>
  <c r="N10" i="3" s="1"/>
  <c r="P18" i="6"/>
  <c r="P28" i="6" s="1"/>
  <c r="O10" i="3" s="1"/>
  <c r="R18" i="6"/>
  <c r="R29" i="6" s="1"/>
  <c r="Q11" i="3" s="1"/>
  <c r="D19" i="6"/>
  <c r="D29" i="6" s="1"/>
  <c r="C11" i="3" s="1"/>
  <c r="E19" i="6"/>
  <c r="F19" i="6" s="1"/>
  <c r="F29" i="6" s="1"/>
  <c r="E11" i="3" s="1"/>
  <c r="K19" i="6"/>
  <c r="K29" i="6" s="1"/>
  <c r="M19" i="6"/>
  <c r="M29" i="6" s="1"/>
  <c r="R19" i="6"/>
  <c r="K20" i="6"/>
  <c r="K33" i="6" s="1"/>
  <c r="J15" i="3" s="1"/>
  <c r="R20" i="6"/>
  <c r="K21" i="6"/>
  <c r="K38" i="6" s="1"/>
  <c r="L21" i="6"/>
  <c r="L38" i="6" s="1"/>
  <c r="K22" i="6"/>
  <c r="K43" i="6" s="1"/>
  <c r="R22" i="6"/>
  <c r="K23" i="6"/>
  <c r="K48" i="6" s="1"/>
  <c r="J30" i="3" s="1"/>
  <c r="N23" i="6"/>
  <c r="N48" i="6" s="1"/>
  <c r="M30" i="3" s="1"/>
  <c r="R23" i="6"/>
  <c r="R47" i="6" s="1"/>
  <c r="Q29" i="3" s="1"/>
  <c r="G28" i="6"/>
  <c r="F10" i="3"/>
  <c r="I28" i="6"/>
  <c r="H10" i="3"/>
  <c r="Q28" i="6"/>
  <c r="P10" i="3"/>
  <c r="G29" i="6"/>
  <c r="F11" i="3"/>
  <c r="I29" i="6"/>
  <c r="H11" i="3"/>
  <c r="Q29" i="6"/>
  <c r="P11" i="3"/>
  <c r="G33" i="6"/>
  <c r="F15" i="3"/>
  <c r="I33" i="6"/>
  <c r="H15" i="3"/>
  <c r="G35" i="6"/>
  <c r="F17" i="3"/>
  <c r="G36" i="6"/>
  <c r="F18" i="3"/>
  <c r="I37" i="6"/>
  <c r="H19" i="3"/>
  <c r="D38" i="6"/>
  <c r="G38" i="6"/>
  <c r="F20" i="3"/>
  <c r="I38" i="6"/>
  <c r="I41" i="6"/>
  <c r="H23" i="3"/>
  <c r="I42" i="6"/>
  <c r="H24" i="3"/>
  <c r="G43" i="6"/>
  <c r="I43" i="6"/>
  <c r="H25" i="3"/>
  <c r="G44" i="6"/>
  <c r="F26" i="3"/>
  <c r="I46" i="6"/>
  <c r="H28" i="3"/>
  <c r="G48" i="6"/>
  <c r="F30" i="3"/>
  <c r="I48" i="6"/>
  <c r="C1" i="8"/>
  <c r="C24" i="8" s="1"/>
  <c r="C10" i="8" s="1"/>
  <c r="E5" i="8"/>
  <c r="F5" i="8"/>
  <c r="H5" i="8"/>
  <c r="J5" i="8"/>
  <c r="K5" i="8"/>
  <c r="L5" i="8"/>
  <c r="I6" i="8"/>
  <c r="M6" i="8" s="1"/>
  <c r="N6" i="8" s="1"/>
  <c r="O6" i="8" s="1"/>
  <c r="J6" i="8"/>
  <c r="K6" i="8"/>
  <c r="L6" i="8"/>
  <c r="C7" i="8"/>
  <c r="B14" i="5" s="1"/>
  <c r="A16" i="10" s="1"/>
  <c r="D7" i="8"/>
  <c r="E7" i="8"/>
  <c r="D8" i="8" s="1"/>
  <c r="E22" i="8" s="1"/>
  <c r="H7" i="8"/>
  <c r="J7" i="8"/>
  <c r="K7" i="8"/>
  <c r="L7" i="8"/>
  <c r="J8" i="8"/>
  <c r="J22" i="8" s="1"/>
  <c r="K8" i="8"/>
  <c r="K22" i="8" s="1"/>
  <c r="L8" i="8"/>
  <c r="L22" i="8" s="1"/>
  <c r="J9" i="8"/>
  <c r="K9" i="8"/>
  <c r="K23" i="8" s="1"/>
  <c r="L9" i="8"/>
  <c r="L23" i="8" s="1"/>
  <c r="I10" i="8"/>
  <c r="J10" i="8"/>
  <c r="J24" i="8" s="1"/>
  <c r="K10" i="8"/>
  <c r="L10" i="8"/>
  <c r="I11" i="8"/>
  <c r="J11" i="8"/>
  <c r="J25" i="8" s="1"/>
  <c r="K11" i="8"/>
  <c r="K25" i="8" s="1"/>
  <c r="L11" i="8"/>
  <c r="L25" i="8" s="1"/>
  <c r="C21" i="8"/>
  <c r="C26" i="8" s="1"/>
  <c r="I26" i="8" s="1"/>
  <c r="D21" i="8"/>
  <c r="E26" i="8" s="1"/>
  <c r="E21" i="8"/>
  <c r="D26" i="8" s="1"/>
  <c r="F21" i="8"/>
  <c r="G21" i="8"/>
  <c r="H21" i="8"/>
  <c r="J21" i="8"/>
  <c r="J26" i="8" s="1"/>
  <c r="K21" i="8"/>
  <c r="K26" i="8" s="1"/>
  <c r="L21" i="8"/>
  <c r="I24" i="8"/>
  <c r="I25" i="8"/>
  <c r="C5" i="7"/>
  <c r="C6" i="7" s="1"/>
  <c r="C16" i="7" s="1"/>
  <c r="B9" i="4" s="1"/>
  <c r="C7" i="7"/>
  <c r="F7" i="7"/>
  <c r="C8" i="7"/>
  <c r="C9" i="7"/>
  <c r="C10" i="7"/>
  <c r="C11" i="7"/>
  <c r="B16" i="7"/>
  <c r="B17" i="7"/>
  <c r="B18" i="7"/>
  <c r="B19" i="7"/>
  <c r="B20" i="7"/>
  <c r="B21" i="7"/>
  <c r="B22" i="7"/>
  <c r="B23" i="7"/>
  <c r="B24" i="7"/>
  <c r="B26" i="5"/>
  <c r="B85" i="5"/>
  <c r="C2" i="8"/>
  <c r="I12" i="8" s="1"/>
  <c r="O12" i="8" s="1"/>
  <c r="B29" i="5"/>
  <c r="B30" i="5"/>
  <c r="B24" i="5"/>
  <c r="I8" i="8"/>
  <c r="M8" i="8" s="1"/>
  <c r="N8" i="8" s="1"/>
  <c r="I9" i="8"/>
  <c r="H30" i="3"/>
  <c r="I44" i="6"/>
  <c r="H26" i="3"/>
  <c r="I45" i="6"/>
  <c r="H27" i="3"/>
  <c r="I47" i="6"/>
  <c r="H29" i="3"/>
  <c r="J12" i="8"/>
  <c r="I22" i="8"/>
  <c r="E12" i="8"/>
  <c r="M12" i="8" s="1"/>
  <c r="N25" i="3"/>
  <c r="F25" i="3"/>
  <c r="G41" i="6"/>
  <c r="F23" i="3"/>
  <c r="G45" i="6"/>
  <c r="F27" i="3"/>
  <c r="G42" i="6"/>
  <c r="F24" i="3"/>
  <c r="G46" i="6"/>
  <c r="F28" i="3"/>
  <c r="G39" i="6"/>
  <c r="F21" i="3"/>
  <c r="G47" i="6"/>
  <c r="F29" i="3"/>
  <c r="G40" i="6"/>
  <c r="F22" i="3"/>
  <c r="H20" i="3"/>
  <c r="I39" i="6"/>
  <c r="H21" i="3"/>
  <c r="I40" i="6"/>
  <c r="H22" i="3"/>
  <c r="I36" i="6"/>
  <c r="H18" i="3"/>
  <c r="G34" i="6"/>
  <c r="F16" i="3"/>
  <c r="G37" i="6"/>
  <c r="F19" i="3"/>
  <c r="I35" i="6"/>
  <c r="H17" i="3"/>
  <c r="I34" i="6"/>
  <c r="H16" i="3"/>
  <c r="O40" i="6" l="1"/>
  <c r="N22" i="3" s="1"/>
  <c r="N36" i="6"/>
  <c r="M18" i="3" s="1"/>
  <c r="R30" i="6"/>
  <c r="Q12" i="3" s="1"/>
  <c r="D35" i="6"/>
  <c r="C17" i="3" s="1"/>
  <c r="N46" i="6"/>
  <c r="M28" i="3" s="1"/>
  <c r="R28" i="6"/>
  <c r="Q10" i="3" s="1"/>
  <c r="D9" i="8"/>
  <c r="E23" i="8" s="1"/>
  <c r="I23" i="8"/>
  <c r="O26" i="8"/>
  <c r="I16" i="8"/>
  <c r="E6" i="5" s="1"/>
  <c r="A9" i="10" s="1"/>
  <c r="I7" i="8"/>
  <c r="M7" i="8" s="1"/>
  <c r="D41" i="6"/>
  <c r="D36" i="6"/>
  <c r="C18" i="3" s="1"/>
  <c r="M37" i="6"/>
  <c r="L19" i="3" s="1"/>
  <c r="C30" i="6"/>
  <c r="B12" i="3" s="1"/>
  <c r="G32" i="6"/>
  <c r="F14" i="3" s="1"/>
  <c r="D30" i="6"/>
  <c r="C12" i="3" s="1"/>
  <c r="I32" i="6"/>
  <c r="H14" i="3" s="1"/>
  <c r="I30" i="6"/>
  <c r="H12" i="3" s="1"/>
  <c r="G30" i="6"/>
  <c r="F12" i="3" s="1"/>
  <c r="I31" i="6"/>
  <c r="H13" i="3" s="1"/>
  <c r="K47" i="6"/>
  <c r="J29" i="3" s="1"/>
  <c r="K42" i="6"/>
  <c r="J24" i="3" s="1"/>
  <c r="O8" i="8"/>
  <c r="C11" i="8"/>
  <c r="C25" i="8" s="1"/>
  <c r="K41" i="6"/>
  <c r="J23" i="3" s="1"/>
  <c r="L12" i="8"/>
  <c r="L16" i="8" s="1"/>
  <c r="H23" i="6"/>
  <c r="H48" i="6" s="1"/>
  <c r="G30" i="3" s="1"/>
  <c r="D47" i="6"/>
  <c r="C29" i="3" s="1"/>
  <c r="C29" i="6"/>
  <c r="B11" i="3" s="1"/>
  <c r="H22" i="6"/>
  <c r="H43" i="6" s="1"/>
  <c r="O36" i="6"/>
  <c r="N18" i="3" s="1"/>
  <c r="H20" i="6"/>
  <c r="H33" i="6" s="1"/>
  <c r="G15" i="3" s="1"/>
  <c r="H19" i="6"/>
  <c r="H29" i="6" s="1"/>
  <c r="G11" i="3" s="1"/>
  <c r="K12" i="8"/>
  <c r="K16" i="8" s="1"/>
  <c r="C6" i="5" s="1"/>
  <c r="B5" i="10" s="1"/>
  <c r="L39" i="6"/>
  <c r="K21" i="3" s="1"/>
  <c r="M35" i="6"/>
  <c r="L17" i="3" s="1"/>
  <c r="L40" i="6"/>
  <c r="K22" i="3" s="1"/>
  <c r="I21" i="8"/>
  <c r="O21" i="8" s="1"/>
  <c r="M26" i="8"/>
  <c r="M22" i="8"/>
  <c r="N22" i="8" s="1"/>
  <c r="J20" i="3"/>
  <c r="K15" i="8"/>
  <c r="L45" i="6"/>
  <c r="K27" i="3" s="1"/>
  <c r="K30" i="3"/>
  <c r="L46" i="6"/>
  <c r="K28" i="3" s="1"/>
  <c r="G25" i="3"/>
  <c r="N31" i="6"/>
  <c r="M13" i="3" s="1"/>
  <c r="L44" i="6"/>
  <c r="K26" i="3" s="1"/>
  <c r="M32" i="6"/>
  <c r="L14" i="3" s="1"/>
  <c r="M30" i="6"/>
  <c r="L12" i="3" s="1"/>
  <c r="L11" i="3"/>
  <c r="M31" i="6"/>
  <c r="L13" i="3" s="1"/>
  <c r="L25" i="3"/>
  <c r="M45" i="6"/>
  <c r="L27" i="3" s="1"/>
  <c r="M44" i="6"/>
  <c r="L26" i="3" s="1"/>
  <c r="M47" i="6"/>
  <c r="L29" i="3" s="1"/>
  <c r="M39" i="6"/>
  <c r="L21" i="3" s="1"/>
  <c r="M42" i="6"/>
  <c r="L24" i="3" s="1"/>
  <c r="M40" i="6"/>
  <c r="L22" i="3" s="1"/>
  <c r="M46" i="6"/>
  <c r="L28" i="3" s="1"/>
  <c r="K30" i="6"/>
  <c r="J12" i="3" s="1"/>
  <c r="K31" i="6"/>
  <c r="J13" i="3" s="1"/>
  <c r="C30" i="3"/>
  <c r="D44" i="6"/>
  <c r="C26" i="3" s="1"/>
  <c r="D46" i="6"/>
  <c r="C28" i="3" s="1"/>
  <c r="D45" i="6"/>
  <c r="C27" i="3" s="1"/>
  <c r="K15" i="3"/>
  <c r="L37" i="6"/>
  <c r="K19" i="3" s="1"/>
  <c r="L36" i="6"/>
  <c r="K18" i="3" s="1"/>
  <c r="L35" i="6"/>
  <c r="K17" i="3" s="1"/>
  <c r="L34" i="6"/>
  <c r="K16" i="3" s="1"/>
  <c r="K11" i="3"/>
  <c r="L30" i="6"/>
  <c r="K12" i="3" s="1"/>
  <c r="L31" i="6"/>
  <c r="K13" i="3" s="1"/>
  <c r="L32" i="6"/>
  <c r="K14" i="3" s="1"/>
  <c r="M34" i="6"/>
  <c r="L16" i="3" s="1"/>
  <c r="L41" i="6"/>
  <c r="K23" i="3" s="1"/>
  <c r="K20" i="3"/>
  <c r="L24" i="8"/>
  <c r="L15" i="3"/>
  <c r="Q23" i="6"/>
  <c r="Q48" i="6" s="1"/>
  <c r="P30" i="3" s="1"/>
  <c r="C23" i="6"/>
  <c r="K34" i="6"/>
  <c r="J16" i="3" s="1"/>
  <c r="C20" i="3"/>
  <c r="K40" i="6"/>
  <c r="J22" i="3" s="1"/>
  <c r="C15" i="7"/>
  <c r="B8" i="4" s="1"/>
  <c r="K24" i="8"/>
  <c r="K35" i="6"/>
  <c r="J17" i="3" s="1"/>
  <c r="J23" i="6"/>
  <c r="J48" i="6" s="1"/>
  <c r="I30" i="3" s="1"/>
  <c r="J19" i="6"/>
  <c r="J29" i="6" s="1"/>
  <c r="I11" i="3" s="1"/>
  <c r="C21" i="7"/>
  <c r="B14" i="4" s="1"/>
  <c r="L42" i="6"/>
  <c r="K24" i="3" s="1"/>
  <c r="E29" i="6"/>
  <c r="D11" i="3" s="1"/>
  <c r="C21" i="6"/>
  <c r="K37" i="6"/>
  <c r="J19" i="3" s="1"/>
  <c r="K25" i="3"/>
  <c r="L47" i="6"/>
  <c r="K29" i="3" s="1"/>
  <c r="I28" i="8"/>
  <c r="I5" i="8"/>
  <c r="K14" i="8" s="1"/>
  <c r="M41" i="6"/>
  <c r="L23" i="3" s="1"/>
  <c r="C23" i="3"/>
  <c r="M21" i="8"/>
  <c r="J23" i="8"/>
  <c r="R39" i="6"/>
  <c r="Q21" i="3" s="1"/>
  <c r="R44" i="6"/>
  <c r="Q26" i="3" s="1"/>
  <c r="R45" i="6"/>
  <c r="Q27" i="3" s="1"/>
  <c r="F21" i="6"/>
  <c r="F38" i="6" s="1"/>
  <c r="E38" i="6"/>
  <c r="N40" i="6"/>
  <c r="M22" i="3" s="1"/>
  <c r="M20" i="3"/>
  <c r="N41" i="6"/>
  <c r="M23" i="3" s="1"/>
  <c r="N34" i="6"/>
  <c r="M16" i="3" s="1"/>
  <c r="N39" i="6"/>
  <c r="M21" i="3" s="1"/>
  <c r="N42" i="6"/>
  <c r="M24" i="3" s="1"/>
  <c r="J16" i="8"/>
  <c r="D16" i="7"/>
  <c r="R31" i="6"/>
  <c r="Q13" i="3" s="1"/>
  <c r="R32" i="6"/>
  <c r="Q14" i="3" s="1"/>
  <c r="N12" i="8"/>
  <c r="E16" i="7"/>
  <c r="N15" i="3"/>
  <c r="O35" i="6"/>
  <c r="N17" i="3" s="1"/>
  <c r="O37" i="6"/>
  <c r="N19" i="3" s="1"/>
  <c r="O34" i="6"/>
  <c r="N16" i="3" s="1"/>
  <c r="O30" i="6"/>
  <c r="N12" i="3" s="1"/>
  <c r="E22" i="6"/>
  <c r="E43" i="6" s="1"/>
  <c r="O44" i="6"/>
  <c r="N26" i="3" s="1"/>
  <c r="O45" i="6"/>
  <c r="N27" i="3" s="1"/>
  <c r="O47" i="6"/>
  <c r="N29" i="3" s="1"/>
  <c r="O46" i="6"/>
  <c r="N28" i="3" s="1"/>
  <c r="O41" i="6"/>
  <c r="N23" i="3" s="1"/>
  <c r="P22" i="6"/>
  <c r="P43" i="6" s="1"/>
  <c r="Q22" i="6"/>
  <c r="Q43" i="6" s="1"/>
  <c r="J22" i="6"/>
  <c r="J43" i="6" s="1"/>
  <c r="C10" i="3"/>
  <c r="N21" i="8"/>
  <c r="K45" i="6"/>
  <c r="J27" i="3" s="1"/>
  <c r="K46" i="6"/>
  <c r="J28" i="3" s="1"/>
  <c r="K44" i="6"/>
  <c r="J26" i="3" s="1"/>
  <c r="J25" i="3"/>
  <c r="M11" i="3"/>
  <c r="N32" i="6"/>
  <c r="M14" i="3" s="1"/>
  <c r="N30" i="6"/>
  <c r="M12" i="3" s="1"/>
  <c r="C18" i="6"/>
  <c r="C35" i="6"/>
  <c r="B17" i="3" s="1"/>
  <c r="C37" i="6"/>
  <c r="B19" i="3" s="1"/>
  <c r="C39" i="6"/>
  <c r="E23" i="6"/>
  <c r="E48" i="6" s="1"/>
  <c r="D30" i="3" s="1"/>
  <c r="N26" i="8"/>
  <c r="C19" i="6"/>
  <c r="C28" i="6"/>
  <c r="C31" i="6"/>
  <c r="B13" i="3" s="1"/>
  <c r="C32" i="6"/>
  <c r="B14" i="3" s="1"/>
  <c r="C46" i="6"/>
  <c r="C33" i="6"/>
  <c r="B15" i="3" s="1"/>
  <c r="C34" i="6"/>
  <c r="C36" i="6"/>
  <c r="C38" i="6"/>
  <c r="B20" i="3" s="1"/>
  <c r="C40" i="6"/>
  <c r="B22" i="3" s="1"/>
  <c r="C45" i="6"/>
  <c r="C42" i="6"/>
  <c r="B24" i="3" s="1"/>
  <c r="C44" i="6"/>
  <c r="B26" i="3" s="1"/>
  <c r="C47" i="6"/>
  <c r="B29" i="3" s="1"/>
  <c r="C41" i="6"/>
  <c r="B23" i="3" s="1"/>
  <c r="C43" i="6"/>
  <c r="B25" i="3" s="1"/>
  <c r="C48" i="6"/>
  <c r="C22" i="6"/>
  <c r="C20" i="6"/>
  <c r="M25" i="3"/>
  <c r="N47" i="6"/>
  <c r="M29" i="3" s="1"/>
  <c r="N45" i="6"/>
  <c r="M27" i="3" s="1"/>
  <c r="N44" i="6"/>
  <c r="M26" i="3" s="1"/>
  <c r="O39" i="6"/>
  <c r="N21" i="3" s="1"/>
  <c r="N20" i="3"/>
  <c r="O42" i="6"/>
  <c r="N24" i="3" s="1"/>
  <c r="Q21" i="6"/>
  <c r="Q38" i="6" s="1"/>
  <c r="H21" i="6"/>
  <c r="H38" i="6" s="1"/>
  <c r="J21" i="6"/>
  <c r="J38" i="6" s="1"/>
  <c r="M15" i="3"/>
  <c r="N35" i="6"/>
  <c r="M17" i="3" s="1"/>
  <c r="N37" i="6"/>
  <c r="M19" i="3" s="1"/>
  <c r="C15" i="3"/>
  <c r="D34" i="6"/>
  <c r="D37" i="6"/>
  <c r="C20" i="7"/>
  <c r="B13" i="4" s="1"/>
  <c r="C22" i="7"/>
  <c r="C19" i="7"/>
  <c r="B12" i="4" s="1"/>
  <c r="C18" i="7"/>
  <c r="C17" i="7"/>
  <c r="C24" i="7"/>
  <c r="D24" i="7" s="1"/>
  <c r="C23" i="7"/>
  <c r="B16" i="4" s="1"/>
  <c r="E24" i="8"/>
  <c r="I27" i="8"/>
  <c r="E25" i="8"/>
  <c r="M11" i="8"/>
  <c r="A19" i="10" s="1"/>
  <c r="O11" i="3"/>
  <c r="J11" i="3"/>
  <c r="K32" i="6"/>
  <c r="J14" i="3" s="1"/>
  <c r="G31" i="6"/>
  <c r="F13" i="3" s="1"/>
  <c r="D31" i="6"/>
  <c r="O32" i="6"/>
  <c r="N14" i="3" s="1"/>
  <c r="D40" i="6"/>
  <c r="C25" i="3"/>
  <c r="K36" i="6"/>
  <c r="J18" i="3" s="1"/>
  <c r="K39" i="6"/>
  <c r="J21" i="3" s="1"/>
  <c r="R46" i="6"/>
  <c r="Q28" i="3" s="1"/>
  <c r="R48" i="6"/>
  <c r="Q30" i="3" s="1"/>
  <c r="D32" i="6"/>
  <c r="E20" i="6"/>
  <c r="E33" i="6" s="1"/>
  <c r="D39" i="6"/>
  <c r="D42" i="6"/>
  <c r="O31" i="6"/>
  <c r="N13" i="3" s="1"/>
  <c r="J20" i="6"/>
  <c r="J33" i="6" s="1"/>
  <c r="J31" i="6" s="1"/>
  <c r="I13" i="3" s="1"/>
  <c r="P20" i="6"/>
  <c r="P33" i="6" s="1"/>
  <c r="P32" i="6" s="1"/>
  <c r="O14" i="3" s="1"/>
  <c r="Q20" i="6"/>
  <c r="Q33" i="6" s="1"/>
  <c r="F18" i="6"/>
  <c r="F28" i="6" s="1"/>
  <c r="E10" i="3" s="1"/>
  <c r="H18" i="6"/>
  <c r="H28" i="6" s="1"/>
  <c r="G10" i="3" s="1"/>
  <c r="R43" i="6"/>
  <c r="Q25" i="3" s="1"/>
  <c r="R40" i="6"/>
  <c r="Q22" i="3" s="1"/>
  <c r="R41" i="6"/>
  <c r="Q23" i="3" s="1"/>
  <c r="R42" i="6"/>
  <c r="Q24" i="3" s="1"/>
  <c r="R38" i="6"/>
  <c r="Q20" i="3" s="1"/>
  <c r="R37" i="6"/>
  <c r="Q19" i="3" s="1"/>
  <c r="R36" i="6"/>
  <c r="Q18" i="3" s="1"/>
  <c r="R35" i="6"/>
  <c r="Q17" i="3" s="1"/>
  <c r="R34" i="6"/>
  <c r="Q16" i="3" s="1"/>
  <c r="R33" i="6"/>
  <c r="Q15" i="3" s="1"/>
  <c r="J18" i="6"/>
  <c r="J28" i="6" s="1"/>
  <c r="I10" i="3" s="1"/>
  <c r="T47" i="6" l="1"/>
  <c r="O22" i="8"/>
  <c r="H45" i="6"/>
  <c r="G27" i="3" s="1"/>
  <c r="P12" i="8"/>
  <c r="M23" i="8"/>
  <c r="O23" i="8" s="1"/>
  <c r="L15" i="8"/>
  <c r="D7" i="5" s="1"/>
  <c r="C6" i="10" s="1"/>
  <c r="J32" i="6"/>
  <c r="I14" i="3" s="1"/>
  <c r="H30" i="6"/>
  <c r="G12" i="3" s="1"/>
  <c r="L14" i="8"/>
  <c r="Q6" i="8" s="1"/>
  <c r="N7" i="8"/>
  <c r="M5" i="8"/>
  <c r="I14" i="8"/>
  <c r="E8" i="5" s="1"/>
  <c r="A12" i="10" s="1"/>
  <c r="H46" i="6"/>
  <c r="G28" i="3" s="1"/>
  <c r="P11" i="8"/>
  <c r="J15" i="8"/>
  <c r="R8" i="8" s="1"/>
  <c r="I15" i="8"/>
  <c r="E7" i="5" s="1"/>
  <c r="A10" i="10" s="1"/>
  <c r="O7" i="8"/>
  <c r="M9" i="8"/>
  <c r="P10" i="8"/>
  <c r="H31" i="6"/>
  <c r="G13" i="3" s="1"/>
  <c r="F23" i="6"/>
  <c r="F48" i="6" s="1"/>
  <c r="E30" i="3" s="1"/>
  <c r="J14" i="8"/>
  <c r="H47" i="6"/>
  <c r="G29" i="3" s="1"/>
  <c r="E21" i="7"/>
  <c r="D21" i="7"/>
  <c r="F21" i="7" s="1"/>
  <c r="R12" i="3"/>
  <c r="E15" i="7"/>
  <c r="H44" i="6"/>
  <c r="G26" i="3" s="1"/>
  <c r="H32" i="6"/>
  <c r="G14" i="3" s="1"/>
  <c r="D15" i="7"/>
  <c r="F15" i="7" s="1"/>
  <c r="P9" i="8"/>
  <c r="J30" i="6"/>
  <c r="I12" i="3" s="1"/>
  <c r="P30" i="6"/>
  <c r="O12" i="3" s="1"/>
  <c r="T30" i="6"/>
  <c r="C7" i="5"/>
  <c r="B6" i="10" s="1"/>
  <c r="D19" i="7"/>
  <c r="Q12" i="8"/>
  <c r="T43" i="6"/>
  <c r="D23" i="7"/>
  <c r="L30" i="8"/>
  <c r="B10" i="3"/>
  <c r="R11" i="3" s="1"/>
  <c r="T29" i="6"/>
  <c r="E46" i="6"/>
  <c r="D28" i="3" s="1"/>
  <c r="D25" i="3"/>
  <c r="E47" i="6"/>
  <c r="D29" i="3" s="1"/>
  <c r="E44" i="6"/>
  <c r="D26" i="3" s="1"/>
  <c r="E45" i="6"/>
  <c r="D27" i="3" s="1"/>
  <c r="T42" i="6"/>
  <c r="C24" i="3"/>
  <c r="R24" i="3" s="1"/>
  <c r="D24" i="8"/>
  <c r="B11" i="4"/>
  <c r="D18" i="7"/>
  <c r="I20" i="3"/>
  <c r="J41" i="6"/>
  <c r="I23" i="3" s="1"/>
  <c r="J40" i="6"/>
  <c r="I22" i="3" s="1"/>
  <c r="J42" i="6"/>
  <c r="I24" i="3" s="1"/>
  <c r="J39" i="6"/>
  <c r="I21" i="3" s="1"/>
  <c r="B30" i="3"/>
  <c r="R30" i="3" s="1"/>
  <c r="T48" i="6"/>
  <c r="T28" i="6"/>
  <c r="F22" i="6"/>
  <c r="F43" i="6" s="1"/>
  <c r="F39" i="6" s="1"/>
  <c r="E21" i="3" s="1"/>
  <c r="J30" i="8"/>
  <c r="R11" i="8"/>
  <c r="B6" i="5"/>
  <c r="A5" i="10" s="1"/>
  <c r="E39" i="6"/>
  <c r="D21" i="3" s="1"/>
  <c r="E42" i="6"/>
  <c r="D24" i="3" s="1"/>
  <c r="E41" i="6"/>
  <c r="D23" i="3" s="1"/>
  <c r="E40" i="6"/>
  <c r="D22" i="3" s="1"/>
  <c r="D20" i="3"/>
  <c r="T39" i="6"/>
  <c r="C21" i="3"/>
  <c r="R21" i="3" s="1"/>
  <c r="C13" i="3"/>
  <c r="R13" i="3" s="1"/>
  <c r="T31" i="6"/>
  <c r="E23" i="7"/>
  <c r="F23" i="7" s="1"/>
  <c r="H39" i="6"/>
  <c r="G21" i="3" s="1"/>
  <c r="H42" i="6"/>
  <c r="G24" i="3" s="1"/>
  <c r="H40" i="6"/>
  <c r="G22" i="3" s="1"/>
  <c r="H41" i="6"/>
  <c r="G23" i="3" s="1"/>
  <c r="H34" i="6"/>
  <c r="G16" i="3" s="1"/>
  <c r="H37" i="6"/>
  <c r="G19" i="3" s="1"/>
  <c r="H36" i="6"/>
  <c r="G18" i="3" s="1"/>
  <c r="G20" i="3"/>
  <c r="B18" i="3"/>
  <c r="T35" i="6"/>
  <c r="H35" i="6"/>
  <c r="G17" i="3" s="1"/>
  <c r="R10" i="3"/>
  <c r="P25" i="3"/>
  <c r="Q44" i="6"/>
  <c r="P26" i="3" s="1"/>
  <c r="Q47" i="6"/>
  <c r="P29" i="3" s="1"/>
  <c r="Q46" i="6"/>
  <c r="P28" i="3" s="1"/>
  <c r="Q45" i="6"/>
  <c r="P27" i="3" s="1"/>
  <c r="F16" i="7"/>
  <c r="E18" i="7"/>
  <c r="Q11" i="8"/>
  <c r="D6" i="5"/>
  <c r="C5" i="10" s="1"/>
  <c r="E20" i="3"/>
  <c r="F42" i="6"/>
  <c r="E24" i="3" s="1"/>
  <c r="F41" i="6"/>
  <c r="E23" i="3" s="1"/>
  <c r="R23" i="3"/>
  <c r="D15" i="3"/>
  <c r="E36" i="6"/>
  <c r="D18" i="3" s="1"/>
  <c r="E31" i="6"/>
  <c r="D13" i="3" s="1"/>
  <c r="E37" i="6"/>
  <c r="D19" i="3" s="1"/>
  <c r="E32" i="6"/>
  <c r="D14" i="3" s="1"/>
  <c r="E34" i="6"/>
  <c r="D16" i="3" s="1"/>
  <c r="E30" i="6"/>
  <c r="D12" i="3" s="1"/>
  <c r="E35" i="6"/>
  <c r="D17" i="3" s="1"/>
  <c r="B10" i="4"/>
  <c r="E17" i="7"/>
  <c r="C16" i="3"/>
  <c r="R16" i="3" s="1"/>
  <c r="T34" i="6"/>
  <c r="C8" i="5"/>
  <c r="D17" i="7"/>
  <c r="T36" i="6"/>
  <c r="D20" i="7"/>
  <c r="E20" i="7"/>
  <c r="P15" i="3"/>
  <c r="Q35" i="6"/>
  <c r="P17" i="3" s="1"/>
  <c r="Q31" i="6"/>
  <c r="P13" i="3" s="1"/>
  <c r="Q32" i="6"/>
  <c r="P14" i="3" s="1"/>
  <c r="Q30" i="6"/>
  <c r="P12" i="3" s="1"/>
  <c r="Q37" i="6"/>
  <c r="P19" i="3" s="1"/>
  <c r="Q36" i="6"/>
  <c r="P18" i="3" s="1"/>
  <c r="Q34" i="6"/>
  <c r="P16" i="3" s="1"/>
  <c r="C14" i="3"/>
  <c r="R14" i="3" s="1"/>
  <c r="T32" i="6"/>
  <c r="B28" i="3"/>
  <c r="R27" i="3" s="1"/>
  <c r="T45" i="6"/>
  <c r="L17" i="8"/>
  <c r="R18" i="3"/>
  <c r="J46" i="6"/>
  <c r="I28" i="3" s="1"/>
  <c r="I25" i="3"/>
  <c r="J44" i="6"/>
  <c r="I26" i="3" s="1"/>
  <c r="J45" i="6"/>
  <c r="I27" i="3" s="1"/>
  <c r="J47" i="6"/>
  <c r="I29" i="3" s="1"/>
  <c r="T41" i="6"/>
  <c r="O15" i="3"/>
  <c r="P34" i="6"/>
  <c r="O16" i="3" s="1"/>
  <c r="P35" i="6"/>
  <c r="O17" i="3" s="1"/>
  <c r="P37" i="6"/>
  <c r="O19" i="3" s="1"/>
  <c r="P36" i="6"/>
  <c r="O18" i="3" s="1"/>
  <c r="R25" i="3"/>
  <c r="N11" i="8"/>
  <c r="M16" i="8"/>
  <c r="F6" i="5" s="1"/>
  <c r="J34" i="6"/>
  <c r="I16" i="3" s="1"/>
  <c r="J36" i="6"/>
  <c r="I18" i="3" s="1"/>
  <c r="J37" i="6"/>
  <c r="I19" i="3" s="1"/>
  <c r="J35" i="6"/>
  <c r="I17" i="3" s="1"/>
  <c r="I15" i="3"/>
  <c r="F20" i="6"/>
  <c r="F33" i="6" s="1"/>
  <c r="C22" i="3"/>
  <c r="T40" i="6"/>
  <c r="P31" i="6"/>
  <c r="O13" i="3" s="1"/>
  <c r="D25" i="8"/>
  <c r="O25" i="8"/>
  <c r="E24" i="7"/>
  <c r="F24" i="7" s="1"/>
  <c r="B17" i="4"/>
  <c r="B15" i="4"/>
  <c r="E22" i="7"/>
  <c r="C19" i="3"/>
  <c r="R19" i="3" s="1"/>
  <c r="T37" i="6"/>
  <c r="Q42" i="6"/>
  <c r="P24" i="3" s="1"/>
  <c r="Q41" i="6"/>
  <c r="P23" i="3" s="1"/>
  <c r="Q39" i="6"/>
  <c r="P21" i="3" s="1"/>
  <c r="Q40" i="6"/>
  <c r="P22" i="3" s="1"/>
  <c r="P20" i="3"/>
  <c r="T44" i="6"/>
  <c r="B27" i="3"/>
  <c r="R26" i="3" s="1"/>
  <c r="T33" i="6"/>
  <c r="B16" i="3"/>
  <c r="R15" i="3" s="1"/>
  <c r="T38" i="6"/>
  <c r="B21" i="3"/>
  <c r="R20" i="3" s="1"/>
  <c r="K30" i="8"/>
  <c r="I17" i="8"/>
  <c r="K17" i="8"/>
  <c r="P40" i="6"/>
  <c r="O22" i="3" s="1"/>
  <c r="P47" i="6"/>
  <c r="O29" i="3" s="1"/>
  <c r="P45" i="6"/>
  <c r="O27" i="3" s="1"/>
  <c r="P39" i="6"/>
  <c r="O21" i="3" s="1"/>
  <c r="O25" i="3"/>
  <c r="P46" i="6"/>
  <c r="O28" i="3" s="1"/>
  <c r="P42" i="6"/>
  <c r="O24" i="3" s="1"/>
  <c r="P44" i="6"/>
  <c r="O26" i="3" s="1"/>
  <c r="P41" i="6"/>
  <c r="O23" i="3" s="1"/>
  <c r="D22" i="7"/>
  <c r="E19" i="7"/>
  <c r="F19" i="7" s="1"/>
  <c r="R12" i="8"/>
  <c r="T46" i="6"/>
  <c r="I30" i="8"/>
  <c r="E5" i="5" s="1"/>
  <c r="B107" i="5" l="1"/>
  <c r="A8" i="10"/>
  <c r="D8" i="5"/>
  <c r="P5" i="8"/>
  <c r="M14" i="8" s="1"/>
  <c r="F8" i="5" s="1"/>
  <c r="N5" i="8"/>
  <c r="N14" i="8" s="1"/>
  <c r="G8" i="5" s="1"/>
  <c r="A14" i="10"/>
  <c r="P6" i="8"/>
  <c r="N23" i="8"/>
  <c r="Q5" i="8"/>
  <c r="J17" i="8"/>
  <c r="B8" i="5"/>
  <c r="B50" i="5" s="1"/>
  <c r="F40" i="6"/>
  <c r="E22" i="3" s="1"/>
  <c r="O5" i="8"/>
  <c r="R5" i="8"/>
  <c r="R10" i="8"/>
  <c r="R6" i="8"/>
  <c r="P7" i="8"/>
  <c r="P8" i="8"/>
  <c r="Q7" i="8"/>
  <c r="R9" i="8"/>
  <c r="R7" i="8"/>
  <c r="Q10" i="8"/>
  <c r="Q9" i="8"/>
  <c r="Q8" i="8"/>
  <c r="B7" i="5"/>
  <c r="A6" i="10" s="1"/>
  <c r="O9" i="8"/>
  <c r="N9" i="8"/>
  <c r="Q27" i="8"/>
  <c r="R29" i="3"/>
  <c r="F22" i="7"/>
  <c r="I22" i="7" s="1"/>
  <c r="G23" i="7"/>
  <c r="I23" i="7"/>
  <c r="H23" i="7"/>
  <c r="I16" i="4" s="1"/>
  <c r="I19" i="7"/>
  <c r="G19" i="7"/>
  <c r="H19" i="7"/>
  <c r="I12" i="4" s="1"/>
  <c r="I24" i="7"/>
  <c r="H24" i="7"/>
  <c r="I17" i="4" s="1"/>
  <c r="G24" i="7"/>
  <c r="M24" i="8"/>
  <c r="E10" i="8"/>
  <c r="N24" i="8"/>
  <c r="P26" i="8"/>
  <c r="C5" i="5"/>
  <c r="B4" i="10" s="1"/>
  <c r="P23" i="8"/>
  <c r="P25" i="8"/>
  <c r="P24" i="8"/>
  <c r="P28" i="8"/>
  <c r="P22" i="8"/>
  <c r="P21" i="8"/>
  <c r="F20" i="7"/>
  <c r="I16" i="7"/>
  <c r="G16" i="7"/>
  <c r="H16" i="7"/>
  <c r="I9" i="4" s="1"/>
  <c r="F18" i="7"/>
  <c r="G21" i="7"/>
  <c r="I21" i="7"/>
  <c r="H21" i="7"/>
  <c r="I14" i="4" s="1"/>
  <c r="R22" i="3"/>
  <c r="N16" i="8"/>
  <c r="G6" i="5" s="1"/>
  <c r="O11" i="8"/>
  <c r="O16" i="8" s="1"/>
  <c r="H6" i="5" s="1"/>
  <c r="H15" i="7"/>
  <c r="I8" i="4" s="1"/>
  <c r="G15" i="7"/>
  <c r="I15" i="7"/>
  <c r="R26" i="8"/>
  <c r="R25" i="8"/>
  <c r="B5" i="5"/>
  <c r="A4" i="10" s="1"/>
  <c r="R24" i="8"/>
  <c r="R28" i="8"/>
  <c r="R21" i="8"/>
  <c r="R22" i="8"/>
  <c r="P27" i="8"/>
  <c r="T50" i="6"/>
  <c r="G22" i="7"/>
  <c r="R23" i="8"/>
  <c r="Q23" i="8"/>
  <c r="D5" i="5"/>
  <c r="C4" i="10" s="1"/>
  <c r="Q28" i="8"/>
  <c r="Q25" i="8"/>
  <c r="Q26" i="8"/>
  <c r="Q24" i="8"/>
  <c r="Q21" i="8"/>
  <c r="Q22" i="8"/>
  <c r="L31" i="8"/>
  <c r="J31" i="8"/>
  <c r="I31" i="8"/>
  <c r="K31" i="8"/>
  <c r="N25" i="8"/>
  <c r="M25" i="8"/>
  <c r="F36" i="6"/>
  <c r="E18" i="3" s="1"/>
  <c r="F34" i="6"/>
  <c r="E16" i="3" s="1"/>
  <c r="F35" i="6"/>
  <c r="E17" i="3" s="1"/>
  <c r="F37" i="6"/>
  <c r="E19" i="3" s="1"/>
  <c r="E15" i="3"/>
  <c r="F30" i="6"/>
  <c r="E12" i="3" s="1"/>
  <c r="F31" i="6"/>
  <c r="E13" i="3" s="1"/>
  <c r="F32" i="6"/>
  <c r="E14" i="3" s="1"/>
  <c r="F17" i="7"/>
  <c r="R28" i="3"/>
  <c r="R17" i="3"/>
  <c r="F47" i="6"/>
  <c r="E29" i="3" s="1"/>
  <c r="E25" i="3"/>
  <c r="F46" i="6"/>
  <c r="E28" i="3" s="1"/>
  <c r="F45" i="6"/>
  <c r="E27" i="3" s="1"/>
  <c r="F44" i="6"/>
  <c r="E26" i="3" s="1"/>
  <c r="O24" i="8"/>
  <c r="R27" i="8"/>
  <c r="O14" i="8" l="1"/>
  <c r="H8" i="5" s="1"/>
  <c r="R32" i="3"/>
  <c r="B106" i="5" s="1"/>
  <c r="B108" i="5" s="1"/>
  <c r="H22" i="7"/>
  <c r="I15" i="4" s="1"/>
  <c r="O30" i="8"/>
  <c r="H5" i="5" s="1"/>
  <c r="G17" i="7"/>
  <c r="H17" i="7"/>
  <c r="I10" i="4" s="1"/>
  <c r="I17" i="7"/>
  <c r="N30" i="8"/>
  <c r="G5" i="5" s="1"/>
  <c r="J19" i="7"/>
  <c r="L19" i="7"/>
  <c r="N19" i="7" s="1"/>
  <c r="K19" i="7"/>
  <c r="H12" i="4" s="1"/>
  <c r="O22" i="7"/>
  <c r="C15" i="4"/>
  <c r="J21" i="7"/>
  <c r="L21" i="7"/>
  <c r="N21" i="7" s="1"/>
  <c r="K21" i="7"/>
  <c r="H14" i="4" s="1"/>
  <c r="O16" i="7"/>
  <c r="C9" i="4"/>
  <c r="N10" i="8"/>
  <c r="N15" i="8" s="1"/>
  <c r="G7" i="5" s="1"/>
  <c r="M10" i="8"/>
  <c r="M15" i="8" s="1"/>
  <c r="F7" i="5" s="1"/>
  <c r="O10" i="8"/>
  <c r="O15" i="8" s="1"/>
  <c r="H7" i="5" s="1"/>
  <c r="K24" i="7"/>
  <c r="H17" i="4" s="1"/>
  <c r="J24" i="7"/>
  <c r="L24" i="7"/>
  <c r="N24" i="7" s="1"/>
  <c r="K22" i="7"/>
  <c r="H15" i="4" s="1"/>
  <c r="J22" i="7"/>
  <c r="L22" i="7"/>
  <c r="N22" i="7" s="1"/>
  <c r="K15" i="7"/>
  <c r="H8" i="4" s="1"/>
  <c r="L15" i="7"/>
  <c r="N15" i="7" s="1"/>
  <c r="J15" i="7"/>
  <c r="C14" i="4"/>
  <c r="O21" i="7"/>
  <c r="L16" i="7"/>
  <c r="N16" i="7" s="1"/>
  <c r="K16" i="7"/>
  <c r="H9" i="4" s="1"/>
  <c r="J16" i="7"/>
  <c r="M30" i="8"/>
  <c r="F5" i="5" s="1"/>
  <c r="J23" i="7"/>
  <c r="L23" i="7"/>
  <c r="N23" i="7" s="1"/>
  <c r="K23" i="7"/>
  <c r="H16" i="4" s="1"/>
  <c r="C8" i="4"/>
  <c r="O15" i="7"/>
  <c r="I18" i="7"/>
  <c r="G18" i="7"/>
  <c r="H18" i="7"/>
  <c r="I11" i="4" s="1"/>
  <c r="I20" i="7"/>
  <c r="G20" i="7"/>
  <c r="H20" i="7"/>
  <c r="I13" i="4" s="1"/>
  <c r="O24" i="7"/>
  <c r="C17" i="4"/>
  <c r="O19" i="7"/>
  <c r="C12" i="4"/>
  <c r="C16" i="4"/>
  <c r="O23" i="7"/>
  <c r="A13" i="10" l="1"/>
  <c r="C11" i="4"/>
  <c r="O18" i="7"/>
  <c r="D9" i="4"/>
  <c r="M16" i="7"/>
  <c r="E9" i="4" s="1"/>
  <c r="J15" i="4"/>
  <c r="K15" i="4"/>
  <c r="M24" i="7"/>
  <c r="E17" i="4" s="1"/>
  <c r="D17" i="4"/>
  <c r="K14" i="4"/>
  <c r="J14" i="4"/>
  <c r="K17" i="7"/>
  <c r="H10" i="4" s="1"/>
  <c r="J17" i="7"/>
  <c r="L17" i="7"/>
  <c r="N17" i="7" s="1"/>
  <c r="K17" i="4"/>
  <c r="J17" i="4"/>
  <c r="O20" i="7"/>
  <c r="C13" i="4"/>
  <c r="L18" i="7"/>
  <c r="N18" i="7" s="1"/>
  <c r="K18" i="7"/>
  <c r="H11" i="4" s="1"/>
  <c r="J18" i="7"/>
  <c r="J16" i="4"/>
  <c r="K16" i="4"/>
  <c r="M15" i="7"/>
  <c r="E8" i="4" s="1"/>
  <c r="D8" i="4"/>
  <c r="D15" i="4"/>
  <c r="M22" i="7"/>
  <c r="E15" i="4" s="1"/>
  <c r="D14" i="4"/>
  <c r="M21" i="7"/>
  <c r="E14" i="4" s="1"/>
  <c r="K12" i="4"/>
  <c r="J12" i="4"/>
  <c r="L20" i="7"/>
  <c r="N20" i="7" s="1"/>
  <c r="K20" i="7"/>
  <c r="H13" i="4" s="1"/>
  <c r="J20" i="7"/>
  <c r="D16" i="4"/>
  <c r="M23" i="7"/>
  <c r="E16" i="4" s="1"/>
  <c r="J9" i="4"/>
  <c r="K9" i="4"/>
  <c r="J8" i="4"/>
  <c r="K8" i="4"/>
  <c r="D12" i="4"/>
  <c r="M19" i="7"/>
  <c r="E12" i="4" s="1"/>
  <c r="C10" i="4"/>
  <c r="O17" i="7"/>
  <c r="O26" i="7" l="1"/>
  <c r="B109" i="5" s="1"/>
  <c r="M17" i="7"/>
  <c r="E10" i="4" s="1"/>
  <c r="D10" i="4"/>
  <c r="K13" i="4"/>
  <c r="J13" i="4"/>
  <c r="M18" i="7"/>
  <c r="E11" i="4" s="1"/>
  <c r="D11" i="4"/>
  <c r="J11" i="4"/>
  <c r="K11" i="4"/>
  <c r="M20" i="7"/>
  <c r="E13" i="4" s="1"/>
  <c r="D13" i="4"/>
  <c r="J10" i="4"/>
  <c r="K10" i="4"/>
</calcChain>
</file>

<file path=xl/comments1.xml><?xml version="1.0" encoding="utf-8"?>
<comments xmlns="http://schemas.openxmlformats.org/spreadsheetml/2006/main">
  <authors>
    <author>Jeff Minnema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model name = # of megawatts, configuration letter (A-Z), revision #.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<sst xmlns="http://schemas.openxmlformats.org/spreadsheetml/2006/main" count="671" uniqueCount="464">
  <si>
    <t>number</t>
  </si>
  <si>
    <t>Tower station</t>
  </si>
  <si>
    <t>height above ground (m)</t>
  </si>
  <si>
    <t>mass per unit length (kg/m)</t>
  </si>
  <si>
    <t>Part</t>
  </si>
  <si>
    <t>Name</t>
  </si>
  <si>
    <t>X</t>
  </si>
  <si>
    <t>Z</t>
  </si>
  <si>
    <t xml:space="preserve">Y </t>
  </si>
  <si>
    <t>Mainframe</t>
  </si>
  <si>
    <t>Gen. Shaft</t>
  </si>
  <si>
    <t>Rotor Shaft</t>
  </si>
  <si>
    <t>Hub</t>
  </si>
  <si>
    <t>Mass (kg)</t>
  </si>
  <si>
    <t>Use the RED coord. system to define c.g. locations:</t>
  </si>
  <si>
    <t>Ixx</t>
  </si>
  <si>
    <t>Iyy</t>
  </si>
  <si>
    <t>Izz</t>
  </si>
  <si>
    <t>Mom. of inertia about each parts c.g. (kg-m^2)</t>
  </si>
  <si>
    <t xml:space="preserve"> Iy, mass mom. of inertia per unit length (kg-m)</t>
  </si>
  <si>
    <t>GJ, Torsional Stiffness (N-m^2)</t>
  </si>
  <si>
    <t>EA, Extensional Stiffness (N)</t>
  </si>
  <si>
    <t xml:space="preserve"> c.g. offset in the X direction (m)</t>
  </si>
  <si>
    <t xml:space="preserve"> c.g. offset in the Y direction (m)</t>
  </si>
  <si>
    <t>Use BLUE coord. system defined on  "Main Page".</t>
  </si>
  <si>
    <r>
      <t>EI</t>
    </r>
    <r>
      <rPr>
        <sz val="8"/>
        <rFont val="Arial"/>
        <family val="2"/>
      </rPr>
      <t>x, Bending Stiffness (N-m^2)</t>
    </r>
  </si>
  <si>
    <r>
      <t>EI</t>
    </r>
    <r>
      <rPr>
        <sz val="8"/>
        <rFont val="Arial"/>
        <family val="2"/>
      </rPr>
      <t>y, Bending Stiffness (N-m^2)</t>
    </r>
  </si>
  <si>
    <t>** Define twist so that the blade tip has zero twist.</t>
  </si>
  <si>
    <t>Number of blades</t>
  </si>
  <si>
    <t>Up or down wind</t>
  </si>
  <si>
    <t>tower shadow deficit fraction</t>
  </si>
  <si>
    <t>free or fixed yaw</t>
  </si>
  <si>
    <t>Use BLACK coord. system defined on  "Main Page".</t>
  </si>
  <si>
    <t>fixed</t>
  </si>
  <si>
    <t>* z is measured from the blade root flange (See Blade Coord. System on "Main Page".)</t>
  </si>
  <si>
    <t>1st flap</t>
  </si>
  <si>
    <t>2nd flap</t>
  </si>
  <si>
    <t>1st edge</t>
  </si>
  <si>
    <t>coning angle (deg)</t>
  </si>
  <si>
    <t>Tilt Angle (deg)</t>
  </si>
  <si>
    <t>Model Name</t>
  </si>
  <si>
    <t>Airfoil_table name</t>
  </si>
  <si>
    <t>Air Density (kg/m^3)</t>
  </si>
  <si>
    <t>Drivetrain torsional spring constant (N-m/radian)</t>
  </si>
  <si>
    <t>mass/length (kg/m)</t>
  </si>
  <si>
    <t>x_cg_offset (m)</t>
  </si>
  <si>
    <t>y_cg_offset (m)</t>
  </si>
  <si>
    <t>x_ea_offset (m)</t>
  </si>
  <si>
    <t>y_ea_offset (m)</t>
  </si>
  <si>
    <t>twist (deg)**</t>
  </si>
  <si>
    <t>1st fore-aft</t>
  </si>
  <si>
    <t>2nd fore-aft</t>
  </si>
  <si>
    <t>1st side-side</t>
  </si>
  <si>
    <t>2nd side-side</t>
  </si>
  <si>
    <t>If a down wind rotor:</t>
  </si>
  <si>
    <t>Tower data</t>
  </si>
  <si>
    <t>blade length (m)</t>
  </si>
  <si>
    <t>hub radius (m)</t>
  </si>
  <si>
    <t>Ix (kg-m^2)</t>
  </si>
  <si>
    <t>Iy (kg-m^2)</t>
  </si>
  <si>
    <t>GJ (N-m^2)</t>
  </si>
  <si>
    <t>EA (N)</t>
  </si>
  <si>
    <t>chord (m)</t>
  </si>
  <si>
    <t>fraction of blade legth z/L*</t>
  </si>
  <si>
    <t>Blade data</t>
  </si>
  <si>
    <t>Blade is pitched zero degrees , coning is positive (Blade tip downwind).</t>
  </si>
  <si>
    <t>Drawing shows zero tilt.  Positive tilt raises the hub.</t>
  </si>
  <si>
    <r>
      <t xml:space="preserve">For the </t>
    </r>
    <r>
      <rPr>
        <sz val="8"/>
        <color indexed="10"/>
        <rFont val="Arial"/>
        <family val="2"/>
      </rPr>
      <t>RED</t>
    </r>
    <r>
      <rPr>
        <sz val="8"/>
        <rFont val="Arial"/>
        <family val="2"/>
      </rPr>
      <t xml:space="preserve"> coord. system, X is downwind.</t>
    </r>
  </si>
  <si>
    <t>All coord. systems are per IEC document 61400-13 (Annex A).</t>
  </si>
  <si>
    <t xml:space="preserve"> Positive tilt raises the hub</t>
  </si>
  <si>
    <t>Positive coning moves the blade tip downwind.</t>
  </si>
  <si>
    <t>y_ac_offset (m)</t>
  </si>
  <si>
    <t>Flap, EIy (N-m^2)</t>
  </si>
  <si>
    <t>Edge,  EIx (N-m^2)</t>
  </si>
  <si>
    <t>Synch. rotor rpm</t>
  </si>
  <si>
    <t>% slip</t>
  </si>
  <si>
    <t>Rated Power (kW)</t>
  </si>
  <si>
    <t>If induction generator:</t>
  </si>
  <si>
    <t>If variable speed generator:</t>
  </si>
  <si>
    <t>Max. rotor rpm</t>
  </si>
  <si>
    <t>Pitch control data:</t>
  </si>
  <si>
    <t>Min. pitch angle (deg)</t>
  </si>
  <si>
    <t>Max. pitch angle (deg)</t>
  </si>
  <si>
    <t>Max. pitch rate (deg/sec)</t>
  </si>
  <si>
    <t>modal damping ratios</t>
  </si>
  <si>
    <t>m</t>
  </si>
  <si>
    <t>kg/m</t>
  </si>
  <si>
    <t>Station</t>
  </si>
  <si>
    <t>Chord</t>
  </si>
  <si>
    <t>Spar Cap</t>
  </si>
  <si>
    <t>(m)</t>
  </si>
  <si>
    <t>N m^2</t>
  </si>
  <si>
    <t>area</t>
  </si>
  <si>
    <t>m^2</t>
  </si>
  <si>
    <t>hub height=</t>
  </si>
  <si>
    <t>yaw brg ht=</t>
  </si>
  <si>
    <t>base diam =</t>
  </si>
  <si>
    <t>mm</t>
  </si>
  <si>
    <t>top diam =</t>
  </si>
  <si>
    <t>base thickness=</t>
  </si>
  <si>
    <t>top thickness=</t>
  </si>
  <si>
    <t>steel density=</t>
  </si>
  <si>
    <t>kg/m^3</t>
  </si>
  <si>
    <t>steel modulus=</t>
  </si>
  <si>
    <t>N/m^2</t>
  </si>
  <si>
    <t>steel G=</t>
  </si>
  <si>
    <t>station</t>
  </si>
  <si>
    <t>height\m</t>
  </si>
  <si>
    <t>diam</t>
  </si>
  <si>
    <t>thickness</t>
  </si>
  <si>
    <t>kg m^2/m</t>
  </si>
  <si>
    <t>m^4</t>
  </si>
  <si>
    <t>GJ</t>
  </si>
  <si>
    <t>EA</t>
  </si>
  <si>
    <t>N</t>
  </si>
  <si>
    <t>mass/length</t>
  </si>
  <si>
    <t>tower shadow half width (m)</t>
  </si>
  <si>
    <t>kg</t>
  </si>
  <si>
    <t>up</t>
  </si>
  <si>
    <t>c.g. locations (m)
wrt nacelle coords</t>
  </si>
  <si>
    <t>Hub height (m)</t>
  </si>
  <si>
    <t>Rotor diameter (m)</t>
  </si>
  <si>
    <t>tower data</t>
  </si>
  <si>
    <t>top diameter (m)</t>
  </si>
  <si>
    <t>top thickness (mm)</t>
  </si>
  <si>
    <t>base diameter (m)</t>
  </si>
  <si>
    <t>base thickness (mm)</t>
  </si>
  <si>
    <t>Overall outer diameter</t>
  </si>
  <si>
    <t>Initial value = 0.05*D</t>
  </si>
  <si>
    <t>Blade root bolt diam</t>
  </si>
  <si>
    <t>Shaft connection diam</t>
  </si>
  <si>
    <t>Initially = 2*shaft OD</t>
  </si>
  <si>
    <t>Wall thickness</t>
  </si>
  <si>
    <t>Material density</t>
  </si>
  <si>
    <t>CGx</t>
  </si>
  <si>
    <t>Initial value = 0.05*D, will be - for upwind turbine</t>
  </si>
  <si>
    <t>CGy</t>
  </si>
  <si>
    <t>CGz</t>
  </si>
  <si>
    <t>Mainshaft</t>
  </si>
  <si>
    <t>Length</t>
  </si>
  <si>
    <t>Outside diam</t>
  </si>
  <si>
    <t>Inside diam</t>
  </si>
  <si>
    <t>Initially set equal to 0.5*outside diam</t>
  </si>
  <si>
    <t>CGx is calculated as the average of the 2 bearing locations</t>
  </si>
  <si>
    <t>Bearings</t>
  </si>
  <si>
    <t>1st CGx</t>
  </si>
  <si>
    <t>Initially .035*D, will be - for upwind turbine</t>
  </si>
  <si>
    <t>1st CGy</t>
  </si>
  <si>
    <t>1st CGz</t>
  </si>
  <si>
    <t>2nd CGx</t>
  </si>
  <si>
    <t>Initially .01*D, will be - for upwind turbine</t>
  </si>
  <si>
    <t>2nd CGy</t>
  </si>
  <si>
    <t>2nd CGz</t>
  </si>
  <si>
    <t>Gearbox</t>
  </si>
  <si>
    <t>Mass</t>
  </si>
  <si>
    <t>Initially set to a value which satisfies 200000 hrs at rated*1.1</t>
  </si>
  <si>
    <t>Initially set at 0</t>
  </si>
  <si>
    <t>Ratio</t>
  </si>
  <si>
    <t>Low Speed RPM</t>
  </si>
  <si>
    <t>Generator</t>
  </si>
  <si>
    <t>Rating</t>
  </si>
  <si>
    <t>kW</t>
  </si>
  <si>
    <t>Initially set equal to 0.0125*D, will be - for downwind turbine</t>
  </si>
  <si>
    <t>Bedplate</t>
  </si>
  <si>
    <t>Length from 1st bearing to yaw CL</t>
  </si>
  <si>
    <t>Critical section width</t>
  </si>
  <si>
    <t>Critical section is at yaw CL</t>
  </si>
  <si>
    <t>Critical section depth</t>
  </si>
  <si>
    <t>Critical section base thickness</t>
  </si>
  <si>
    <t>Critical section wall thickness</t>
  </si>
  <si>
    <t>Initially set to -1/2 dist from shaft to yaw bearing, = -.0122*D</t>
  </si>
  <si>
    <t>Rotor diameter, m:</t>
  </si>
  <si>
    <t>Generator rpm</t>
  </si>
  <si>
    <t>Rotating components</t>
  </si>
  <si>
    <t>Length, m</t>
  </si>
  <si>
    <t>Inside Diameter, m</t>
  </si>
  <si>
    <t>Outside Diameter, m</t>
  </si>
  <si>
    <t>Density, kg/m^3</t>
  </si>
  <si>
    <t>Mass, kg</t>
  </si>
  <si>
    <t>CGx, m</t>
  </si>
  <si>
    <t>CGy, m</t>
  </si>
  <si>
    <t>CGz, m</t>
  </si>
  <si>
    <t>Ix about cg, kg.m^2</t>
  </si>
  <si>
    <t>Iy about cg, kg.m^2</t>
  </si>
  <si>
    <t>Iz about cg, kg.m^2</t>
  </si>
  <si>
    <t>Pitch bearings (all n blds)</t>
  </si>
  <si>
    <t>1st bearing</t>
  </si>
  <si>
    <t>2nd bearing</t>
  </si>
  <si>
    <t>Gearbox (rotating, 1/2  total)</t>
  </si>
  <si>
    <t>Generator rotor (1/3 total)</t>
  </si>
  <si>
    <t>Non-rotating components</t>
  </si>
  <si>
    <t>Critical section width, m</t>
  </si>
  <si>
    <t>Critical section depth, m</t>
  </si>
  <si>
    <t>C sect wall thickness, m</t>
  </si>
  <si>
    <t>C sect base thickness, m</t>
  </si>
  <si>
    <t>1st bearing hsng</t>
  </si>
  <si>
    <t>2nd bearing hsng</t>
  </si>
  <si>
    <t>Gearbox hsng (1/2 total)</t>
  </si>
  <si>
    <t>Generator hsng (2/3 total)</t>
  </si>
  <si>
    <t>Nacelle cover</t>
  </si>
  <si>
    <t>Other ME</t>
  </si>
  <si>
    <t>Other EE</t>
  </si>
  <si>
    <t>Drive train subtotal</t>
  </si>
  <si>
    <t>LSS subtotal</t>
  </si>
  <si>
    <t>HSS subtotal</t>
  </si>
  <si>
    <t>Hub subtotal</t>
  </si>
  <si>
    <t>Nacelle subtotal</t>
  </si>
  <si>
    <t>distance of twr top below hub ht (m)</t>
  </si>
  <si>
    <t>Ix total</t>
  </si>
  <si>
    <t>Iy total</t>
  </si>
  <si>
    <t>LSS</t>
  </si>
  <si>
    <t>HSS</t>
  </si>
  <si>
    <t>Iz total</t>
  </si>
  <si>
    <t>mrx^2 kg.m^2</t>
  </si>
  <si>
    <t>mry^2 kg.m^2</t>
  </si>
  <si>
    <t>mrz^2 kg.m^2</t>
  </si>
  <si>
    <t>Wall thickness, m</t>
  </si>
  <si>
    <t>Notes for calculated quantities</t>
  </si>
  <si>
    <t>Hub - Mass</t>
  </si>
  <si>
    <t>pi*t*p*od^2</t>
  </si>
  <si>
    <t>Hub - Ix,y,z</t>
  </si>
  <si>
    <t>.4*mass*(r^5-(r-t)^5)/(r^3-(r-t)^3)</t>
  </si>
  <si>
    <t>All - mr^2</t>
  </si>
  <si>
    <t>Ix = mass*((z-zcg)^2+(y-ycg)^2)</t>
  </si>
  <si>
    <t>Pitch Bngs - Mass</t>
  </si>
  <si>
    <t>0.0119*Rotor Diam^3 Ref D. Malcolm kickoff mtg presentation</t>
  </si>
  <si>
    <t>Pitch Bngs - Ix,y,z</t>
  </si>
  <si>
    <t>Pitch Bngs - CG</t>
  </si>
  <si>
    <t>Use hub cg since pitch brng properties will add to overall hub properties</t>
  </si>
  <si>
    <t>mass*r^2  about the hub cg , with hub radius</t>
  </si>
  <si>
    <t>Shaft - mass</t>
  </si>
  <si>
    <t>density*volume</t>
  </si>
  <si>
    <t>Shaft - CGx</t>
  </si>
  <si>
    <t>average of main bearing cg's</t>
  </si>
  <si>
    <t>Bearings - mass</t>
  </si>
  <si>
    <t>Bearings - ID</t>
  </si>
  <si>
    <t>=mainshaft OD</t>
  </si>
  <si>
    <t>.00002613*ID^2.77  where ID is in mm</t>
  </si>
  <si>
    <t>Gearbox rotating - length</t>
  </si>
  <si>
    <t>Gearbox rotating - OD</t>
  </si>
  <si>
    <t>Bedplate only</t>
  </si>
  <si>
    <t>0.015*rotor diameter  est. from various drawings and experience</t>
  </si>
  <si>
    <t>0.012*rotor diameter  est. from various drawings and experience</t>
  </si>
  <si>
    <t>housing ID</t>
  </si>
  <si>
    <t>Gearbox rotating - mass</t>
  </si>
  <si>
    <t>1/2 of total gearbox mass</t>
  </si>
  <si>
    <t>Gearbox - rotating Ix,y,z</t>
  </si>
  <si>
    <t>Assume a solid cylinder, Ix=(md^2)/8, Iy,z=m(0.75*d^2+l^2)/12</t>
  </si>
  <si>
    <t>Generator rotating - mass</t>
  </si>
  <si>
    <t>(3.3*rating+471)/3  Ref S.U. '94  1/3 for rotor</t>
  </si>
  <si>
    <t>Generator rotating - Ix</t>
  </si>
  <si>
    <t>Generator rotating - Iy,z</t>
  </si>
  <si>
    <t>48.6e-6*rotor diamter^5.333  i.e. aero rotor, ref T. McCoy 9/22/00 N4 notebook, includes gear ratio^2</t>
  </si>
  <si>
    <t>Generator rotating - length</t>
  </si>
  <si>
    <t>0.024*rotor diameter  est. from various drawings and experience</t>
  </si>
  <si>
    <t>Ix/2/gear ratio^2 + (ml^2)/12</t>
  </si>
  <si>
    <t>HSS,cpling,brk disk</t>
  </si>
  <si>
    <t>HSS,cplng,brk disk - length</t>
  </si>
  <si>
    <t>HSS,cplng,brk disk - OD</t>
  </si>
  <si>
    <t>HSS,cplng,brk disk - mass</t>
  </si>
  <si>
    <t>HSS,cplng,brk disk - CG</t>
  </si>
  <si>
    <t>HSS,cplng,brk disk - Ix,y,z</t>
  </si>
  <si>
    <t>For brk disk only, thickness in x direction, set =1 inch</t>
  </si>
  <si>
    <t>For brk disk only, OD=1.5*mainshaft OD</t>
  </si>
  <si>
    <t>From S.U. '94   1.5*.025*1000*rating/gen RPM in radians</t>
  </si>
  <si>
    <t>average of gen and gbox cg's</t>
  </si>
  <si>
    <t>brk disk only, solid cylinder, calc mass form disk dimensions and density</t>
  </si>
  <si>
    <t>Bedplate - mass</t>
  </si>
  <si>
    <t>1.5*p*(0.00000042875*D^3-(0.00030625*t+0.00003675*W+0.0000735*d)*D^2+(0.035*tW+0.07*td)*D)</t>
  </si>
  <si>
    <t>Bedplate - Ix,y,z</t>
  </si>
  <si>
    <t>Assume a hollow cylinder and use width as OD and depth as ID</t>
  </si>
  <si>
    <t>Brng hsngs - mass</t>
  </si>
  <si>
    <t>67.44e-6*ID^2.64 where ID is in mm</t>
  </si>
  <si>
    <t>Brng hsngs - OD</t>
  </si>
  <si>
    <t>1.5*ID</t>
  </si>
  <si>
    <t>Brng hsngs - Ix,y,z</t>
  </si>
  <si>
    <t>Shaft - Ix,y,z</t>
  </si>
  <si>
    <t>Ix=mass*(od^2+id^2)/8  Iy,z=mass*(od^2+id^2+(4/3)*l^2)/16</t>
  </si>
  <si>
    <t>Bearings - Ix,y,z</t>
  </si>
  <si>
    <t>Ix=mass*r^2  Iy,Iz=Ix/2  where r = ID/2</t>
  </si>
  <si>
    <t>Ix=mass*r^2 , Iy,z=Ix/2 where r = ID/2</t>
  </si>
  <si>
    <t>Gearbox hsng - OD</t>
  </si>
  <si>
    <t>Gearbox hsng - length</t>
  </si>
  <si>
    <t>Gearbox hsng - ID</t>
  </si>
  <si>
    <t>0.75*OD</t>
  </si>
  <si>
    <t>Gearbox hsng - mass</t>
  </si>
  <si>
    <t>Gearbox hsng - Ix,y,z</t>
  </si>
  <si>
    <t>Assume a hollow cylinder, Ix=m*(ID^2+OD^2)/8, Iy,z=Ix/2+m(l^2)/12</t>
  </si>
  <si>
    <t>Generator hsng - length</t>
  </si>
  <si>
    <t>Generator hsng - OD</t>
  </si>
  <si>
    <t>Generator hsng - ID</t>
  </si>
  <si>
    <t>Generator hsng - mass</t>
  </si>
  <si>
    <t>Generator hsng - Ix,y,z</t>
  </si>
  <si>
    <t>0.5*OD</t>
  </si>
  <si>
    <t>2/3 of total mass</t>
  </si>
  <si>
    <t>Nacelle cover - length</t>
  </si>
  <si>
    <t>2*bedplate (upwind) length</t>
  </si>
  <si>
    <t>Nacelle cover - ID</t>
  </si>
  <si>
    <t>Nacelle cover - OD</t>
  </si>
  <si>
    <t>set equal to bedplate depth</t>
  </si>
  <si>
    <t>set equal to bedplate width</t>
  </si>
  <si>
    <t>Nacelle cover - mass</t>
  </si>
  <si>
    <t>From SU '94   84.1*(2*L^2)</t>
  </si>
  <si>
    <t>Nacelle cover - Ix,y,z</t>
  </si>
  <si>
    <t>20% of gen mass, in nacelle, CG=0, no inertia calculated</t>
  </si>
  <si>
    <t>From SU '94, mass of lube, hydr, other=2.6*rating   mass of yaw sys=.002168*rotor diam^3.4, curve fit of SU results, CG=0, no inertia calculated</t>
  </si>
  <si>
    <t xml:space="preserve"> Tower head total less blades</t>
  </si>
  <si>
    <t>mass Izz</t>
  </si>
  <si>
    <t>Iyy, Ixx</t>
  </si>
  <si>
    <t>mass Iyy,Ixx</t>
  </si>
  <si>
    <t>Eiyy=Eixx</t>
  </si>
  <si>
    <t>tower coordinates:</t>
  </si>
  <si>
    <t>z = vertical</t>
  </si>
  <si>
    <t>x = downwind</t>
  </si>
  <si>
    <t>y = lateral</t>
  </si>
  <si>
    <t>Iz, mass mom. of inertia per unit length (kg-m)</t>
  </si>
  <si>
    <t xml:space="preserve">This drawing is for a down wind, clockwise machine. </t>
  </si>
  <si>
    <t xml:space="preserve">This drawing is for a up wind, clockwise machine. </t>
  </si>
  <si>
    <t xml:space="preserve">For the blade coords.- the X-axis is along the chord line for each blade segment and </t>
  </si>
  <si>
    <t>Y is toward the trailing edge (I.e., left hand coord. System for pitching).</t>
  </si>
  <si>
    <t>Unit Moment-strain relationships:</t>
  </si>
  <si>
    <t>flap design mt</t>
  </si>
  <si>
    <t>edge mt</t>
  </si>
  <si>
    <t>Section</t>
  </si>
  <si>
    <t>Gen. Axis Loc.</t>
  </si>
  <si>
    <t>CG Loc.</t>
  </si>
  <si>
    <t>E. Axis Loc.</t>
  </si>
  <si>
    <t>Unit Weight</t>
  </si>
  <si>
    <t>(t/c)</t>
  </si>
  <si>
    <t>(% t)</t>
  </si>
  <si>
    <t>(y/c)</t>
  </si>
  <si>
    <t>(kg/m)</t>
  </si>
  <si>
    <t>(N)</t>
  </si>
  <si>
    <r>
      <t>e</t>
    </r>
    <r>
      <rPr>
        <b/>
        <vertAlign val="subscript"/>
        <sz val="10"/>
        <rFont val="Geneva"/>
      </rPr>
      <t>F,Comp</t>
    </r>
  </si>
  <si>
    <r>
      <t>e</t>
    </r>
    <r>
      <rPr>
        <b/>
        <vertAlign val="subscript"/>
        <sz val="10"/>
        <rFont val="Geneva"/>
      </rPr>
      <t>F,Tens</t>
    </r>
  </si>
  <si>
    <r>
      <t>e</t>
    </r>
    <r>
      <rPr>
        <b/>
        <vertAlign val="subscript"/>
        <sz val="10"/>
        <rFont val="Geneva"/>
      </rPr>
      <t>E</t>
    </r>
  </si>
  <si>
    <r>
      <t>y</t>
    </r>
    <r>
      <rPr>
        <b/>
        <vertAlign val="subscript"/>
        <sz val="9"/>
        <rFont val="Geneva"/>
      </rPr>
      <t xml:space="preserve">C </t>
    </r>
    <r>
      <rPr>
        <b/>
        <sz val="9"/>
        <rFont val="Geneva"/>
      </rPr>
      <t>(mm)</t>
    </r>
  </si>
  <si>
    <r>
      <t>M</t>
    </r>
    <r>
      <rPr>
        <b/>
        <vertAlign val="subscript"/>
        <sz val="9"/>
        <rFont val="Geneva"/>
      </rPr>
      <t xml:space="preserve">f </t>
    </r>
    <r>
      <rPr>
        <b/>
        <sz val="9"/>
        <rFont val="Geneva"/>
      </rPr>
      <t>(N m)</t>
    </r>
  </si>
  <si>
    <r>
      <t>e</t>
    </r>
    <r>
      <rPr>
        <b/>
        <vertAlign val="subscript"/>
        <sz val="9"/>
        <rFont val="Geneva"/>
      </rPr>
      <t>F,C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</si>
  <si>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e</t>
    </r>
    <r>
      <rPr>
        <b/>
        <vertAlign val="subscript"/>
        <sz val="9"/>
        <rFont val="Geneva"/>
      </rPr>
      <t>F,T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</si>
  <si>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M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(N-m)</t>
    </r>
  </si>
  <si>
    <r>
      <t>e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</si>
  <si>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 xml:space="preserve"> (</t>
    </r>
    <r>
      <rPr>
        <b/>
        <sz val="9"/>
        <rFont val="Symbol"/>
        <family val="1"/>
        <charset val="2"/>
      </rPr>
      <t>me/</t>
    </r>
    <r>
      <rPr>
        <b/>
        <sz val="9"/>
        <rFont val="Arial"/>
        <family val="2"/>
      </rPr>
      <t>N-m</t>
    </r>
    <r>
      <rPr>
        <b/>
        <sz val="9"/>
        <rFont val="Geneva"/>
      </rPr>
      <t>)</t>
    </r>
  </si>
  <si>
    <r>
      <t>EI</t>
    </r>
    <r>
      <rPr>
        <b/>
        <vertAlign val="subscript"/>
        <sz val="9"/>
        <rFont val="Geneva"/>
      </rPr>
      <t>Flap</t>
    </r>
  </si>
  <si>
    <r>
      <t>EI</t>
    </r>
    <r>
      <rPr>
        <b/>
        <vertAlign val="subscript"/>
        <sz val="9"/>
        <rFont val="Geneva"/>
      </rPr>
      <t>Edge</t>
    </r>
  </si>
  <si>
    <r>
      <t>I</t>
    </r>
    <r>
      <rPr>
        <b/>
        <vertAlign val="subscript"/>
        <sz val="9"/>
        <rFont val="Geneva"/>
      </rPr>
      <t>Z</t>
    </r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</si>
  <si>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</si>
  <si>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Initial Properties (transferred from blade design spreadsheet via Main page):</t>
  </si>
  <si>
    <t>Blade Moment-strain relationships (green blocks copied from blade design speadsheet):</t>
  </si>
  <si>
    <t>Blade Structural Properties Block  (green blocks copied from blade design speadsheet):</t>
  </si>
  <si>
    <r>
      <t>Ratio of mass moments of intertia, I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>/I</t>
    </r>
    <r>
      <rPr>
        <vertAlign val="subscript"/>
        <sz val="8"/>
        <rFont val="Arial"/>
        <family val="2"/>
      </rPr>
      <t>Y</t>
    </r>
    <r>
      <rPr>
        <sz val="8"/>
        <rFont val="Arial"/>
        <family val="2"/>
      </rPr>
      <t xml:space="preserve"> =  </t>
    </r>
  </si>
  <si>
    <t>(direct input)</t>
  </si>
  <si>
    <t>Shifted and adjusted properties</t>
  </si>
  <si>
    <t xml:space="preserve">Rotor radius = </t>
  </si>
  <si>
    <t xml:space="preserve">Hub radius = 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</si>
  <si>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</si>
  <si>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</si>
  <si>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</si>
  <si>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</si>
  <si>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</si>
  <si>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</si>
  <si>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 xml:space="preserve"> X (m)</t>
  </si>
  <si>
    <t xml:space="preserve"> Y (m)</t>
  </si>
  <si>
    <t>E.A. Offset</t>
  </si>
  <si>
    <t>Twist</t>
  </si>
  <si>
    <t>(deg.)</t>
  </si>
  <si>
    <t>A. C. Offset</t>
  </si>
  <si>
    <t>(deg)</t>
  </si>
  <si>
    <t>Interpolated Properties:</t>
  </si>
  <si>
    <t>Twist and Airfoil Schedule (direct input, zero twist at 75% span):</t>
  </si>
  <si>
    <t>Airfoil</t>
  </si>
  <si>
    <t>Filename</t>
  </si>
  <si>
    <r>
      <t>added efficiency loss</t>
    </r>
    <r>
      <rPr>
        <sz val="8"/>
        <rFont val="Arial"/>
        <family val="2"/>
      </rPr>
      <t xml:space="preserve"> from power electronics. Parameters B1 and B2</t>
    </r>
  </si>
  <si>
    <t>total efficiency with power electronics
= (A1-B1) - (A2+B2)*power/rated_power</t>
  </si>
  <si>
    <t>efficiency with induction motor
 = (A1 - A2*power/rated_power)</t>
  </si>
  <si>
    <t>drive train efficiency for induction motor.
Parameters A1 and A2</t>
  </si>
  <si>
    <t>Rated (low speed shaft) torque (N-m)</t>
  </si>
  <si>
    <t>Preliminary</t>
  </si>
  <si>
    <t>NA</t>
  </si>
  <si>
    <t>cylinder</t>
  </si>
  <si>
    <t>Initial value = 0.03*D (shorter than for 750 kW?)</t>
  </si>
  <si>
    <t>tip speed = 65 m/s</t>
  </si>
  <si>
    <t>from blade design sheet (chord at 5% r/R).  DG says this is correct (16oct00)</t>
  </si>
  <si>
    <t>total mass</t>
  </si>
  <si>
    <t>Tip/tower clearance</t>
  </si>
  <si>
    <t>parked clearance (m)</t>
  </si>
  <si>
    <t>Parasitic weight increase (%)</t>
  </si>
  <si>
    <t>parasitic mass=</t>
  </si>
  <si>
    <t>%</t>
  </si>
  <si>
    <t>Total masses</t>
  </si>
  <si>
    <t>Rotor (blades + hub)</t>
  </si>
  <si>
    <t>Nacelle (total head - rotor)</t>
  </si>
  <si>
    <t>Total head</t>
  </si>
  <si>
    <t>total mass
(kg)</t>
  </si>
  <si>
    <r>
      <t>Basic input values are in green</t>
    </r>
    <r>
      <rPr>
        <b/>
        <sz val="8"/>
        <rFont val="Arial"/>
        <family val="2"/>
      </rPr>
      <t>,</t>
    </r>
    <r>
      <rPr>
        <sz val="8"/>
        <rFont val="Arial"/>
        <family val="2"/>
      </rPr>
      <t xml:space="preserve">  All other colors are dependents</t>
    </r>
  </si>
  <si>
    <t>tip speed</t>
  </si>
  <si>
    <t>m/s</t>
  </si>
  <si>
    <t>max motor  speed</t>
  </si>
  <si>
    <t>rpm</t>
  </si>
  <si>
    <t>total tower</t>
  </si>
  <si>
    <t>5.0A04</t>
  </si>
  <si>
    <t>Airfoil ID</t>
  </si>
  <si>
    <t>Airfoil Filename</t>
  </si>
  <si>
    <t>blade modal damping ratios</t>
  </si>
  <si>
    <t>&lt;-- added this (JR)</t>
  </si>
  <si>
    <t>Rated (high speed shaft) torque (N-m)</t>
  </si>
  <si>
    <t>&lt;-- changed this (JR)</t>
  </si>
  <si>
    <t>Torque control data:</t>
  </si>
  <si>
    <t>Max. Cp</t>
  </si>
  <si>
    <t>Optimal tip-speed ratio</t>
  </si>
  <si>
    <t>Cylinder changed to produce correct AeroCent</t>
  </si>
  <si>
    <t xml:space="preserve">      Airfoil ID</t>
  </si>
  <si>
    <t>s818_2703.dat</t>
  </si>
  <si>
    <t>&lt;-- changed to "sXXX_XX03.dat" (JR)</t>
  </si>
  <si>
    <t>s825_2103.dat</t>
  </si>
  <si>
    <t>s826_1603.dat</t>
  </si>
  <si>
    <t>tower modal damping ratios</t>
  </si>
  <si>
    <t>RotorDiameter</t>
  </si>
  <si>
    <t>HubDiameter</t>
  </si>
  <si>
    <t>Airfoils</t>
  </si>
  <si>
    <t>BladeDamping (%)</t>
  </si>
  <si>
    <t>StrctBldNodes (%R)</t>
  </si>
  <si>
    <t>ADBladNodes (x/L)</t>
  </si>
  <si>
    <t>MinPitchAng (deg)</t>
  </si>
  <si>
    <t>MaxPitchAng (deg)</t>
  </si>
  <si>
    <t>AirDensity</t>
  </si>
  <si>
    <t>CpMax</t>
  </si>
  <si>
    <t>TSROpt</t>
  </si>
  <si>
    <t>BladeSchedule</t>
  </si>
  <si>
    <t>NADBldNodes</t>
  </si>
  <si>
    <t>TipSpeed</t>
  </si>
  <si>
    <t>HubHeight</t>
  </si>
  <si>
    <t>Overhang</t>
  </si>
  <si>
    <t>MainframeCG (nacelle coordinates)</t>
  </si>
  <si>
    <t>GenShaftCG (nacelle coordinates)</t>
  </si>
  <si>
    <t>RotShaftCG (nacelle coordinates)</t>
  </si>
  <si>
    <t>RotShaftTilt (deg, neg raises hub)</t>
  </si>
  <si>
    <t>Mainframe mass</t>
  </si>
  <si>
    <t>GenShaft mass</t>
  </si>
  <si>
    <t>Rotshaft mass</t>
  </si>
  <si>
    <t>Coning angle (deg)</t>
  </si>
  <si>
    <t>Hub mass (kg)</t>
  </si>
  <si>
    <t>Nacelle YInteria (kg m^2)</t>
  </si>
  <si>
    <t>Hub intertia (kg m^2)</t>
  </si>
  <si>
    <t>GenRatedRPM</t>
  </si>
  <si>
    <t>Drivetrain torsoinal spring</t>
  </si>
  <si>
    <t>Generator efficiency</t>
  </si>
  <si>
    <t>Rated Power (W)</t>
  </si>
  <si>
    <t>GenIner (LSS reference frame)</t>
  </si>
  <si>
    <t>DistanceHHtoTowerTop</t>
  </si>
  <si>
    <t>TopDiameter (m)</t>
  </si>
  <si>
    <t>TopThickness (m)</t>
  </si>
  <si>
    <t>BottomDiameter (m)</t>
  </si>
  <si>
    <t>BottomThickness (m)</t>
  </si>
  <si>
    <t>Parasitic weight increase</t>
  </si>
  <si>
    <t>Steel density (kg/m^3)</t>
  </si>
  <si>
    <t>Young's modulus</t>
  </si>
  <si>
    <t>Steel G</t>
  </si>
  <si>
    <t>Tower stations</t>
  </si>
  <si>
    <t>Tower damping (%)</t>
  </si>
  <si>
    <t>&lt;-- fixed this (JR)</t>
  </si>
  <si>
    <t>Rotor inertia (kg-m^2)</t>
  </si>
  <si>
    <t>Drivetrain damping (% critical)</t>
  </si>
  <si>
    <t>Drivetrain damping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</si>
</sst>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"/>
    <numFmt numFmtId="166" formatCode="0.000E+00"/>
    <numFmt numFmtId="167" formatCode="0.0000"/>
    <numFmt numFmtId="168" formatCode="0.000000000"/>
    <numFmt numFmtId="169" formatCode="0.00000"/>
  </numFmts>
  <fonts count="35">
    <font>
      <sz val="8"/>
      <name val="Arial"/>
    </font>
    <font>
      <sz val="8"/>
      <name val="Arial"/>
      <family val="2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5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10"/>
      <name val="Arial"/>
      <family val="2"/>
    </font>
    <font>
      <b/>
      <sz val="9"/>
      <name val="Geneva"/>
    </font>
    <font>
      <sz val="9"/>
      <color indexed="57"/>
      <name val="Geneva"/>
    </font>
    <font>
      <b/>
      <sz val="10"/>
      <name val="Symbol"/>
      <family val="1"/>
      <charset val="2"/>
    </font>
    <font>
      <b/>
      <sz val="9"/>
      <name val="Symbol"/>
      <family val="1"/>
      <charset val="2"/>
    </font>
    <font>
      <b/>
      <vertAlign val="subscript"/>
      <sz val="10"/>
      <name val="Geneva"/>
    </font>
    <font>
      <b/>
      <vertAlign val="subscript"/>
      <sz val="9"/>
      <name val="Geneva"/>
    </font>
    <font>
      <b/>
      <sz val="9"/>
      <name val="Arial"/>
      <family val="2"/>
    </font>
    <font>
      <b/>
      <vertAlign val="superscript"/>
      <sz val="9"/>
      <name val="Geneva"/>
    </font>
    <font>
      <vertAlign val="subscript"/>
      <sz val="8"/>
      <name val="Arial"/>
      <family val="2"/>
    </font>
    <font>
      <b/>
      <sz val="8"/>
      <name val="Arial"/>
      <family val="2"/>
    </font>
    <font>
      <sz val="8"/>
      <color indexed="9"/>
      <name val="Arial"/>
      <family val="2"/>
    </font>
    <font>
      <sz val="8"/>
      <color indexed="14"/>
      <name val="Arial"/>
      <family val="2"/>
    </font>
    <font>
      <sz val="8"/>
      <color indexed="8"/>
      <name val="Arial"/>
      <family val="2"/>
    </font>
    <font>
      <sz val="9"/>
      <color indexed="8"/>
      <name val="Geneva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7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NumberFormat="1" applyFont="1" applyBorder="1"/>
    <xf numFmtId="166" fontId="2" fillId="0" borderId="0" xfId="0" applyNumberFormat="1" applyFont="1" applyFill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1" fontId="2" fillId="0" borderId="10" xfId="0" applyNumberFormat="1" applyFont="1" applyBorder="1"/>
    <xf numFmtId="11" fontId="2" fillId="0" borderId="12" xfId="0" applyNumberFormat="1" applyFont="1" applyBorder="1"/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2" fillId="0" borderId="20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0" fillId="0" borderId="1" xfId="0" applyBorder="1"/>
    <xf numFmtId="0" fontId="10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8" fillId="2" borderId="0" xfId="0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6" fontId="2" fillId="0" borderId="1" xfId="0" applyNumberFormat="1" applyFont="1" applyFill="1" applyBorder="1"/>
    <xf numFmtId="166" fontId="5" fillId="0" borderId="1" xfId="0" applyNumberFormat="1" applyFont="1" applyFill="1" applyBorder="1"/>
    <xf numFmtId="0" fontId="5" fillId="0" borderId="1" xfId="0" applyFont="1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3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wrapText="1"/>
    </xf>
    <xf numFmtId="0" fontId="2" fillId="0" borderId="21" xfId="0" applyFont="1" applyBorder="1" applyAlignment="1">
      <alignment horizontal="center"/>
    </xf>
    <xf numFmtId="0" fontId="5" fillId="0" borderId="12" xfId="0" applyFont="1" applyBorder="1" applyAlignment="1">
      <alignment wrapText="1"/>
    </xf>
    <xf numFmtId="0" fontId="11" fillId="2" borderId="25" xfId="0" applyFont="1" applyFill="1" applyBorder="1"/>
    <xf numFmtId="0" fontId="0" fillId="0" borderId="1" xfId="0" applyFill="1" applyBorder="1" applyAlignment="1">
      <alignment wrapText="1"/>
    </xf>
    <xf numFmtId="167" fontId="0" fillId="0" borderId="0" xfId="0" applyNumberFormat="1"/>
    <xf numFmtId="2" fontId="0" fillId="0" borderId="0" xfId="0" applyNumberFormat="1"/>
    <xf numFmtId="164" fontId="0" fillId="0" borderId="0" xfId="0" applyNumberFormat="1"/>
    <xf numFmtId="2" fontId="2" fillId="0" borderId="1" xfId="0" applyNumberFormat="1" applyFont="1" applyBorder="1"/>
    <xf numFmtId="164" fontId="2" fillId="0" borderId="1" xfId="0" applyNumberFormat="1" applyFont="1" applyBorder="1"/>
    <xf numFmtId="0" fontId="0" fillId="0" borderId="29" xfId="0" applyFill="1" applyBorder="1"/>
    <xf numFmtId="0" fontId="0" fillId="0" borderId="1" xfId="0" applyFill="1" applyBorder="1"/>
    <xf numFmtId="166" fontId="0" fillId="0" borderId="0" xfId="0" applyNumberFormat="1"/>
    <xf numFmtId="0" fontId="3" fillId="0" borderId="1" xfId="0" applyFont="1" applyFill="1" applyBorder="1" applyAlignment="1">
      <alignment wrapText="1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" fontId="15" fillId="0" borderId="0" xfId="0" applyNumberFormat="1" applyFont="1"/>
    <xf numFmtId="164" fontId="15" fillId="0" borderId="0" xfId="0" applyNumberFormat="1" applyFont="1"/>
    <xf numFmtId="164" fontId="15" fillId="0" borderId="0" xfId="0" applyNumberFormat="1" applyFont="1" applyAlignment="1">
      <alignment wrapText="1"/>
    </xf>
    <xf numFmtId="164" fontId="14" fillId="0" borderId="0" xfId="0" applyNumberFormat="1" applyFont="1" applyBorder="1"/>
    <xf numFmtId="164" fontId="14" fillId="0" borderId="0" xfId="0" applyNumberFormat="1" applyFont="1" applyFill="1" applyBorder="1"/>
    <xf numFmtId="0" fontId="14" fillId="0" borderId="0" xfId="0" applyFont="1"/>
    <xf numFmtId="164" fontId="14" fillId="0" borderId="0" xfId="0" applyNumberFormat="1" applyFont="1"/>
    <xf numFmtId="0" fontId="16" fillId="0" borderId="0" xfId="0" applyFont="1"/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/>
    <xf numFmtId="1" fontId="15" fillId="0" borderId="0" xfId="0" applyNumberFormat="1" applyFont="1" applyFill="1"/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/>
    <xf numFmtId="0" fontId="16" fillId="0" borderId="0" xfId="0" applyFont="1" applyFill="1"/>
    <xf numFmtId="1" fontId="16" fillId="0" borderId="0" xfId="0" applyNumberFormat="1" applyFont="1" applyFill="1" applyAlignment="1">
      <alignment horizontal="center"/>
    </xf>
    <xf numFmtId="1" fontId="16" fillId="0" borderId="0" xfId="0" quotePrefix="1" applyNumberFormat="1" applyFont="1" applyFill="1"/>
    <xf numFmtId="1" fontId="16" fillId="0" borderId="0" xfId="0" applyNumberFormat="1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Alignment="1">
      <alignment horizontal="right"/>
    </xf>
    <xf numFmtId="1" fontId="16" fillId="0" borderId="0" xfId="0" applyNumberFormat="1" applyFont="1" applyFill="1" applyAlignment="1">
      <alignment horizontal="right"/>
    </xf>
    <xf numFmtId="0" fontId="15" fillId="0" borderId="0" xfId="0" applyFont="1" applyFill="1" applyAlignment="1">
      <alignment horizontal="right"/>
    </xf>
    <xf numFmtId="1" fontId="16" fillId="0" borderId="0" xfId="0" applyNumberFormat="1" applyFont="1"/>
    <xf numFmtId="164" fontId="2" fillId="0" borderId="2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1" fontId="2" fillId="0" borderId="28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11" fontId="15" fillId="0" borderId="0" xfId="0" applyNumberFormat="1" applyFont="1"/>
    <xf numFmtId="11" fontId="14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65" fontId="15" fillId="0" borderId="0" xfId="0" applyNumberFormat="1" applyFont="1"/>
    <xf numFmtId="164" fontId="16" fillId="0" borderId="0" xfId="0" applyNumberFormat="1" applyFont="1" applyFill="1" applyAlignment="1">
      <alignment horizontal="right"/>
    </xf>
    <xf numFmtId="165" fontId="16" fillId="0" borderId="0" xfId="0" applyNumberFormat="1" applyFont="1"/>
    <xf numFmtId="165" fontId="16" fillId="0" borderId="0" xfId="0" applyNumberFormat="1" applyFont="1" applyFill="1"/>
    <xf numFmtId="0" fontId="0" fillId="0" borderId="0" xfId="0" applyAlignment="1"/>
    <xf numFmtId="0" fontId="15" fillId="0" borderId="30" xfId="0" applyFont="1" applyBorder="1" applyAlignment="1">
      <alignment wrapText="1"/>
    </xf>
    <xf numFmtId="0" fontId="15" fillId="0" borderId="30" xfId="0" applyFont="1" applyBorder="1" applyAlignment="1">
      <alignment horizontal="right"/>
    </xf>
    <xf numFmtId="0" fontId="15" fillId="0" borderId="30" xfId="0" applyFont="1" applyBorder="1"/>
    <xf numFmtId="0" fontId="15" fillId="0" borderId="30" xfId="0" applyFont="1" applyBorder="1" applyAlignment="1">
      <alignment horizontal="center"/>
    </xf>
    <xf numFmtId="0" fontId="0" fillId="0" borderId="30" xfId="0" applyBorder="1" applyAlignment="1"/>
    <xf numFmtId="0" fontId="0" fillId="0" borderId="30" xfId="0" applyBorder="1" applyAlignment="1">
      <alignment horizontal="right"/>
    </xf>
    <xf numFmtId="0" fontId="16" fillId="0" borderId="0" xfId="0" applyFont="1" applyFill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1" fillId="0" borderId="3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0" fillId="0" borderId="37" xfId="0" applyBorder="1"/>
    <xf numFmtId="0" fontId="18" fillId="3" borderId="0" xfId="0" applyFont="1" applyFill="1"/>
    <xf numFmtId="0" fontId="19" fillId="3" borderId="0" xfId="0" applyFont="1" applyFill="1"/>
    <xf numFmtId="0" fontId="3" fillId="3" borderId="0" xfId="0" applyFont="1" applyFill="1"/>
    <xf numFmtId="0" fontId="0" fillId="3" borderId="0" xfId="0" applyFill="1"/>
    <xf numFmtId="0" fontId="20" fillId="2" borderId="27" xfId="0" applyFont="1" applyFill="1" applyBorder="1"/>
    <xf numFmtId="11" fontId="0" fillId="0" borderId="0" xfId="0" applyNumberFormat="1" applyAlignment="1">
      <alignment horizontal="center"/>
    </xf>
    <xf numFmtId="0" fontId="0" fillId="0" borderId="38" xfId="0" applyBorder="1"/>
    <xf numFmtId="0" fontId="0" fillId="0" borderId="39" xfId="0" applyBorder="1"/>
    <xf numFmtId="0" fontId="21" fillId="0" borderId="39" xfId="0" applyFont="1" applyBorder="1"/>
    <xf numFmtId="0" fontId="22" fillId="0" borderId="39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0" fillId="0" borderId="40" xfId="0" applyBorder="1"/>
    <xf numFmtId="11" fontId="23" fillId="0" borderId="39" xfId="0" applyNumberFormat="1" applyFont="1" applyBorder="1" applyAlignment="1">
      <alignment horizontal="center"/>
    </xf>
    <xf numFmtId="11" fontId="23" fillId="0" borderId="40" xfId="0" applyNumberFormat="1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39" xfId="0" applyFont="1" applyFill="1" applyBorder="1" applyAlignment="1">
      <alignment horizontal="center"/>
    </xf>
    <xf numFmtId="0" fontId="21" fillId="0" borderId="40" xfId="0" applyFont="1" applyBorder="1" applyAlignment="1">
      <alignment horizontal="center"/>
    </xf>
    <xf numFmtId="9" fontId="19" fillId="0" borderId="43" xfId="1" applyFont="1" applyBorder="1" applyAlignment="1">
      <alignment horizontal="center"/>
    </xf>
    <xf numFmtId="11" fontId="19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9" fontId="19" fillId="0" borderId="38" xfId="0" applyNumberFormat="1" applyFont="1" applyBorder="1" applyAlignment="1">
      <alignment horizontal="center"/>
    </xf>
    <xf numFmtId="164" fontId="19" fillId="0" borderId="39" xfId="0" applyNumberFormat="1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39" xfId="0" applyNumberFormat="1" applyFont="1" applyBorder="1" applyAlignment="1">
      <alignment horizontal="right"/>
    </xf>
    <xf numFmtId="11" fontId="19" fillId="0" borderId="39" xfId="0" applyNumberFormat="1" applyFont="1" applyBorder="1"/>
    <xf numFmtId="2" fontId="19" fillId="0" borderId="40" xfId="0" applyNumberFormat="1" applyFont="1" applyBorder="1"/>
    <xf numFmtId="9" fontId="19" fillId="0" borderId="43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11" fontId="19" fillId="0" borderId="0" xfId="0" applyNumberFormat="1" applyFont="1" applyBorder="1"/>
    <xf numFmtId="2" fontId="19" fillId="0" borderId="30" xfId="0" applyNumberFormat="1" applyFont="1" applyBorder="1"/>
    <xf numFmtId="2" fontId="19" fillId="0" borderId="30" xfId="0" applyNumberFormat="1" applyFont="1" applyBorder="1" applyAlignment="1">
      <alignment horizontal="right"/>
    </xf>
    <xf numFmtId="2" fontId="19" fillId="0" borderId="0" xfId="0" applyNumberFormat="1" applyFont="1" applyFill="1" applyBorder="1" applyAlignment="1">
      <alignment horizontal="center"/>
    </xf>
    <xf numFmtId="9" fontId="19" fillId="0" borderId="41" xfId="0" applyNumberFormat="1" applyFont="1" applyBorder="1" applyAlignment="1">
      <alignment horizontal="center"/>
    </xf>
    <xf numFmtId="164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right"/>
    </xf>
    <xf numFmtId="11" fontId="19" fillId="0" borderId="36" xfId="0" applyNumberFormat="1" applyFont="1" applyBorder="1"/>
    <xf numFmtId="11" fontId="19" fillId="0" borderId="36" xfId="0" applyNumberFormat="1" applyFont="1" applyBorder="1" applyAlignment="1">
      <alignment horizontal="right"/>
    </xf>
    <xf numFmtId="2" fontId="19" fillId="0" borderId="42" xfId="0" applyNumberFormat="1" applyFont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1" xfId="0" applyBorder="1"/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42" xfId="0" applyBorder="1"/>
    <xf numFmtId="164" fontId="0" fillId="0" borderId="39" xfId="0" applyNumberFormat="1" applyBorder="1"/>
    <xf numFmtId="164" fontId="0" fillId="0" borderId="36" xfId="0" applyNumberFormat="1" applyBorder="1"/>
    <xf numFmtId="0" fontId="30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166" fontId="3" fillId="0" borderId="40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166" fontId="3" fillId="0" borderId="42" xfId="0" applyNumberFormat="1" applyFon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2" fontId="0" fillId="0" borderId="39" xfId="0" applyNumberFormat="1" applyBorder="1"/>
    <xf numFmtId="167" fontId="0" fillId="0" borderId="39" xfId="0" applyNumberFormat="1" applyBorder="1"/>
    <xf numFmtId="11" fontId="0" fillId="0" borderId="39" xfId="0" applyNumberFormat="1" applyBorder="1"/>
    <xf numFmtId="9" fontId="0" fillId="0" borderId="4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7" fontId="0" fillId="0" borderId="0" xfId="0" applyNumberFormat="1" applyBorder="1"/>
    <xf numFmtId="11" fontId="0" fillId="0" borderId="0" xfId="0" applyNumberFormat="1" applyBorder="1"/>
    <xf numFmtId="9" fontId="0" fillId="0" borderId="41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2" fontId="0" fillId="0" borderId="36" xfId="0" applyNumberFormat="1" applyBorder="1"/>
    <xf numFmtId="167" fontId="0" fillId="0" borderId="36" xfId="0" applyNumberFormat="1" applyBorder="1"/>
    <xf numFmtId="11" fontId="0" fillId="0" borderId="36" xfId="0" applyNumberFormat="1" applyBorder="1"/>
    <xf numFmtId="1" fontId="0" fillId="0" borderId="0" xfId="0" applyNumberFormat="1" applyBorder="1"/>
    <xf numFmtId="2" fontId="2" fillId="0" borderId="1" xfId="0" applyNumberFormat="1" applyFont="1" applyFill="1" applyBorder="1"/>
    <xf numFmtId="11" fontId="2" fillId="0" borderId="1" xfId="0" applyNumberFormat="1" applyFont="1" applyBorder="1"/>
    <xf numFmtId="164" fontId="2" fillId="0" borderId="1" xfId="0" applyNumberFormat="1" applyFont="1" applyFill="1" applyBorder="1"/>
    <xf numFmtId="165" fontId="0" fillId="0" borderId="39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3" fillId="0" borderId="39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30" xfId="0" applyNumberFormat="1" applyFont="1" applyBorder="1" applyAlignment="1">
      <alignment horizontal="center"/>
    </xf>
    <xf numFmtId="166" fontId="0" fillId="0" borderId="30" xfId="0" applyNumberFormat="1" applyBorder="1" applyAlignment="1">
      <alignment horizontal="right"/>
    </xf>
    <xf numFmtId="166" fontId="0" fillId="0" borderId="42" xfId="0" applyNumberFormat="1" applyBorder="1" applyAlignment="1">
      <alignment horizontal="right"/>
    </xf>
    <xf numFmtId="166" fontId="0" fillId="0" borderId="40" xfId="0" applyNumberForma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0" xfId="0" applyFont="1"/>
    <xf numFmtId="2" fontId="19" fillId="4" borderId="27" xfId="0" applyNumberFormat="1" applyFont="1" applyFill="1" applyBorder="1" applyAlignment="1">
      <alignment horizontal="center"/>
    </xf>
    <xf numFmtId="0" fontId="19" fillId="4" borderId="23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2" fontId="19" fillId="4" borderId="1" xfId="0" applyNumberFormat="1" applyFont="1" applyFill="1" applyBorder="1" applyAlignment="1">
      <alignment horizontal="right"/>
    </xf>
    <xf numFmtId="2" fontId="19" fillId="4" borderId="1" xfId="0" applyNumberFormat="1" applyFont="1" applyFill="1" applyBorder="1"/>
    <xf numFmtId="164" fontId="19" fillId="4" borderId="0" xfId="0" applyNumberFormat="1" applyFont="1" applyFill="1" applyBorder="1"/>
    <xf numFmtId="1" fontId="19" fillId="4" borderId="0" xfId="0" applyNumberFormat="1" applyFont="1" applyFill="1" applyBorder="1"/>
    <xf numFmtId="3" fontId="19" fillId="4" borderId="0" xfId="0" applyNumberFormat="1" applyFont="1" applyFill="1" applyBorder="1"/>
    <xf numFmtId="0" fontId="19" fillId="4" borderId="0" xfId="0" applyFont="1" applyFill="1"/>
    <xf numFmtId="164" fontId="19" fillId="4" borderId="0" xfId="0" applyNumberFormat="1" applyFont="1" applyFill="1"/>
    <xf numFmtId="9" fontId="19" fillId="4" borderId="43" xfId="0" applyNumberFormat="1" applyFont="1" applyFill="1" applyBorder="1" applyAlignment="1">
      <alignment horizontal="center"/>
    </xf>
    <xf numFmtId="2" fontId="33" fillId="4" borderId="0" xfId="0" applyNumberFormat="1" applyFont="1" applyFill="1" applyBorder="1" applyAlignment="1">
      <alignment horizontal="center"/>
    </xf>
    <xf numFmtId="11" fontId="33" fillId="4" borderId="0" xfId="0" applyNumberFormat="1" applyFont="1" applyFill="1" applyBorder="1" applyAlignment="1">
      <alignment horizontal="center"/>
    </xf>
    <xf numFmtId="0" fontId="33" fillId="4" borderId="0" xfId="0" applyFont="1" applyFill="1" applyBorder="1" applyAlignment="1">
      <alignment horizontal="center"/>
    </xf>
    <xf numFmtId="1" fontId="34" fillId="4" borderId="0" xfId="0" applyNumberFormat="1" applyFont="1" applyFill="1" applyBorder="1" applyAlignment="1">
      <alignment horizontal="center"/>
    </xf>
    <xf numFmtId="1" fontId="33" fillId="4" borderId="30" xfId="0" applyNumberFormat="1" applyFont="1" applyFill="1" applyBorder="1" applyAlignment="1">
      <alignment horizontal="center"/>
    </xf>
    <xf numFmtId="9" fontId="33" fillId="4" borderId="38" xfId="0" applyNumberFormat="1" applyFont="1" applyFill="1" applyBorder="1" applyAlignment="1">
      <alignment horizontal="center"/>
    </xf>
    <xf numFmtId="11" fontId="33" fillId="4" borderId="39" xfId="0" applyNumberFormat="1" applyFont="1" applyFill="1" applyBorder="1" applyAlignment="1">
      <alignment horizontal="center"/>
    </xf>
    <xf numFmtId="11" fontId="33" fillId="4" borderId="40" xfId="0" applyNumberFormat="1" applyFont="1" applyFill="1" applyBorder="1" applyAlignment="1">
      <alignment horizontal="center"/>
    </xf>
    <xf numFmtId="9" fontId="19" fillId="4" borderId="43" xfId="1" applyFont="1" applyFill="1" applyBorder="1" applyAlignment="1">
      <alignment horizontal="center"/>
    </xf>
    <xf numFmtId="9" fontId="33" fillId="4" borderId="43" xfId="1" applyFont="1" applyFill="1" applyBorder="1" applyAlignment="1">
      <alignment horizontal="center"/>
    </xf>
    <xf numFmtId="11" fontId="33" fillId="4" borderId="30" xfId="0" applyNumberFormat="1" applyFont="1" applyFill="1" applyBorder="1" applyAlignment="1">
      <alignment horizontal="center"/>
    </xf>
    <xf numFmtId="9" fontId="19" fillId="4" borderId="41" xfId="1" applyFont="1" applyFill="1" applyBorder="1" applyAlignment="1">
      <alignment horizontal="center"/>
    </xf>
    <xf numFmtId="2" fontId="33" fillId="4" borderId="36" xfId="0" applyNumberFormat="1" applyFont="1" applyFill="1" applyBorder="1" applyAlignment="1">
      <alignment horizontal="center"/>
    </xf>
    <xf numFmtId="11" fontId="33" fillId="4" borderId="36" xfId="0" applyNumberFormat="1" applyFont="1" applyFill="1" applyBorder="1" applyAlignment="1">
      <alignment horizontal="center"/>
    </xf>
    <xf numFmtId="0" fontId="33" fillId="4" borderId="36" xfId="0" applyFont="1" applyFill="1" applyBorder="1" applyAlignment="1">
      <alignment horizontal="center"/>
    </xf>
    <xf numFmtId="1" fontId="34" fillId="4" borderId="36" xfId="0" applyNumberFormat="1" applyFont="1" applyFill="1" applyBorder="1" applyAlignment="1">
      <alignment horizontal="center"/>
    </xf>
    <xf numFmtId="1" fontId="33" fillId="4" borderId="42" xfId="0" applyNumberFormat="1" applyFont="1" applyFill="1" applyBorder="1" applyAlignment="1">
      <alignment horizontal="center"/>
    </xf>
    <xf numFmtId="9" fontId="33" fillId="4" borderId="41" xfId="1" applyFont="1" applyFill="1" applyBorder="1" applyAlignment="1">
      <alignment horizontal="center"/>
    </xf>
    <xf numFmtId="11" fontId="33" fillId="4" borderId="42" xfId="0" applyNumberFormat="1" applyFont="1" applyFill="1" applyBorder="1" applyAlignment="1">
      <alignment horizontal="center"/>
    </xf>
    <xf numFmtId="9" fontId="19" fillId="4" borderId="38" xfId="0" applyNumberFormat="1" applyFont="1" applyFill="1" applyBorder="1" applyAlignment="1">
      <alignment horizontal="center"/>
    </xf>
    <xf numFmtId="164" fontId="19" fillId="4" borderId="39" xfId="0" applyNumberFormat="1" applyFont="1" applyFill="1" applyBorder="1" applyAlignment="1">
      <alignment horizontal="center"/>
    </xf>
    <xf numFmtId="2" fontId="19" fillId="4" borderId="39" xfId="0" applyNumberFormat="1" applyFont="1" applyFill="1" applyBorder="1" applyAlignment="1">
      <alignment horizontal="center"/>
    </xf>
    <xf numFmtId="164" fontId="19" fillId="4" borderId="0" xfId="0" applyNumberFormat="1" applyFont="1" applyFill="1" applyAlignment="1">
      <alignment horizontal="center"/>
    </xf>
    <xf numFmtId="2" fontId="19" fillId="4" borderId="39" xfId="0" applyNumberFormat="1" applyFont="1" applyFill="1" applyBorder="1" applyAlignment="1">
      <alignment horizontal="right"/>
    </xf>
    <xf numFmtId="11" fontId="19" fillId="4" borderId="39" xfId="0" applyNumberFormat="1" applyFont="1" applyFill="1" applyBorder="1"/>
    <xf numFmtId="2" fontId="19" fillId="4" borderId="40" xfId="0" applyNumberFormat="1" applyFont="1" applyFill="1" applyBorder="1"/>
    <xf numFmtId="164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right"/>
    </xf>
    <xf numFmtId="11" fontId="19" fillId="4" borderId="0" xfId="0" applyNumberFormat="1" applyFont="1" applyFill="1" applyBorder="1"/>
    <xf numFmtId="2" fontId="19" fillId="4" borderId="30" xfId="0" applyNumberFormat="1" applyFont="1" applyFill="1" applyBorder="1"/>
    <xf numFmtId="11" fontId="19" fillId="4" borderId="0" xfId="0" applyNumberFormat="1" applyFont="1" applyFill="1" applyBorder="1" applyAlignment="1">
      <alignment horizontal="right"/>
    </xf>
    <xf numFmtId="2" fontId="19" fillId="4" borderId="30" xfId="0" applyNumberFormat="1" applyFont="1" applyFill="1" applyBorder="1" applyAlignment="1">
      <alignment horizontal="right"/>
    </xf>
    <xf numFmtId="9" fontId="19" fillId="4" borderId="41" xfId="0" applyNumberFormat="1" applyFont="1" applyFill="1" applyBorder="1" applyAlignment="1">
      <alignment horizontal="center"/>
    </xf>
    <xf numFmtId="164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right"/>
    </xf>
    <xf numFmtId="11" fontId="19" fillId="4" borderId="36" xfId="0" applyNumberFormat="1" applyFont="1" applyFill="1" applyBorder="1"/>
    <xf numFmtId="11" fontId="19" fillId="4" borderId="36" xfId="0" applyNumberFormat="1" applyFont="1" applyFill="1" applyBorder="1" applyAlignment="1">
      <alignment horizontal="right"/>
    </xf>
    <xf numFmtId="2" fontId="19" fillId="4" borderId="42" xfId="0" applyNumberFormat="1" applyFont="1" applyFill="1" applyBorder="1" applyAlignment="1">
      <alignment horizontal="right"/>
    </xf>
    <xf numFmtId="0" fontId="19" fillId="4" borderId="39" xfId="0" applyFont="1" applyFill="1" applyBorder="1"/>
    <xf numFmtId="0" fontId="19" fillId="4" borderId="0" xfId="0" applyFont="1" applyFill="1" applyBorder="1"/>
    <xf numFmtId="0" fontId="19" fillId="4" borderId="36" xfId="0" applyFont="1" applyFill="1" applyBorder="1"/>
    <xf numFmtId="165" fontId="19" fillId="4" borderId="0" xfId="0" applyNumberFormat="1" applyFont="1" applyFill="1" applyBorder="1" applyAlignment="1">
      <alignment horizontal="center"/>
    </xf>
    <xf numFmtId="165" fontId="19" fillId="4" borderId="36" xfId="0" applyNumberFormat="1" applyFont="1" applyFill="1" applyBorder="1" applyAlignment="1">
      <alignment horizontal="center"/>
    </xf>
    <xf numFmtId="0" fontId="19" fillId="4" borderId="1" xfId="0" applyFont="1" applyFill="1" applyBorder="1"/>
    <xf numFmtId="0" fontId="5" fillId="4" borderId="1" xfId="0" applyFont="1" applyFill="1" applyBorder="1"/>
    <xf numFmtId="0" fontId="5" fillId="0" borderId="0" xfId="0" applyFont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164" fontId="2" fillId="0" borderId="0" xfId="0" applyNumberFormat="1" applyFont="1" applyBorder="1"/>
    <xf numFmtId="0" fontId="21" fillId="0" borderId="1" xfId="0" applyFont="1" applyBorder="1" applyAlignment="1">
      <alignment horizontal="center"/>
    </xf>
    <xf numFmtId="0" fontId="21" fillId="0" borderId="46" xfId="0" applyFont="1" applyBorder="1" applyAlignment="1"/>
    <xf numFmtId="0" fontId="21" fillId="0" borderId="47" xfId="0" applyFont="1" applyBorder="1" applyAlignment="1"/>
    <xf numFmtId="0" fontId="0" fillId="0" borderId="43" xfId="0" applyBorder="1" applyAlignment="1">
      <alignment horizontal="center"/>
    </xf>
    <xf numFmtId="0" fontId="0" fillId="5" borderId="38" xfId="0" applyFill="1" applyBorder="1"/>
    <xf numFmtId="0" fontId="19" fillId="5" borderId="40" xfId="0" applyFont="1" applyFill="1" applyBorder="1" applyAlignment="1">
      <alignment horizontal="right"/>
    </xf>
    <xf numFmtId="0" fontId="0" fillId="5" borderId="43" xfId="0" applyFill="1" applyBorder="1"/>
    <xf numFmtId="0" fontId="19" fillId="5" borderId="30" xfId="0" applyFont="1" applyFill="1" applyBorder="1" applyAlignment="1">
      <alignment horizontal="right"/>
    </xf>
    <xf numFmtId="0" fontId="0" fillId="0" borderId="41" xfId="0" applyBorder="1" applyAlignment="1">
      <alignment horizontal="center"/>
    </xf>
    <xf numFmtId="164" fontId="19" fillId="6" borderId="0" xfId="0" applyNumberFormat="1" applyFont="1" applyFill="1" applyAlignment="1">
      <alignment horizontal="center"/>
    </xf>
    <xf numFmtId="165" fontId="16" fillId="5" borderId="0" xfId="0" applyNumberFormat="1" applyFont="1" applyFill="1"/>
    <xf numFmtId="0" fontId="1" fillId="6" borderId="0" xfId="0" applyFont="1" applyFill="1"/>
    <xf numFmtId="0" fontId="0" fillId="6" borderId="0" xfId="0" applyFill="1"/>
    <xf numFmtId="0" fontId="1" fillId="0" borderId="1" xfId="0" applyFont="1" applyFill="1" applyBorder="1" applyAlignment="1">
      <alignment wrapText="1"/>
    </xf>
    <xf numFmtId="165" fontId="19" fillId="4" borderId="1" xfId="0" applyNumberFormat="1" applyFont="1" applyFill="1" applyBorder="1" applyAlignment="1">
      <alignment horizontal="center"/>
    </xf>
    <xf numFmtId="0" fontId="3" fillId="0" borderId="39" xfId="0" applyFont="1" applyBorder="1"/>
    <xf numFmtId="0" fontId="19" fillId="5" borderId="0" xfId="0" applyFont="1" applyFill="1" applyBorder="1"/>
    <xf numFmtId="0" fontId="19" fillId="5" borderId="42" xfId="0" applyFont="1" applyFill="1" applyBorder="1" applyAlignment="1">
      <alignment horizontal="right"/>
    </xf>
    <xf numFmtId="0" fontId="1" fillId="0" borderId="0" xfId="0" applyFont="1" applyFill="1"/>
    <xf numFmtId="0" fontId="0" fillId="5" borderId="41" xfId="0" applyFill="1" applyBorder="1"/>
    <xf numFmtId="0" fontId="0" fillId="0" borderId="29" xfId="0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17" fillId="5" borderId="49" xfId="0" applyFont="1" applyFill="1" applyBorder="1" applyAlignment="1">
      <alignment horizontal="center"/>
    </xf>
    <xf numFmtId="0" fontId="17" fillId="5" borderId="50" xfId="0" applyFont="1" applyFill="1" applyBorder="1" applyAlignment="1">
      <alignment horizontal="center"/>
    </xf>
    <xf numFmtId="0" fontId="17" fillId="5" borderId="51" xfId="0" applyFont="1" applyFill="1" applyBorder="1" applyAlignment="1">
      <alignment horizontal="center"/>
    </xf>
    <xf numFmtId="0" fontId="0" fillId="0" borderId="2" xfId="0" applyBorder="1" applyAlignment="1"/>
    <xf numFmtId="0" fontId="1" fillId="0" borderId="28" xfId="0" applyFont="1" applyBorder="1" applyAlignment="1">
      <alignment horizontal="center"/>
    </xf>
    <xf numFmtId="0" fontId="17" fillId="5" borderId="2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7" fillId="5" borderId="1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7" fillId="5" borderId="14" xfId="0" applyFont="1" applyFill="1" applyBorder="1" applyAlignment="1">
      <alignment horizontal="center"/>
    </xf>
    <xf numFmtId="0" fontId="1" fillId="0" borderId="0" xfId="0" applyFont="1"/>
    <xf numFmtId="167" fontId="0" fillId="5" borderId="0" xfId="0" applyNumberFormat="1" applyFill="1"/>
    <xf numFmtId="168" fontId="0" fillId="5" borderId="0" xfId="0" applyNumberFormat="1" applyFill="1"/>
    <xf numFmtId="167" fontId="0" fillId="0" borderId="0" xfId="0" applyNumberFormat="1" applyFill="1"/>
    <xf numFmtId="165" fontId="0" fillId="0" borderId="0" xfId="0" applyNumberFormat="1"/>
    <xf numFmtId="169" fontId="0" fillId="0" borderId="0" xfId="0" applyNumberFormat="1"/>
    <xf numFmtId="2" fontId="1" fillId="5" borderId="1" xfId="0" applyNumberFormat="1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3" fillId="0" borderId="3" xfId="0" applyFont="1" applyBorder="1" applyAlignment="1">
      <alignment horizontal="center" wrapText="1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17" fillId="0" borderId="2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43" xfId="0" applyBorder="1" applyAlignment="1">
      <alignment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location of offsets in blade</a:t>
            </a:r>
          </a:p>
        </c:rich>
      </c:tx>
      <c:layout>
        <c:manualLayout>
          <c:xMode val="edge"/>
          <c:yMode val="edge"/>
          <c:x val="0.38504464285714285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2321428571429"/>
          <c:y val="0.155893536121673"/>
          <c:w val="0.8571428571428571"/>
          <c:h val="0.62737642585551334"/>
        </c:manualLayout>
      </c:layout>
      <c:scatterChart>
        <c:scatterStyle val="smoothMarker"/>
        <c:varyColors val="0"/>
        <c:ser>
          <c:idx val="0"/>
          <c:order val="0"/>
          <c:tx>
            <c:v>CG offset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GECbladedata!$H$28:$H$48</c:f>
              <c:numCache>
                <c:formatCode>0.000</c:formatCode>
                <c:ptCount val="21"/>
                <c:pt idx="0">
                  <c:v>0.86410972821945675</c:v>
                </c:pt>
                <c:pt idx="1">
                  <c:v>0.86410972821945642</c:v>
                </c:pt>
                <c:pt idx="2">
                  <c:v>0.77262085188557794</c:v>
                </c:pt>
                <c:pt idx="3">
                  <c:v>0.62013939132911378</c:v>
                </c:pt>
                <c:pt idx="4">
                  <c:v>0.46765793077264961</c:v>
                </c:pt>
                <c:pt idx="5">
                  <c:v>0.31517647021618544</c:v>
                </c:pt>
                <c:pt idx="6">
                  <c:v>0.30387198226998036</c:v>
                </c:pt>
                <c:pt idx="7">
                  <c:v>0.29256749432377527</c:v>
                </c:pt>
                <c:pt idx="8">
                  <c:v>0.28126300637757018</c:v>
                </c:pt>
                <c:pt idx="9">
                  <c:v>0.26995851843136509</c:v>
                </c:pt>
                <c:pt idx="10">
                  <c:v>0.25865403048516</c:v>
                </c:pt>
                <c:pt idx="11">
                  <c:v>0.26562229017865951</c:v>
                </c:pt>
                <c:pt idx="12">
                  <c:v>0.27259054987215903</c:v>
                </c:pt>
                <c:pt idx="13">
                  <c:v>0.27955880956565848</c:v>
                </c:pt>
                <c:pt idx="14">
                  <c:v>0.286527069259158</c:v>
                </c:pt>
                <c:pt idx="15">
                  <c:v>0.29349532895265751</c:v>
                </c:pt>
                <c:pt idx="16">
                  <c:v>0.31514094185148339</c:v>
                </c:pt>
                <c:pt idx="17">
                  <c:v>0.33678655475030922</c:v>
                </c:pt>
                <c:pt idx="18">
                  <c:v>0.3584321676491351</c:v>
                </c:pt>
                <c:pt idx="19">
                  <c:v>0.38007778054796099</c:v>
                </c:pt>
                <c:pt idx="20">
                  <c:v>0.40172339344678687</c:v>
                </c:pt>
              </c:numCache>
            </c:numRef>
          </c:yVal>
          <c:smooth val="1"/>
        </c:ser>
        <c:ser>
          <c:idx val="1"/>
          <c:order val="1"/>
          <c:tx>
            <c:v>EA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GECbladedata!$J$28:$J$48</c:f>
              <c:numCache>
                <c:formatCode>0.0000</c:formatCode>
                <c:ptCount val="21"/>
                <c:pt idx="0">
                  <c:v>0.86410972821945675</c:v>
                </c:pt>
                <c:pt idx="1">
                  <c:v>0.86410972821945642</c:v>
                </c:pt>
                <c:pt idx="2">
                  <c:v>0.70875347116870013</c:v>
                </c:pt>
                <c:pt idx="3">
                  <c:v>0.44982637608410653</c:v>
                </c:pt>
                <c:pt idx="4">
                  <c:v>0.1908992809995127</c:v>
                </c:pt>
                <c:pt idx="5">
                  <c:v>-6.8027814085081018E-2</c:v>
                </c:pt>
                <c:pt idx="6">
                  <c:v>-4.3930741128529717E-2</c:v>
                </c:pt>
                <c:pt idx="7">
                  <c:v>-1.9833668171978416E-2</c:v>
                </c:pt>
                <c:pt idx="8">
                  <c:v>4.2634047845729189E-3</c:v>
                </c:pt>
                <c:pt idx="9">
                  <c:v>2.8360477741124213E-2</c:v>
                </c:pt>
                <c:pt idx="10">
                  <c:v>5.2457550697675527E-2</c:v>
                </c:pt>
                <c:pt idx="11">
                  <c:v>6.7166155788635717E-2</c:v>
                </c:pt>
                <c:pt idx="12">
                  <c:v>8.1874760879595887E-2</c:v>
                </c:pt>
                <c:pt idx="13">
                  <c:v>9.6583365970556084E-2</c:v>
                </c:pt>
                <c:pt idx="14">
                  <c:v>0.11129197106151624</c:v>
                </c:pt>
                <c:pt idx="15">
                  <c:v>0.12600057615247642</c:v>
                </c:pt>
                <c:pt idx="16">
                  <c:v>0.13651656963419859</c:v>
                </c:pt>
                <c:pt idx="17">
                  <c:v>0.14703256311592069</c:v>
                </c:pt>
                <c:pt idx="18">
                  <c:v>0.15754855659764286</c:v>
                </c:pt>
                <c:pt idx="19">
                  <c:v>0.16806455007936499</c:v>
                </c:pt>
                <c:pt idx="20">
                  <c:v>0.17858054356108713</c:v>
                </c:pt>
              </c:numCache>
            </c:numRef>
          </c:yVal>
          <c:smooth val="1"/>
        </c:ser>
        <c:ser>
          <c:idx val="2"/>
          <c:order val="2"/>
          <c:tx>
            <c:v>aero offset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GECbladedata!$Q$28:$Q$48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-7.6798323596647219E-2</c:v>
                </c:pt>
                <c:pt idx="3">
                  <c:v>-0.20479552959105923</c:v>
                </c:pt>
                <c:pt idx="4">
                  <c:v>-0.33279273558547134</c:v>
                </c:pt>
                <c:pt idx="5">
                  <c:v>-0.46078994157988334</c:v>
                </c:pt>
                <c:pt idx="6">
                  <c:v>-0.4157388874777751</c:v>
                </c:pt>
                <c:pt idx="7">
                  <c:v>-0.37068783337566691</c:v>
                </c:pt>
                <c:pt idx="8">
                  <c:v>-0.32563677927355861</c:v>
                </c:pt>
                <c:pt idx="9">
                  <c:v>-0.28058572517145042</c:v>
                </c:pt>
                <c:pt idx="10">
                  <c:v>-0.23553467106934217</c:v>
                </c:pt>
                <c:pt idx="11">
                  <c:v>-0.20481534163068327</c:v>
                </c:pt>
                <c:pt idx="12">
                  <c:v>-0.17409601219202445</c:v>
                </c:pt>
                <c:pt idx="13">
                  <c:v>-0.14337668275336554</c:v>
                </c:pt>
                <c:pt idx="14">
                  <c:v>-0.11265735331470672</c:v>
                </c:pt>
                <c:pt idx="15">
                  <c:v>-8.193802387604783E-2</c:v>
                </c:pt>
                <c:pt idx="16">
                  <c:v>-6.5550419100838253E-2</c:v>
                </c:pt>
                <c:pt idx="17">
                  <c:v>-4.9162814325628704E-2</c:v>
                </c:pt>
                <c:pt idx="18">
                  <c:v>-3.2775209550419127E-2</c:v>
                </c:pt>
                <c:pt idx="19">
                  <c:v>-1.6387604775209577E-2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48800"/>
        <c:axId val="112750976"/>
      </c:scatterChart>
      <c:valAx>
        <c:axId val="112748800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x/l</a:t>
                </a:r>
              </a:p>
            </c:rich>
          </c:tx>
          <c:layout>
            <c:manualLayout>
              <c:xMode val="edge"/>
              <c:yMode val="edge"/>
              <c:x val="0.5290178571428571"/>
              <c:y val="0.874524714828897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750976"/>
        <c:crossesAt val="-10"/>
        <c:crossBetween val="midCat"/>
      </c:valAx>
      <c:valAx>
        <c:axId val="112750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m</a:t>
                </a:r>
              </a:p>
            </c:rich>
          </c:tx>
          <c:layout>
            <c:manualLayout>
              <c:xMode val="edge"/>
              <c:yMode val="edge"/>
              <c:x val="1.2276785714285714E-2"/>
              <c:y val="0.429657794676806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748800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59375"/>
          <c:y val="0.49809885931558934"/>
          <c:w val="0.9665178571428571"/>
          <c:h val="0.74144486692015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26</xdr:row>
      <xdr:rowOff>38100</xdr:rowOff>
    </xdr:from>
    <xdr:to>
      <xdr:col>13</xdr:col>
      <xdr:colOff>295275</xdr:colOff>
      <xdr:row>34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391150" y="5019675"/>
          <a:ext cx="4438650" cy="1114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Mass properties: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Mainframe includes all non-rotating mass on top of tower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Gen. Shaft includes all high-speed shaft rotating mass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Rotor shaft includes all low-speed shaft rotating mass</a:t>
          </a: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Hub is all of rotor except the blades</a:t>
          </a: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None of the models will contain a gearbox.  All mass and torque properties are referenced to the low-speed shaft values.</a:t>
          </a: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66675</xdr:colOff>
      <xdr:row>0</xdr:row>
      <xdr:rowOff>0</xdr:rowOff>
    </xdr:from>
    <xdr:to>
      <xdr:col>14</xdr:col>
      <xdr:colOff>95250</xdr:colOff>
      <xdr:row>16</xdr:row>
      <xdr:rowOff>271670</xdr:rowOff>
    </xdr:to>
    <xdr:pic>
      <xdr:nvPicPr>
        <xdr:cNvPr id="103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0"/>
          <a:ext cx="3571875" cy="3305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0</xdr:row>
      <xdr:rowOff>38100</xdr:rowOff>
    </xdr:from>
    <xdr:to>
      <xdr:col>21</xdr:col>
      <xdr:colOff>247650</xdr:colOff>
      <xdr:row>16</xdr:row>
      <xdr:rowOff>243095</xdr:rowOff>
    </xdr:to>
    <xdr:pic>
      <xdr:nvPicPr>
        <xdr:cNvPr id="103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38100"/>
          <a:ext cx="3409950" cy="323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7</xdr:col>
      <xdr:colOff>415373</xdr:colOff>
      <xdr:row>47</xdr:row>
      <xdr:rowOff>112229</xdr:rowOff>
    </xdr:from>
    <xdr:to>
      <xdr:col>14</xdr:col>
      <xdr:colOff>132936</xdr:colOff>
      <xdr:row>57</xdr:row>
      <xdr:rowOff>107260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6238047" y="7699099"/>
          <a:ext cx="3949976" cy="155216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Log of Modifications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26 2000     Parasitic mass of  tower  added.  Initial value = 10%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Dec 14 2000.    Calculation of total masses added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10, 2015   Airfoil name at 100%R changed to s826_1602.dat to match subcontractor report and available airfoils (JRinker)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  Changed AC for cylinders to yield correct AeroCent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	Switched modal damping order</a:t>
          </a:r>
          <a:endParaRPr lang="en-US" sz="1000">
            <a:effectLst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399636</xdr:colOff>
      <xdr:row>41</xdr:row>
      <xdr:rowOff>58392</xdr:rowOff>
    </xdr:from>
    <xdr:to>
      <xdr:col>12</xdr:col>
      <xdr:colOff>203338</xdr:colOff>
      <xdr:row>46</xdr:row>
      <xdr:rowOff>58392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6222310" y="6543675"/>
          <a:ext cx="2793724" cy="92765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 we are designing the tower base to have a zero margin, keeping the same ratiio of b/t (210:1).  The tower top will  be designed to have a zero margin or will be specified to have a minimum diameter of 0.5 times the base diameter (and the same b/t=210 ratio)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48</xdr:row>
      <xdr:rowOff>133350</xdr:rowOff>
    </xdr:from>
    <xdr:to>
      <xdr:col>13</xdr:col>
      <xdr:colOff>638175</xdr:colOff>
      <xdr:row>66</xdr:row>
      <xdr:rowOff>66675</xdr:rowOff>
    </xdr:to>
    <xdr:graphicFrame macro="">
      <xdr:nvGraphicFramePr>
        <xdr:cNvPr id="205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54"/>
  <sheetViews>
    <sheetView tabSelected="1" topLeftCell="A55" zoomScale="115" zoomScaleNormal="115" workbookViewId="0">
      <selection activeCell="B87" sqref="B87"/>
    </sheetView>
  </sheetViews>
  <sheetFormatPr defaultRowHeight="11.25"/>
  <cols>
    <col min="1" max="1" width="34.83203125" customWidth="1"/>
    <col min="2" max="2" width="11.6640625" customWidth="1"/>
    <col min="4" max="4" width="10.83203125" customWidth="1"/>
    <col min="5" max="5" width="14.1640625" customWidth="1"/>
    <col min="6" max="6" width="11.33203125" customWidth="1"/>
    <col min="7" max="8" width="12.1640625" customWidth="1"/>
    <col min="9" max="9" width="10.1640625" customWidth="1"/>
    <col min="10" max="10" width="9.83203125" customWidth="1"/>
    <col min="11" max="11" width="10" customWidth="1"/>
    <col min="12" max="12" width="10.1640625" customWidth="1"/>
    <col min="13" max="13" width="12.5" customWidth="1"/>
  </cols>
  <sheetData>
    <row r="1" spans="1:8" ht="41.25" customHeight="1" thickBot="1">
      <c r="A1" s="99" t="s">
        <v>40</v>
      </c>
      <c r="B1" s="183" t="s">
        <v>400</v>
      </c>
      <c r="C1" s="389" t="s">
        <v>394</v>
      </c>
      <c r="D1" s="390"/>
      <c r="E1" s="390"/>
      <c r="F1" s="390"/>
      <c r="G1" s="390"/>
      <c r="H1" s="391"/>
    </row>
    <row r="2" spans="1:8" ht="16.899999999999999" customHeight="1" thickBot="1">
      <c r="A2" s="60" t="s">
        <v>14</v>
      </c>
      <c r="B2" s="57"/>
      <c r="C2" s="57"/>
      <c r="D2" s="57"/>
      <c r="E2" s="57"/>
      <c r="F2" s="57"/>
    </row>
    <row r="3" spans="1:8" ht="22.15" customHeight="1">
      <c r="A3" s="24" t="s">
        <v>4</v>
      </c>
      <c r="B3" s="383" t="s">
        <v>119</v>
      </c>
      <c r="C3" s="384"/>
      <c r="D3" s="385"/>
      <c r="E3" s="35"/>
      <c r="F3" s="386" t="s">
        <v>18</v>
      </c>
      <c r="G3" s="387"/>
      <c r="H3" s="388"/>
    </row>
    <row r="4" spans="1:8" ht="12" thickBot="1">
      <c r="A4" s="20" t="s">
        <v>5</v>
      </c>
      <c r="B4" s="25" t="s">
        <v>6</v>
      </c>
      <c r="C4" s="26" t="s">
        <v>8</v>
      </c>
      <c r="D4" s="27" t="s">
        <v>7</v>
      </c>
      <c r="E4" s="34" t="s">
        <v>13</v>
      </c>
      <c r="F4" s="36" t="s">
        <v>15</v>
      </c>
      <c r="G4" s="37" t="s">
        <v>16</v>
      </c>
      <c r="H4" s="38" t="s">
        <v>17</v>
      </c>
    </row>
    <row r="5" spans="1:8">
      <c r="A5" s="21" t="s">
        <v>9</v>
      </c>
      <c r="B5" s="143">
        <f>GECdrivetrain!J30</f>
        <v>-7.8053060242858907E-2</v>
      </c>
      <c r="C5" s="143">
        <f>GECdrivetrain!K30</f>
        <v>0</v>
      </c>
      <c r="D5" s="143">
        <f>GECdrivetrain!L30</f>
        <v>-0.74355337983144754</v>
      </c>
      <c r="E5" s="146">
        <f>GECdrivetrain!I30</f>
        <v>212987.97104381188</v>
      </c>
      <c r="F5" s="149">
        <f>GECdrivetrain!M30</f>
        <v>520409.91887910868</v>
      </c>
      <c r="G5" s="149">
        <f>GECdrivetrain!N30</f>
        <v>701969.17511293665</v>
      </c>
      <c r="H5" s="149">
        <f>GECdrivetrain!O30</f>
        <v>587873.53827544278</v>
      </c>
    </row>
    <row r="6" spans="1:8">
      <c r="A6" s="22" t="s">
        <v>10</v>
      </c>
      <c r="B6" s="144">
        <f>GECdrivetrain!J16</f>
        <v>1.3878429200029141</v>
      </c>
      <c r="C6" s="144">
        <f>GECdrivetrain!K16</f>
        <v>0</v>
      </c>
      <c r="D6" s="144">
        <f>GECdrivetrain!L16</f>
        <v>0</v>
      </c>
      <c r="E6" s="147">
        <f>GECdrivetrain!I16</f>
        <v>6651.7160682454805</v>
      </c>
      <c r="F6" s="39">
        <f>GECdrivetrain!M16</f>
        <v>11354296.893486619</v>
      </c>
      <c r="G6" s="39">
        <f>GECdrivetrain!N16</f>
        <v>5238.4227281341437</v>
      </c>
      <c r="H6" s="39">
        <f>GECdrivetrain!O16</f>
        <v>5238.4227281341437</v>
      </c>
    </row>
    <row r="7" spans="1:8">
      <c r="A7" s="22" t="s">
        <v>11</v>
      </c>
      <c r="B7" s="144">
        <f>GECdrivetrain!J15</f>
        <v>-1.582015611221971</v>
      </c>
      <c r="C7" s="144">
        <f>GECdrivetrain!K15</f>
        <v>0</v>
      </c>
      <c r="D7" s="144">
        <f>GECdrivetrain!L15</f>
        <v>0</v>
      </c>
      <c r="E7" s="147">
        <f>GECdrivetrain!I15</f>
        <v>51029.022026287843</v>
      </c>
      <c r="F7" s="150">
        <f>GECdrivetrain!M15</f>
        <v>11735.903376279741</v>
      </c>
      <c r="G7" s="150">
        <f>GECdrivetrain!N15</f>
        <v>146483.84444078518</v>
      </c>
      <c r="H7" s="150">
        <f>GECdrivetrain!O15</f>
        <v>146483.84444078518</v>
      </c>
    </row>
    <row r="8" spans="1:8" ht="12" thickBot="1">
      <c r="A8" s="23" t="s">
        <v>12</v>
      </c>
      <c r="B8" s="145">
        <f>GECdrivetrain!J14</f>
        <v>-6.0000000000000009</v>
      </c>
      <c r="C8" s="145">
        <f>GECdrivetrain!K14</f>
        <v>0</v>
      </c>
      <c r="D8" s="145">
        <f>GECdrivetrain!L14</f>
        <v>0</v>
      </c>
      <c r="E8" s="148">
        <f>GECdrivetrain!I14</f>
        <v>125969.62234646481</v>
      </c>
      <c r="F8" s="40">
        <f>GECdrivetrain!M14</f>
        <v>924035.52423446742</v>
      </c>
      <c r="G8" s="40">
        <f>GECdrivetrain!N14</f>
        <v>924035.52423446742</v>
      </c>
      <c r="H8" s="40">
        <f>GECdrivetrain!O14</f>
        <v>924035.52423446742</v>
      </c>
    </row>
    <row r="9" spans="1:8" ht="12" thickBot="1">
      <c r="A9" s="106" t="s">
        <v>120</v>
      </c>
      <c r="B9" s="275">
        <v>154</v>
      </c>
    </row>
    <row r="10" spans="1:8">
      <c r="A10" s="77" t="s">
        <v>28</v>
      </c>
      <c r="B10" s="276">
        <v>3</v>
      </c>
    </row>
    <row r="11" spans="1:8">
      <c r="A11" s="54" t="s">
        <v>39</v>
      </c>
      <c r="B11" s="277">
        <v>5</v>
      </c>
      <c r="C11" t="s">
        <v>69</v>
      </c>
    </row>
    <row r="12" spans="1:8">
      <c r="A12" s="54" t="s">
        <v>29</v>
      </c>
      <c r="B12" s="277" t="s">
        <v>118</v>
      </c>
    </row>
    <row r="13" spans="1:8">
      <c r="A13" s="107" t="s">
        <v>121</v>
      </c>
      <c r="B13" s="277">
        <v>128</v>
      </c>
    </row>
    <row r="14" spans="1:8" ht="22.5">
      <c r="A14" s="61" t="s">
        <v>43</v>
      </c>
      <c r="B14" s="269">
        <f>PI()*(B64^4-B65^4)/32/(GECdrivetrain!C7)*GECtwrdata!F7</f>
        <v>2300693019.9789252</v>
      </c>
      <c r="D14" s="348" t="s">
        <v>460</v>
      </c>
      <c r="E14" s="349"/>
    </row>
    <row r="15" spans="1:8">
      <c r="A15" s="61" t="s">
        <v>462</v>
      </c>
      <c r="B15" s="378">
        <v>5</v>
      </c>
      <c r="D15" s="348" t="s">
        <v>404</v>
      </c>
      <c r="E15" s="349"/>
    </row>
    <row r="16" spans="1:8">
      <c r="A16" s="61" t="s">
        <v>461</v>
      </c>
      <c r="B16" s="378">
        <v>64807728</v>
      </c>
      <c r="D16" s="348" t="s">
        <v>404</v>
      </c>
      <c r="E16" s="349"/>
    </row>
    <row r="17" spans="1:21" ht="23.45" customHeight="1">
      <c r="A17" s="61" t="s">
        <v>42</v>
      </c>
      <c r="B17" s="277">
        <v>1.2250000000000001</v>
      </c>
    </row>
    <row r="18" spans="1:21" ht="13.15" customHeight="1">
      <c r="A18" s="61" t="s">
        <v>38</v>
      </c>
      <c r="B18" s="277">
        <v>0</v>
      </c>
      <c r="C18" t="s">
        <v>70</v>
      </c>
      <c r="I18" s="179" t="s">
        <v>316</v>
      </c>
      <c r="J18" s="180"/>
      <c r="K18" s="180"/>
      <c r="L18" s="180"/>
      <c r="M18" s="180"/>
      <c r="N18" s="180"/>
      <c r="P18" s="181" t="s">
        <v>317</v>
      </c>
      <c r="Q18" s="182"/>
      <c r="R18" s="182"/>
      <c r="S18" s="182"/>
      <c r="T18" s="182"/>
      <c r="U18" s="182"/>
    </row>
    <row r="19" spans="1:21" ht="24" customHeight="1" thickBot="1">
      <c r="A19" s="62" t="s">
        <v>375</v>
      </c>
      <c r="B19" s="277">
        <v>0.95</v>
      </c>
      <c r="C19" s="331">
        <v>1.4999999999999999E-2</v>
      </c>
      <c r="D19" s="392" t="s">
        <v>374</v>
      </c>
      <c r="E19" s="391"/>
      <c r="F19" s="391"/>
    </row>
    <row r="20" spans="1:21" ht="25.5" customHeight="1">
      <c r="A20" s="270" t="s">
        <v>372</v>
      </c>
      <c r="B20" s="276">
        <v>5.0000000000000001E-3</v>
      </c>
      <c r="C20" s="331">
        <v>5.0000000000000001E-3</v>
      </c>
      <c r="D20" s="392" t="s">
        <v>373</v>
      </c>
      <c r="E20" s="391"/>
      <c r="F20" s="391"/>
      <c r="I20" s="35" t="s">
        <v>68</v>
      </c>
      <c r="J20" s="170"/>
      <c r="K20" s="170"/>
      <c r="L20" s="170"/>
      <c r="M20" s="170"/>
      <c r="N20" s="170"/>
      <c r="O20" s="170"/>
      <c r="P20" s="171"/>
    </row>
    <row r="21" spans="1:21" ht="11.45" customHeight="1">
      <c r="A21" s="61" t="s">
        <v>31</v>
      </c>
      <c r="B21" s="277" t="s">
        <v>33</v>
      </c>
      <c r="I21" s="172" t="s">
        <v>318</v>
      </c>
      <c r="J21" s="8"/>
      <c r="K21" s="8"/>
      <c r="L21" s="8"/>
      <c r="M21" s="8"/>
      <c r="N21" s="8"/>
      <c r="O21" s="8"/>
      <c r="P21" s="173"/>
    </row>
    <row r="22" spans="1:21">
      <c r="I22" s="172" t="s">
        <v>319</v>
      </c>
      <c r="J22" s="8"/>
      <c r="K22" s="8"/>
      <c r="L22" s="8"/>
      <c r="M22" s="8"/>
      <c r="N22" s="8"/>
      <c r="O22" s="8"/>
      <c r="P22" s="173"/>
    </row>
    <row r="23" spans="1:21">
      <c r="A23" s="100" t="s">
        <v>77</v>
      </c>
      <c r="B23" s="29"/>
      <c r="I23" s="172" t="s">
        <v>65</v>
      </c>
      <c r="J23" s="8"/>
      <c r="K23" s="8"/>
      <c r="L23" s="8"/>
      <c r="M23" s="8"/>
      <c r="N23" s="8"/>
      <c r="O23" s="8"/>
      <c r="P23" s="173"/>
    </row>
    <row r="24" spans="1:21" ht="12.6" customHeight="1">
      <c r="A24" s="100" t="s">
        <v>74</v>
      </c>
      <c r="B24" s="272">
        <f>B86</f>
        <v>11.190581936148892</v>
      </c>
      <c r="G24" s="89"/>
      <c r="H24" s="12"/>
      <c r="I24" s="172" t="s">
        <v>66</v>
      </c>
      <c r="J24" s="8"/>
      <c r="K24" s="8"/>
      <c r="L24" s="8"/>
      <c r="M24" s="8"/>
      <c r="N24" s="8"/>
      <c r="O24" s="8"/>
      <c r="P24" s="173"/>
    </row>
    <row r="25" spans="1:21" ht="12" thickBot="1">
      <c r="A25" s="100" t="s">
        <v>75</v>
      </c>
      <c r="B25" s="273">
        <v>1</v>
      </c>
      <c r="G25" s="89"/>
      <c r="H25" s="12"/>
      <c r="I25" s="174" t="s">
        <v>67</v>
      </c>
      <c r="J25" s="175"/>
      <c r="K25" s="175"/>
      <c r="L25" s="175"/>
      <c r="M25" s="175"/>
      <c r="N25" s="175"/>
      <c r="O25" s="175"/>
      <c r="P25" s="178"/>
    </row>
    <row r="26" spans="1:21" ht="9.75" customHeight="1">
      <c r="A26" s="100" t="s">
        <v>76</v>
      </c>
      <c r="B26" s="273">
        <f>B89</f>
        <v>5000</v>
      </c>
      <c r="G26" s="89"/>
      <c r="H26" s="12"/>
    </row>
    <row r="28" spans="1:21" ht="12.6" customHeight="1">
      <c r="A28" s="109" t="s">
        <v>78</v>
      </c>
      <c r="B28" s="29"/>
    </row>
    <row r="29" spans="1:21" ht="21" customHeight="1">
      <c r="A29" s="100" t="s">
        <v>79</v>
      </c>
      <c r="B29" s="91">
        <f>B86</f>
        <v>11.190581936148892</v>
      </c>
    </row>
    <row r="30" spans="1:21" ht="9.75" customHeight="1">
      <c r="A30" s="100" t="s">
        <v>376</v>
      </c>
      <c r="B30" s="271">
        <f>B89*1000/(B29*PI()/30)/(B19-C19-B20-C20)</f>
        <v>4612612.6126126135</v>
      </c>
    </row>
    <row r="31" spans="1:21" ht="9.75" customHeight="1">
      <c r="A31" s="350" t="s">
        <v>405</v>
      </c>
      <c r="B31" s="271">
        <f>B89*1000/(B84*PI()/30)/(B19)</f>
        <v>27921.919840683397</v>
      </c>
      <c r="D31" s="348" t="s">
        <v>406</v>
      </c>
      <c r="E31" s="349"/>
    </row>
    <row r="32" spans="1:21">
      <c r="B32" s="53"/>
    </row>
    <row r="33" spans="1:5">
      <c r="A33" s="109" t="s">
        <v>80</v>
      </c>
      <c r="B33" s="29"/>
    </row>
    <row r="34" spans="1:5">
      <c r="A34" s="100" t="s">
        <v>81</v>
      </c>
      <c r="B34" s="277">
        <v>2.6</v>
      </c>
    </row>
    <row r="35" spans="1:5">
      <c r="A35" s="100" t="s">
        <v>82</v>
      </c>
      <c r="B35" s="277">
        <v>90</v>
      </c>
    </row>
    <row r="36" spans="1:5" ht="12" customHeight="1">
      <c r="A36" s="100" t="s">
        <v>83</v>
      </c>
      <c r="B36" s="277">
        <v>10</v>
      </c>
    </row>
    <row r="37" spans="1:5" ht="12.75" customHeight="1"/>
    <row r="38" spans="1:5" ht="12.75" customHeight="1">
      <c r="A38" s="109" t="s">
        <v>407</v>
      </c>
      <c r="B38" s="29"/>
      <c r="D38" s="348" t="s">
        <v>404</v>
      </c>
      <c r="E38" s="349"/>
    </row>
    <row r="39" spans="1:5" ht="12.75" customHeight="1">
      <c r="A39" s="100" t="s">
        <v>408</v>
      </c>
      <c r="B39" s="277">
        <v>0.45</v>
      </c>
      <c r="D39" s="348" t="s">
        <v>404</v>
      </c>
      <c r="E39" s="349"/>
    </row>
    <row r="40" spans="1:5" ht="12.75" customHeight="1">
      <c r="A40" s="100" t="s">
        <v>409</v>
      </c>
      <c r="B40" s="351">
        <v>7</v>
      </c>
      <c r="D40" s="348" t="s">
        <v>404</v>
      </c>
      <c r="E40" s="349"/>
    </row>
    <row r="41" spans="1:5" ht="12.75" customHeight="1"/>
    <row r="42" spans="1:5" ht="18.75" customHeight="1">
      <c r="A42" s="109" t="s">
        <v>122</v>
      </c>
      <c r="B42" s="54"/>
    </row>
    <row r="43" spans="1:5" ht="17.25" customHeight="1">
      <c r="A43" s="100" t="s">
        <v>207</v>
      </c>
      <c r="B43" s="278">
        <v>2.9279999999999999</v>
      </c>
    </row>
    <row r="44" spans="1:5">
      <c r="A44" s="100" t="s">
        <v>123</v>
      </c>
      <c r="B44" s="279">
        <v>4.41</v>
      </c>
    </row>
    <row r="45" spans="1:5" ht="15" customHeight="1">
      <c r="A45" s="100" t="s">
        <v>124</v>
      </c>
      <c r="B45" s="279">
        <v>16</v>
      </c>
    </row>
    <row r="46" spans="1:5" ht="11.25" customHeight="1">
      <c r="A46" s="100" t="s">
        <v>125</v>
      </c>
      <c r="B46" s="279">
        <v>10.17</v>
      </c>
    </row>
    <row r="47" spans="1:5" ht="13.5" customHeight="1">
      <c r="A47" s="100" t="s">
        <v>126</v>
      </c>
      <c r="B47" s="279">
        <v>35.700000000000003</v>
      </c>
    </row>
    <row r="48" spans="1:5" ht="13.5" customHeight="1">
      <c r="A48" s="100" t="s">
        <v>386</v>
      </c>
      <c r="B48" s="332">
        <v>5</v>
      </c>
    </row>
    <row r="49" spans="1:4" ht="18" customHeight="1">
      <c r="A49" s="109" t="s">
        <v>384</v>
      </c>
      <c r="B49" s="63"/>
    </row>
    <row r="50" spans="1:4" ht="13.5" customHeight="1">
      <c r="A50" s="100" t="s">
        <v>385</v>
      </c>
      <c r="B50" s="105">
        <f>ABS(B8)+B13/2*(B11+B18)/57.3-0.5*(B44+B13/2/B9*(B46-B44))</f>
        <v>8.1827591169737772</v>
      </c>
    </row>
    <row r="52" spans="1:4">
      <c r="A52" s="2" t="s">
        <v>12</v>
      </c>
      <c r="C52" s="5"/>
    </row>
    <row r="53" spans="1:4">
      <c r="A53" s="110" t="s">
        <v>127</v>
      </c>
      <c r="B53" s="280">
        <v>6.4</v>
      </c>
      <c r="C53" t="s">
        <v>85</v>
      </c>
      <c r="D53" t="s">
        <v>128</v>
      </c>
    </row>
    <row r="54" spans="1:4">
      <c r="A54" s="110" t="s">
        <v>129</v>
      </c>
      <c r="B54" s="280">
        <v>3.5939999999999999</v>
      </c>
      <c r="C54" t="s">
        <v>85</v>
      </c>
      <c r="D54" s="274" t="s">
        <v>382</v>
      </c>
    </row>
    <row r="55" spans="1:4" ht="10.9" customHeight="1">
      <c r="A55" s="110" t="s">
        <v>130</v>
      </c>
      <c r="B55" s="280">
        <v>3.09</v>
      </c>
      <c r="C55" t="s">
        <v>85</v>
      </c>
      <c r="D55" t="s">
        <v>131</v>
      </c>
    </row>
    <row r="56" spans="1:4">
      <c r="A56" s="110" t="s">
        <v>132</v>
      </c>
      <c r="B56" s="280">
        <v>0.1</v>
      </c>
      <c r="C56" t="s">
        <v>85</v>
      </c>
      <c r="D56" s="274" t="s">
        <v>377</v>
      </c>
    </row>
    <row r="57" spans="1:4">
      <c r="A57" s="18" t="s">
        <v>133</v>
      </c>
      <c r="B57" s="281">
        <v>7850</v>
      </c>
      <c r="C57" t="s">
        <v>102</v>
      </c>
    </row>
    <row r="58" spans="1:4">
      <c r="A58" s="18" t="s">
        <v>134</v>
      </c>
      <c r="B58" s="280">
        <v>-6</v>
      </c>
      <c r="C58" t="s">
        <v>85</v>
      </c>
      <c r="D58" t="s">
        <v>135</v>
      </c>
    </row>
    <row r="59" spans="1:4">
      <c r="A59" s="18" t="s">
        <v>136</v>
      </c>
      <c r="B59" s="280">
        <v>0</v>
      </c>
      <c r="C59" t="s">
        <v>85</v>
      </c>
    </row>
    <row r="60" spans="1:4">
      <c r="A60" s="18" t="s">
        <v>137</v>
      </c>
      <c r="B60" s="280">
        <v>0</v>
      </c>
      <c r="C60" t="s">
        <v>85</v>
      </c>
    </row>
    <row r="61" spans="1:4">
      <c r="A61" s="18"/>
      <c r="B61" s="124"/>
    </row>
    <row r="62" spans="1:4">
      <c r="A62" s="111" t="s">
        <v>138</v>
      </c>
      <c r="B62" s="125"/>
    </row>
    <row r="63" spans="1:4">
      <c r="A63" s="18" t="s">
        <v>139</v>
      </c>
      <c r="B63" s="280">
        <v>3.6</v>
      </c>
      <c r="C63" t="s">
        <v>85</v>
      </c>
      <c r="D63" t="s">
        <v>380</v>
      </c>
    </row>
    <row r="64" spans="1:4">
      <c r="A64" s="18" t="s">
        <v>140</v>
      </c>
      <c r="B64" s="280">
        <v>1.04</v>
      </c>
      <c r="C64" t="s">
        <v>85</v>
      </c>
    </row>
    <row r="65" spans="1:4">
      <c r="A65" s="18" t="s">
        <v>141</v>
      </c>
      <c r="B65" s="280">
        <v>0.52</v>
      </c>
      <c r="C65" t="s">
        <v>85</v>
      </c>
      <c r="D65" t="s">
        <v>142</v>
      </c>
    </row>
    <row r="66" spans="1:4">
      <c r="A66" s="18" t="s">
        <v>133</v>
      </c>
      <c r="B66" s="281">
        <v>7850</v>
      </c>
      <c r="C66" t="s">
        <v>102</v>
      </c>
    </row>
    <row r="67" spans="1:4">
      <c r="A67" s="18" t="s">
        <v>136</v>
      </c>
      <c r="B67" s="280">
        <v>0</v>
      </c>
      <c r="C67" t="s">
        <v>85</v>
      </c>
      <c r="D67" t="s">
        <v>143</v>
      </c>
    </row>
    <row r="68" spans="1:4">
      <c r="A68" s="18" t="s">
        <v>137</v>
      </c>
      <c r="B68" s="280">
        <v>0</v>
      </c>
      <c r="C68" t="s">
        <v>85</v>
      </c>
    </row>
    <row r="69" spans="1:4">
      <c r="A69" s="18"/>
      <c r="B69" s="124"/>
    </row>
    <row r="70" spans="1:4">
      <c r="A70" s="111" t="s">
        <v>144</v>
      </c>
      <c r="B70" s="125"/>
    </row>
    <row r="71" spans="1:4">
      <c r="A71" s="18" t="s">
        <v>145</v>
      </c>
      <c r="B71" s="280">
        <v>-4.2</v>
      </c>
      <c r="C71" t="s">
        <v>85</v>
      </c>
      <c r="D71" t="s">
        <v>146</v>
      </c>
    </row>
    <row r="72" spans="1:4">
      <c r="A72" s="18" t="s">
        <v>147</v>
      </c>
      <c r="B72" s="280">
        <v>0</v>
      </c>
      <c r="C72" t="s">
        <v>85</v>
      </c>
    </row>
    <row r="73" spans="1:4">
      <c r="A73" s="18" t="s">
        <v>148</v>
      </c>
      <c r="B73" s="280">
        <v>0</v>
      </c>
      <c r="C73" t="s">
        <v>85</v>
      </c>
    </row>
    <row r="74" spans="1:4">
      <c r="A74" s="18" t="s">
        <v>149</v>
      </c>
      <c r="B74" s="280">
        <v>-1.2</v>
      </c>
      <c r="C74" t="s">
        <v>85</v>
      </c>
      <c r="D74" t="s">
        <v>150</v>
      </c>
    </row>
    <row r="75" spans="1:4">
      <c r="A75" s="18" t="s">
        <v>151</v>
      </c>
      <c r="B75" s="280">
        <v>0</v>
      </c>
      <c r="C75" t="s">
        <v>85</v>
      </c>
    </row>
    <row r="76" spans="1:4">
      <c r="A76" s="18" t="s">
        <v>152</v>
      </c>
      <c r="B76" s="280">
        <v>0</v>
      </c>
      <c r="C76" t="s">
        <v>85</v>
      </c>
    </row>
    <row r="77" spans="1:4">
      <c r="A77" s="18"/>
      <c r="B77" s="125"/>
    </row>
    <row r="78" spans="1:4">
      <c r="A78" s="111" t="s">
        <v>153</v>
      </c>
      <c r="B78" s="125"/>
    </row>
    <row r="79" spans="1:4">
      <c r="A79" s="18" t="s">
        <v>154</v>
      </c>
      <c r="B79" s="282">
        <v>42259</v>
      </c>
      <c r="C79" t="s">
        <v>117</v>
      </c>
      <c r="D79" t="s">
        <v>155</v>
      </c>
    </row>
    <row r="80" spans="1:4">
      <c r="A80" s="18" t="s">
        <v>134</v>
      </c>
      <c r="B80" s="280">
        <v>0</v>
      </c>
      <c r="C80" t="s">
        <v>85</v>
      </c>
      <c r="D80" t="s">
        <v>156</v>
      </c>
    </row>
    <row r="81" spans="1:4">
      <c r="A81" s="18" t="s">
        <v>136</v>
      </c>
      <c r="B81" s="280">
        <v>0</v>
      </c>
      <c r="C81" t="s">
        <v>85</v>
      </c>
    </row>
    <row r="82" spans="1:4">
      <c r="A82" s="18" t="s">
        <v>137</v>
      </c>
      <c r="B82" s="280">
        <v>0</v>
      </c>
      <c r="C82" t="s">
        <v>85</v>
      </c>
    </row>
    <row r="83" spans="1:4">
      <c r="A83" s="18" t="s">
        <v>395</v>
      </c>
      <c r="B83" s="280">
        <v>75</v>
      </c>
      <c r="C83" t="s">
        <v>396</v>
      </c>
    </row>
    <row r="84" spans="1:4">
      <c r="A84" s="18" t="s">
        <v>397</v>
      </c>
      <c r="B84" s="280">
        <v>1800</v>
      </c>
      <c r="C84" t="s">
        <v>398</v>
      </c>
    </row>
    <row r="85" spans="1:4">
      <c r="A85" s="18" t="s">
        <v>157</v>
      </c>
      <c r="B85" s="336">
        <f>1800/B86</f>
        <v>160.84954386379741</v>
      </c>
    </row>
    <row r="86" spans="1:4">
      <c r="A86" s="18" t="s">
        <v>158</v>
      </c>
      <c r="B86" s="336">
        <f>B83/B13*2*30/PI()</f>
        <v>11.190581936148892</v>
      </c>
      <c r="D86" t="s">
        <v>381</v>
      </c>
    </row>
    <row r="87" spans="1:4">
      <c r="A87" s="18"/>
      <c r="B87" s="123"/>
    </row>
    <row r="88" spans="1:4">
      <c r="A88" s="111" t="s">
        <v>159</v>
      </c>
      <c r="B88" s="125"/>
    </row>
    <row r="89" spans="1:4">
      <c r="A89" s="18" t="s">
        <v>160</v>
      </c>
      <c r="B89" s="283">
        <v>5000</v>
      </c>
      <c r="C89" t="s">
        <v>161</v>
      </c>
    </row>
    <row r="90" spans="1:4">
      <c r="A90" s="18" t="s">
        <v>134</v>
      </c>
      <c r="B90" s="280">
        <v>1.5</v>
      </c>
      <c r="C90" t="s">
        <v>85</v>
      </c>
      <c r="D90" t="s">
        <v>162</v>
      </c>
    </row>
    <row r="91" spans="1:4">
      <c r="A91" s="18" t="s">
        <v>136</v>
      </c>
      <c r="B91" s="284">
        <v>0</v>
      </c>
      <c r="C91" t="s">
        <v>85</v>
      </c>
    </row>
    <row r="92" spans="1:4">
      <c r="A92" s="18" t="s">
        <v>137</v>
      </c>
      <c r="B92" s="284">
        <v>0</v>
      </c>
      <c r="C92" t="s">
        <v>85</v>
      </c>
    </row>
    <row r="93" spans="1:4">
      <c r="A93" s="18"/>
      <c r="B93" s="126"/>
    </row>
    <row r="94" spans="1:4">
      <c r="A94" s="111" t="s">
        <v>163</v>
      </c>
      <c r="B94" s="126"/>
    </row>
    <row r="95" spans="1:4">
      <c r="A95" s="18" t="s">
        <v>139</v>
      </c>
      <c r="B95" s="284">
        <v>4.2</v>
      </c>
      <c r="C95" t="s">
        <v>85</v>
      </c>
      <c r="D95" t="s">
        <v>164</v>
      </c>
    </row>
    <row r="96" spans="1:4">
      <c r="A96" s="18" t="s">
        <v>165</v>
      </c>
      <c r="B96" s="280">
        <v>4.5</v>
      </c>
      <c r="C96" t="s">
        <v>85</v>
      </c>
      <c r="D96" t="s">
        <v>166</v>
      </c>
    </row>
    <row r="97" spans="1:11">
      <c r="A97" s="18" t="s">
        <v>167</v>
      </c>
      <c r="B97" s="280">
        <v>2.2080000000000002</v>
      </c>
      <c r="C97" t="s">
        <v>85</v>
      </c>
    </row>
    <row r="98" spans="1:11">
      <c r="A98" s="18" t="s">
        <v>168</v>
      </c>
      <c r="B98" s="280">
        <v>0.39100000000000001</v>
      </c>
      <c r="C98" t="s">
        <v>85</v>
      </c>
    </row>
    <row r="99" spans="1:11">
      <c r="A99" s="18" t="s">
        <v>169</v>
      </c>
      <c r="B99" s="280">
        <v>0.35299999999999998</v>
      </c>
      <c r="C99" t="s">
        <v>85</v>
      </c>
    </row>
    <row r="100" spans="1:11">
      <c r="A100" s="18" t="s">
        <v>133</v>
      </c>
      <c r="B100" s="281">
        <v>7850</v>
      </c>
      <c r="C100" t="s">
        <v>85</v>
      </c>
    </row>
    <row r="101" spans="1:11">
      <c r="A101" s="18" t="s">
        <v>134</v>
      </c>
      <c r="B101" s="284">
        <v>0</v>
      </c>
      <c r="C101" t="s">
        <v>85</v>
      </c>
    </row>
    <row r="102" spans="1:11">
      <c r="A102" s="18" t="s">
        <v>136</v>
      </c>
      <c r="B102" s="284">
        <v>0</v>
      </c>
      <c r="C102" t="s">
        <v>85</v>
      </c>
    </row>
    <row r="103" spans="1:11">
      <c r="A103" s="18" t="s">
        <v>137</v>
      </c>
      <c r="B103" s="284">
        <v>-1.464</v>
      </c>
      <c r="C103" t="s">
        <v>85</v>
      </c>
      <c r="D103" t="s">
        <v>170</v>
      </c>
    </row>
    <row r="105" spans="1:11">
      <c r="A105" s="111" t="s">
        <v>389</v>
      </c>
    </row>
    <row r="106" spans="1:11">
      <c r="A106" s="333" t="s">
        <v>390</v>
      </c>
      <c r="B106" s="334">
        <f>'Blade Data'!R32*B10+E8</f>
        <v>209406.61759284293</v>
      </c>
      <c r="C106" t="s">
        <v>117</v>
      </c>
    </row>
    <row r="107" spans="1:11">
      <c r="A107" s="333" t="s">
        <v>391</v>
      </c>
      <c r="B107" s="334">
        <f>E5+E6+E7</f>
        <v>270668.70913834521</v>
      </c>
      <c r="C107" t="s">
        <v>117</v>
      </c>
    </row>
    <row r="108" spans="1:11">
      <c r="A108" s="333" t="s">
        <v>392</v>
      </c>
      <c r="B108" s="334">
        <f>B106+B107</f>
        <v>480075.32673118811</v>
      </c>
      <c r="C108" t="s">
        <v>117</v>
      </c>
    </row>
    <row r="109" spans="1:11">
      <c r="A109" s="18" t="s">
        <v>399</v>
      </c>
      <c r="B109" s="334">
        <f>GECtwrdata!O26</f>
        <v>775097.181771609</v>
      </c>
      <c r="C109" t="s">
        <v>117</v>
      </c>
    </row>
    <row r="110" spans="1:11">
      <c r="A110" t="s">
        <v>348</v>
      </c>
      <c r="H110" t="s">
        <v>320</v>
      </c>
      <c r="I110" s="184"/>
      <c r="J110" s="184"/>
    </row>
    <row r="111" spans="1:11" ht="14.25">
      <c r="A111" s="185"/>
      <c r="B111" s="186"/>
      <c r="C111" s="187" t="s">
        <v>321</v>
      </c>
      <c r="D111" s="188"/>
      <c r="E111" s="186"/>
      <c r="F111" s="189" t="s">
        <v>322</v>
      </c>
      <c r="G111" s="190"/>
      <c r="H111" s="185"/>
      <c r="I111" s="191" t="s">
        <v>333</v>
      </c>
      <c r="J111" s="191" t="s">
        <v>334</v>
      </c>
      <c r="K111" s="192" t="s">
        <v>335</v>
      </c>
    </row>
    <row r="112" spans="1:11" ht="13.5">
      <c r="A112" s="193" t="s">
        <v>87</v>
      </c>
      <c r="B112" s="176" t="s">
        <v>336</v>
      </c>
      <c r="C112" s="176" t="s">
        <v>337</v>
      </c>
      <c r="D112" s="177" t="s">
        <v>338</v>
      </c>
      <c r="E112" s="177" t="s">
        <v>339</v>
      </c>
      <c r="F112" s="176" t="s">
        <v>340</v>
      </c>
      <c r="G112" s="194" t="s">
        <v>341</v>
      </c>
      <c r="H112" s="193" t="s">
        <v>87</v>
      </c>
      <c r="I112" s="176" t="s">
        <v>342</v>
      </c>
      <c r="J112" s="176" t="s">
        <v>342</v>
      </c>
      <c r="K112" s="195" t="s">
        <v>342</v>
      </c>
    </row>
    <row r="113" spans="1:13" ht="12">
      <c r="A113" s="285">
        <v>7.0000000000000007E-2</v>
      </c>
      <c r="B113" s="286">
        <v>1744.3133922079908</v>
      </c>
      <c r="C113" s="287">
        <v>29122938.297288962</v>
      </c>
      <c r="D113" s="288">
        <v>3620</v>
      </c>
      <c r="E113" s="289">
        <v>3620</v>
      </c>
      <c r="F113" s="287">
        <v>29122938.297288962</v>
      </c>
      <c r="G113" s="290">
        <v>3620</v>
      </c>
      <c r="H113" s="291">
        <v>7.0000000000000007E-2</v>
      </c>
      <c r="I113" s="292">
        <v>1.2430064449702122E-4</v>
      </c>
      <c r="J113" s="292">
        <v>1.2430064449702122E-4</v>
      </c>
      <c r="K113" s="293">
        <v>1.2430064449702122E-4</v>
      </c>
    </row>
    <row r="114" spans="1:13" ht="12">
      <c r="A114" s="294">
        <v>0.25</v>
      </c>
      <c r="B114" s="286">
        <v>820.83943163266395</v>
      </c>
      <c r="C114" s="287">
        <v>18532000</v>
      </c>
      <c r="D114" s="288">
        <v>3620</v>
      </c>
      <c r="E114" s="289">
        <v>3831.1603891089389</v>
      </c>
      <c r="F114" s="287">
        <v>3703647.8899118411</v>
      </c>
      <c r="G114" s="290">
        <v>975.93034057089426</v>
      </c>
      <c r="H114" s="295">
        <v>0.25</v>
      </c>
      <c r="I114" s="287">
        <v>1.9533779408590547E-4</v>
      </c>
      <c r="J114" s="287">
        <v>2.0673215999940313E-4</v>
      </c>
      <c r="K114" s="296">
        <v>2.6350516290416708E-4</v>
      </c>
    </row>
    <row r="115" spans="1:13" ht="12">
      <c r="A115" s="294">
        <v>0.5</v>
      </c>
      <c r="B115" s="286">
        <v>461.4693354399289</v>
      </c>
      <c r="C115" s="287">
        <v>7977800</v>
      </c>
      <c r="D115" s="288">
        <v>3620</v>
      </c>
      <c r="E115" s="289">
        <v>3770.5998818939092</v>
      </c>
      <c r="F115" s="287">
        <v>954719.98330712854</v>
      </c>
      <c r="G115" s="290">
        <v>975.93034057089426</v>
      </c>
      <c r="H115" s="295">
        <v>0.5</v>
      </c>
      <c r="I115" s="287">
        <v>4.537591817292988E-4</v>
      </c>
      <c r="J115" s="287">
        <v>4.7263655166761628E-4</v>
      </c>
      <c r="K115" s="296">
        <v>1.0222163122534562E-3</v>
      </c>
    </row>
    <row r="116" spans="1:13" ht="12">
      <c r="A116" s="297">
        <v>0.75</v>
      </c>
      <c r="B116" s="298">
        <v>280.18826091065512</v>
      </c>
      <c r="C116" s="299">
        <v>2056600</v>
      </c>
      <c r="D116" s="300">
        <v>3620</v>
      </c>
      <c r="E116" s="301">
        <v>3790.393874645878</v>
      </c>
      <c r="F116" s="299">
        <v>332680.49931206577</v>
      </c>
      <c r="G116" s="302">
        <v>975.93034057089426</v>
      </c>
      <c r="H116" s="303">
        <v>0.75</v>
      </c>
      <c r="I116" s="299">
        <v>1.7601867159389283E-3</v>
      </c>
      <c r="J116" s="299">
        <v>1.8430389354497122E-3</v>
      </c>
      <c r="K116" s="304">
        <v>2.9335363587254869E-3</v>
      </c>
    </row>
    <row r="118" spans="1:13">
      <c r="A118" t="s">
        <v>349</v>
      </c>
    </row>
    <row r="119" spans="1:13" ht="13.5">
      <c r="A119" s="185"/>
      <c r="B119" s="189" t="s">
        <v>88</v>
      </c>
      <c r="C119" s="189" t="s">
        <v>323</v>
      </c>
      <c r="D119" s="189" t="s">
        <v>89</v>
      </c>
      <c r="E119" s="196" t="s">
        <v>324</v>
      </c>
      <c r="F119" s="189" t="s">
        <v>325</v>
      </c>
      <c r="G119" s="189" t="s">
        <v>326</v>
      </c>
      <c r="H119" s="189" t="s">
        <v>327</v>
      </c>
      <c r="I119" s="189" t="s">
        <v>343</v>
      </c>
      <c r="J119" s="189" t="s">
        <v>344</v>
      </c>
      <c r="K119" s="189" t="s">
        <v>113</v>
      </c>
      <c r="L119" s="189" t="s">
        <v>112</v>
      </c>
      <c r="M119" s="197" t="s">
        <v>345</v>
      </c>
    </row>
    <row r="120" spans="1:13" ht="13.5">
      <c r="A120" s="193" t="s">
        <v>87</v>
      </c>
      <c r="B120" s="176" t="s">
        <v>90</v>
      </c>
      <c r="C120" s="176" t="s">
        <v>328</v>
      </c>
      <c r="D120" s="176" t="s">
        <v>329</v>
      </c>
      <c r="E120" s="176" t="s">
        <v>330</v>
      </c>
      <c r="F120" s="176" t="s">
        <v>330</v>
      </c>
      <c r="G120" s="176" t="s">
        <v>330</v>
      </c>
      <c r="H120" s="176" t="s">
        <v>331</v>
      </c>
      <c r="I120" s="176" t="s">
        <v>346</v>
      </c>
      <c r="J120" s="176" t="s">
        <v>346</v>
      </c>
      <c r="K120" s="176" t="s">
        <v>332</v>
      </c>
      <c r="L120" s="176" t="s">
        <v>346</v>
      </c>
      <c r="M120" s="195" t="s">
        <v>357</v>
      </c>
    </row>
    <row r="121" spans="1:13">
      <c r="A121" s="305">
        <v>0.05</v>
      </c>
      <c r="B121" s="306">
        <v>3.456438912877827</v>
      </c>
      <c r="C121" s="307">
        <v>1</v>
      </c>
      <c r="D121" s="307" t="s">
        <v>378</v>
      </c>
      <c r="E121" s="346">
        <v>0.25</v>
      </c>
      <c r="F121" s="306">
        <v>0.5</v>
      </c>
      <c r="G121" s="306">
        <v>0.5</v>
      </c>
      <c r="H121" s="309">
        <v>3708.4116472912633</v>
      </c>
      <c r="I121" s="310">
        <v>63720689411.753181</v>
      </c>
      <c r="J121" s="310">
        <v>63720689411.753181</v>
      </c>
      <c r="K121" s="310">
        <v>42582928810.746231</v>
      </c>
      <c r="L121" s="310">
        <v>22057695577.548672</v>
      </c>
      <c r="M121" s="311">
        <v>11076.026331706065</v>
      </c>
    </row>
    <row r="122" spans="1:13">
      <c r="A122" s="285">
        <v>7.0000000000000007E-2</v>
      </c>
      <c r="B122" s="312">
        <v>3.4564389128778257</v>
      </c>
      <c r="C122" s="313">
        <v>1</v>
      </c>
      <c r="D122" s="313" t="s">
        <v>378</v>
      </c>
      <c r="E122" s="346">
        <v>0.25</v>
      </c>
      <c r="F122" s="312">
        <v>0.5</v>
      </c>
      <c r="G122" s="312">
        <v>0.5</v>
      </c>
      <c r="H122" s="314">
        <v>622.32317170970805</v>
      </c>
      <c r="I122" s="315">
        <v>14036801421.634676</v>
      </c>
      <c r="J122" s="315">
        <v>14036801421.634676</v>
      </c>
      <c r="K122" s="315">
        <v>9469182296.3330479</v>
      </c>
      <c r="L122" s="315">
        <v>4904988079.2989025</v>
      </c>
      <c r="M122" s="316">
        <v>1858.7116243479393</v>
      </c>
    </row>
    <row r="123" spans="1:13">
      <c r="A123" s="294">
        <v>0.25</v>
      </c>
      <c r="B123" s="312">
        <v>5.11988823977648</v>
      </c>
      <c r="C123" s="313">
        <v>0.33</v>
      </c>
      <c r="D123" s="313">
        <v>4.4774839135584772</v>
      </c>
      <c r="E123" s="308">
        <v>0.34</v>
      </c>
      <c r="F123" s="312">
        <v>0.40155924806474785</v>
      </c>
      <c r="G123" s="312">
        <v>0.32671302753123166</v>
      </c>
      <c r="H123" s="314">
        <v>684.40053797312055</v>
      </c>
      <c r="I123" s="315">
        <v>4203286116.1718955</v>
      </c>
      <c r="J123" s="315">
        <v>12611588173.054085</v>
      </c>
      <c r="K123" s="317">
        <v>9141425662.3435383</v>
      </c>
      <c r="L123" s="317">
        <v>145303921.84035307</v>
      </c>
      <c r="M123" s="318">
        <v>959.83453034575007</v>
      </c>
    </row>
    <row r="124" spans="1:13">
      <c r="A124" s="294">
        <v>0.5</v>
      </c>
      <c r="B124" s="312">
        <v>3.9255778511557029</v>
      </c>
      <c r="C124" s="313">
        <v>0.24</v>
      </c>
      <c r="D124" s="313">
        <v>8.9761837714735897</v>
      </c>
      <c r="E124" s="308">
        <v>0.31</v>
      </c>
      <c r="F124" s="312">
        <v>0.37588941559495792</v>
      </c>
      <c r="G124" s="312">
        <v>0.32336301372350362</v>
      </c>
      <c r="H124" s="314">
        <v>516.27028971966695</v>
      </c>
      <c r="I124" s="315">
        <v>1017265797.32573</v>
      </c>
      <c r="J124" s="315">
        <v>2540323261.1101747</v>
      </c>
      <c r="K124" s="317">
        <v>6898689157.7993288</v>
      </c>
      <c r="L124" s="317">
        <v>57861076.091574006</v>
      </c>
      <c r="M124" s="318">
        <v>304.44012217310359</v>
      </c>
    </row>
    <row r="125" spans="1:13">
      <c r="A125" s="294">
        <v>0.75</v>
      </c>
      <c r="B125" s="312">
        <v>2.7312674625349254</v>
      </c>
      <c r="C125" s="313">
        <v>0.21</v>
      </c>
      <c r="D125" s="313">
        <v>8.8011309411295144</v>
      </c>
      <c r="E125" s="308">
        <v>0.28000000000000003</v>
      </c>
      <c r="F125" s="312">
        <v>0.38745755696890288</v>
      </c>
      <c r="G125" s="312">
        <v>0.3261326391065098</v>
      </c>
      <c r="H125" s="314">
        <v>225.15720776799671</v>
      </c>
      <c r="I125" s="315">
        <v>159223885.56322324</v>
      </c>
      <c r="J125" s="315">
        <v>610414304.9755882</v>
      </c>
      <c r="K125" s="317">
        <v>2907294183.0127583</v>
      </c>
      <c r="L125" s="317">
        <v>11605234.21344462</v>
      </c>
      <c r="M125" s="318">
        <v>65.910007513233523</v>
      </c>
    </row>
    <row r="126" spans="1:13">
      <c r="A126" s="319">
        <v>1</v>
      </c>
      <c r="B126" s="320">
        <v>1.6565913131826264</v>
      </c>
      <c r="C126" s="321">
        <v>0.16</v>
      </c>
      <c r="D126" s="321">
        <v>0</v>
      </c>
      <c r="E126" s="320">
        <v>0.25</v>
      </c>
      <c r="F126" s="320">
        <v>0.49249999999999999</v>
      </c>
      <c r="G126" s="320">
        <v>0.35780000000000001</v>
      </c>
      <c r="H126" s="322">
        <v>21.986079158927165</v>
      </c>
      <c r="I126" s="323">
        <v>1559775.5371830396</v>
      </c>
      <c r="J126" s="323">
        <v>53624369.654070929</v>
      </c>
      <c r="K126" s="324">
        <v>235713983.59357151</v>
      </c>
      <c r="L126" s="324">
        <v>1237516.5813282721</v>
      </c>
      <c r="M126" s="325">
        <v>5.4492188866567579</v>
      </c>
    </row>
    <row r="128" spans="1:13">
      <c r="B128" s="18" t="s">
        <v>350</v>
      </c>
      <c r="C128" s="200"/>
      <c r="D128" t="s">
        <v>351</v>
      </c>
      <c r="H128" t="s">
        <v>410</v>
      </c>
    </row>
    <row r="130" spans="1:7">
      <c r="A130" t="s">
        <v>369</v>
      </c>
    </row>
    <row r="131" spans="1:7">
      <c r="A131" s="185"/>
      <c r="B131" s="231" t="s">
        <v>364</v>
      </c>
      <c r="C131" s="352" t="s">
        <v>411</v>
      </c>
      <c r="D131" s="190"/>
    </row>
    <row r="132" spans="1:7" ht="12">
      <c r="A132" s="193" t="s">
        <v>87</v>
      </c>
      <c r="B132" s="234" t="s">
        <v>367</v>
      </c>
      <c r="C132" s="226"/>
      <c r="D132" s="227"/>
    </row>
    <row r="133" spans="1:7">
      <c r="A133" s="237">
        <f t="shared" ref="A133:A138" si="0">A121</f>
        <v>0.05</v>
      </c>
      <c r="B133" s="257">
        <v>10.5</v>
      </c>
      <c r="C133" s="326"/>
      <c r="D133" s="342">
        <v>1</v>
      </c>
    </row>
    <row r="134" spans="1:7">
      <c r="A134" s="242">
        <f t="shared" si="0"/>
        <v>7.0000000000000007E-2</v>
      </c>
      <c r="B134" s="258">
        <v>10.5</v>
      </c>
      <c r="C134" s="327"/>
      <c r="D134" s="344">
        <v>1</v>
      </c>
    </row>
    <row r="135" spans="1:7">
      <c r="A135" s="242">
        <f t="shared" si="0"/>
        <v>0.25</v>
      </c>
      <c r="B135" s="329">
        <v>10.5</v>
      </c>
      <c r="C135" s="353"/>
      <c r="D135" s="344">
        <v>2</v>
      </c>
    </row>
    <row r="136" spans="1:7">
      <c r="A136" s="242">
        <f t="shared" si="0"/>
        <v>0.5</v>
      </c>
      <c r="B136" s="329">
        <v>2.5</v>
      </c>
      <c r="C136" s="327"/>
      <c r="D136" s="344">
        <v>2.5</v>
      </c>
    </row>
    <row r="137" spans="1:7">
      <c r="A137" s="242">
        <f t="shared" si="0"/>
        <v>0.75</v>
      </c>
      <c r="B137" s="329">
        <v>0</v>
      </c>
      <c r="C137" s="327"/>
      <c r="D137" s="344">
        <v>3</v>
      </c>
    </row>
    <row r="138" spans="1:7">
      <c r="A138" s="248">
        <f t="shared" si="0"/>
        <v>1</v>
      </c>
      <c r="B138" s="330">
        <v>-0.6</v>
      </c>
      <c r="C138" s="328"/>
      <c r="D138" s="354">
        <v>4</v>
      </c>
    </row>
    <row r="140" spans="1:7" ht="12">
      <c r="A140" s="337" t="s">
        <v>401</v>
      </c>
      <c r="B140" s="338" t="s">
        <v>402</v>
      </c>
      <c r="C140" s="339"/>
    </row>
    <row r="141" spans="1:7">
      <c r="A141" s="340">
        <v>1</v>
      </c>
      <c r="B141" s="341"/>
      <c r="C141" s="342" t="s">
        <v>379</v>
      </c>
      <c r="E141" s="355"/>
    </row>
    <row r="142" spans="1:7">
      <c r="A142" s="340">
        <v>2</v>
      </c>
      <c r="B142" s="343"/>
      <c r="C142" s="344" t="s">
        <v>412</v>
      </c>
      <c r="E142" s="348" t="s">
        <v>413</v>
      </c>
      <c r="F142" s="349"/>
      <c r="G142" s="349"/>
    </row>
    <row r="143" spans="1:7">
      <c r="A143" s="340">
        <v>3</v>
      </c>
      <c r="B143" s="343"/>
      <c r="C143" s="344" t="s">
        <v>414</v>
      </c>
      <c r="E143" s="348" t="s">
        <v>413</v>
      </c>
      <c r="F143" s="349"/>
      <c r="G143" s="349"/>
    </row>
    <row r="144" spans="1:7">
      <c r="A144" s="345">
        <v>4</v>
      </c>
      <c r="B144" s="356"/>
      <c r="C144" s="354" t="s">
        <v>415</v>
      </c>
      <c r="E144" s="348" t="s">
        <v>413</v>
      </c>
      <c r="F144" s="349"/>
      <c r="G144" s="349"/>
    </row>
    <row r="145" spans="1:6" ht="12" thickBot="1"/>
    <row r="146" spans="1:6" ht="12" thickBot="1">
      <c r="A146" s="379" t="s">
        <v>403</v>
      </c>
      <c r="B146" s="381"/>
      <c r="C146" s="382"/>
      <c r="E146" s="348" t="s">
        <v>404</v>
      </c>
      <c r="F146" s="349"/>
    </row>
    <row r="147" spans="1:6" ht="12" thickBot="1">
      <c r="A147" s="357" t="s">
        <v>35</v>
      </c>
      <c r="B147" s="358" t="s">
        <v>36</v>
      </c>
      <c r="C147" s="358" t="s">
        <v>37</v>
      </c>
      <c r="E147" s="348" t="s">
        <v>404</v>
      </c>
      <c r="F147" s="349"/>
    </row>
    <row r="148" spans="1:6" ht="12" thickBot="1">
      <c r="A148" s="359">
        <v>3.882E-2</v>
      </c>
      <c r="B148" s="360">
        <v>3.882E-2</v>
      </c>
      <c r="C148" s="361">
        <v>5.8999999999999997E-2</v>
      </c>
      <c r="E148" s="348" t="s">
        <v>404</v>
      </c>
      <c r="F148" s="349"/>
    </row>
    <row r="149" spans="1:6" ht="12" thickBot="1"/>
    <row r="150" spans="1:6" ht="12" thickBot="1">
      <c r="A150" s="379" t="s">
        <v>416</v>
      </c>
      <c r="B150" s="380"/>
      <c r="C150" s="362"/>
      <c r="E150" s="348" t="s">
        <v>404</v>
      </c>
      <c r="F150" s="349"/>
    </row>
    <row r="151" spans="1:6">
      <c r="A151" s="363" t="s">
        <v>50</v>
      </c>
      <c r="B151" s="364">
        <v>3.4349999999999999E-2</v>
      </c>
      <c r="C151" s="365"/>
      <c r="E151" s="348" t="s">
        <v>404</v>
      </c>
      <c r="F151" s="349"/>
    </row>
    <row r="152" spans="1:6">
      <c r="A152" s="366" t="s">
        <v>51</v>
      </c>
      <c r="B152" s="367">
        <v>3.4349999999999999E-2</v>
      </c>
      <c r="C152" s="368"/>
      <c r="E152" s="348" t="s">
        <v>404</v>
      </c>
      <c r="F152" s="349"/>
    </row>
    <row r="153" spans="1:6">
      <c r="A153" s="369" t="s">
        <v>52</v>
      </c>
      <c r="B153" s="367">
        <v>3.4349999999999999E-2</v>
      </c>
      <c r="E153" s="348" t="s">
        <v>404</v>
      </c>
      <c r="F153" s="349"/>
    </row>
    <row r="154" spans="1:6" ht="12" thickBot="1">
      <c r="A154" s="370" t="s">
        <v>53</v>
      </c>
      <c r="B154" s="371">
        <v>3.4349999999999999E-2</v>
      </c>
      <c r="E154" s="348" t="s">
        <v>404</v>
      </c>
      <c r="F154" s="349"/>
    </row>
  </sheetData>
  <mergeCells count="7">
    <mergeCell ref="A150:B150"/>
    <mergeCell ref="A146:C146"/>
    <mergeCell ref="B3:D3"/>
    <mergeCell ref="F3:H3"/>
    <mergeCell ref="C1:H1"/>
    <mergeCell ref="D20:F20"/>
    <mergeCell ref="D19:F19"/>
  </mergeCells>
  <phoneticPr fontId="0" type="noConversion"/>
  <pageMargins left="0.75" right="0.75" top="1" bottom="1" header="0.5" footer="0.5"/>
  <pageSetup scale="47" orientation="portrait" horizontalDpi="4294967295" verticalDpi="4294967295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workbookViewId="0">
      <selection activeCell="W12" sqref="W12"/>
    </sheetView>
  </sheetViews>
  <sheetFormatPr defaultRowHeight="11.25"/>
  <cols>
    <col min="1" max="1" width="15.1640625" customWidth="1"/>
    <col min="2" max="3" width="13.33203125" bestFit="1" customWidth="1"/>
    <col min="4" max="7" width="17" bestFit="1" customWidth="1"/>
    <col min="8" max="8" width="11.83203125" bestFit="1" customWidth="1"/>
    <col min="9" max="9" width="12.5" bestFit="1" customWidth="1"/>
    <col min="10" max="10" width="11.6640625" bestFit="1" customWidth="1"/>
    <col min="11" max="12" width="12.1640625" bestFit="1" customWidth="1"/>
    <col min="13" max="13" width="11.6640625" bestFit="1" customWidth="1"/>
    <col min="14" max="15" width="12.1640625" bestFit="1" customWidth="1"/>
    <col min="16" max="16" width="11.6640625" bestFit="1" customWidth="1"/>
  </cols>
  <sheetData>
    <row r="1" spans="1:23">
      <c r="A1">
        <f>'Main Page'!B13</f>
        <v>128</v>
      </c>
      <c r="W1" t="s">
        <v>417</v>
      </c>
    </row>
    <row r="2" spans="1:23">
      <c r="A2">
        <f>'Main Page'!B53</f>
        <v>6.4</v>
      </c>
      <c r="W2" t="s">
        <v>418</v>
      </c>
    </row>
    <row r="3" spans="1:23">
      <c r="A3" t="str">
        <f>'Main Page'!C141</f>
        <v>cylinder</v>
      </c>
      <c r="B3" t="str">
        <f>'Main Page'!C142</f>
        <v>s818_2703.dat</v>
      </c>
      <c r="C3" t="str">
        <f>'Main Page'!C143</f>
        <v>s825_2103.dat</v>
      </c>
      <c r="D3" t="str">
        <f>'Main Page'!C144</f>
        <v>s826_1603.dat</v>
      </c>
      <c r="W3" t="s">
        <v>419</v>
      </c>
    </row>
    <row r="4" spans="1:23">
      <c r="A4">
        <f>'Main Page'!A148*100</f>
        <v>3.8820000000000001</v>
      </c>
      <c r="B4">
        <f>'Main Page'!B148*100</f>
        <v>3.8820000000000001</v>
      </c>
      <c r="C4" s="103">
        <f>'Main Page'!C148*100</f>
        <v>5.8999999999999995</v>
      </c>
      <c r="W4" s="372" t="s">
        <v>420</v>
      </c>
    </row>
    <row r="5" spans="1:23">
      <c r="A5" s="373">
        <v>0.05</v>
      </c>
      <c r="B5" s="373">
        <v>7.0000000000000007E-2</v>
      </c>
      <c r="C5" s="373">
        <v>0.1</v>
      </c>
      <c r="D5" s="373">
        <v>0.15</v>
      </c>
      <c r="E5" s="373">
        <v>0.2</v>
      </c>
      <c r="F5" s="373">
        <v>0.25</v>
      </c>
      <c r="G5" s="373">
        <v>0.3</v>
      </c>
      <c r="H5" s="373">
        <v>0.35</v>
      </c>
      <c r="I5" s="373">
        <v>0.4</v>
      </c>
      <c r="J5" s="373">
        <v>0.45</v>
      </c>
      <c r="K5" s="373">
        <v>0.5</v>
      </c>
      <c r="L5" s="373">
        <v>0.55000000000000004</v>
      </c>
      <c r="M5" s="373">
        <v>0.6</v>
      </c>
      <c r="N5" s="373">
        <v>0.65</v>
      </c>
      <c r="O5" s="373">
        <v>0.7</v>
      </c>
      <c r="P5" s="373">
        <v>0.75</v>
      </c>
      <c r="Q5" s="373">
        <v>0.8</v>
      </c>
      <c r="R5" s="373">
        <v>0.85</v>
      </c>
      <c r="S5" s="373">
        <v>0.9</v>
      </c>
      <c r="T5" s="373">
        <v>0.95</v>
      </c>
      <c r="U5" s="373">
        <v>1</v>
      </c>
      <c r="W5" s="372" t="s">
        <v>421</v>
      </c>
    </row>
    <row r="6" spans="1:23">
      <c r="A6" s="374">
        <v>0.05</v>
      </c>
      <c r="B6" s="374">
        <v>0.11333333333333333</v>
      </c>
      <c r="C6" s="374">
        <v>0.17666666666666664</v>
      </c>
      <c r="D6" s="374">
        <v>0.24</v>
      </c>
      <c r="E6" s="374">
        <v>0.30333333333333329</v>
      </c>
      <c r="F6" s="374">
        <v>0.36666666666666664</v>
      </c>
      <c r="G6" s="374">
        <v>0.43</v>
      </c>
      <c r="H6" s="374">
        <v>0.49333333333333329</v>
      </c>
      <c r="I6" s="374">
        <v>0.55666666666666664</v>
      </c>
      <c r="J6" s="374">
        <v>0.62</v>
      </c>
      <c r="K6" s="374">
        <v>0.68333333333333335</v>
      </c>
      <c r="L6" s="374">
        <v>0.74666666666666659</v>
      </c>
      <c r="M6" s="374">
        <v>0.81</v>
      </c>
      <c r="N6" s="374">
        <v>0.87333333333333341</v>
      </c>
      <c r="O6" s="374">
        <v>0.93666666666666665</v>
      </c>
      <c r="P6" s="374">
        <v>1</v>
      </c>
      <c r="Q6" s="101"/>
      <c r="W6" s="372" t="s">
        <v>422</v>
      </c>
    </row>
    <row r="7" spans="1:23">
      <c r="A7">
        <f>'Main Page'!B34</f>
        <v>2.6</v>
      </c>
      <c r="B7" s="375"/>
      <c r="C7" s="375"/>
      <c r="D7" s="375"/>
      <c r="E7" s="375"/>
      <c r="F7" s="375"/>
      <c r="G7" s="375"/>
      <c r="H7" s="375"/>
      <c r="I7" s="375"/>
      <c r="J7" s="375"/>
      <c r="K7" s="375"/>
      <c r="L7" s="375"/>
      <c r="M7" s="375"/>
      <c r="N7" s="375"/>
      <c r="O7" s="375"/>
      <c r="P7" s="375"/>
      <c r="Q7" s="101"/>
      <c r="W7" s="372" t="s">
        <v>423</v>
      </c>
    </row>
    <row r="8" spans="1:23">
      <c r="A8">
        <f>'Main Page'!B35</f>
        <v>90</v>
      </c>
      <c r="B8" s="375"/>
      <c r="C8" s="375"/>
      <c r="D8" s="375"/>
      <c r="E8" s="375"/>
      <c r="F8" s="375"/>
      <c r="G8" s="375"/>
      <c r="H8" s="375"/>
      <c r="I8" s="375"/>
      <c r="J8" s="375"/>
      <c r="K8" s="375"/>
      <c r="L8" s="375"/>
      <c r="M8" s="375"/>
      <c r="N8" s="375"/>
      <c r="O8" s="375"/>
      <c r="P8" s="375"/>
      <c r="Q8" s="101"/>
      <c r="W8" s="372" t="s">
        <v>424</v>
      </c>
    </row>
    <row r="9" spans="1:23">
      <c r="A9">
        <f>'Main Page'!B17</f>
        <v>1.2250000000000001</v>
      </c>
      <c r="B9" s="375"/>
      <c r="C9" s="375"/>
      <c r="D9" s="375"/>
      <c r="E9" s="375"/>
      <c r="F9" s="375"/>
      <c r="G9" s="375"/>
      <c r="H9" s="375"/>
      <c r="I9" s="375"/>
      <c r="J9" s="375"/>
      <c r="K9" s="375"/>
      <c r="L9" s="375"/>
      <c r="M9" s="375"/>
      <c r="N9" s="375"/>
      <c r="O9" s="375"/>
      <c r="P9" s="375"/>
      <c r="Q9" s="101"/>
      <c r="W9" s="372" t="s">
        <v>425</v>
      </c>
    </row>
    <row r="10" spans="1:23">
      <c r="A10">
        <f>'Main Page'!B39</f>
        <v>0.45</v>
      </c>
      <c r="B10" s="375"/>
      <c r="C10" s="375"/>
      <c r="D10" s="375"/>
      <c r="E10" s="375"/>
      <c r="F10" s="375"/>
      <c r="G10" s="375"/>
      <c r="H10" s="375"/>
      <c r="I10" s="375"/>
      <c r="J10" s="375"/>
      <c r="K10" s="375"/>
      <c r="L10" s="375"/>
      <c r="M10" s="375"/>
      <c r="N10" s="375"/>
      <c r="O10" s="375"/>
      <c r="P10" s="375"/>
      <c r="Q10" s="101"/>
      <c r="W10" s="372" t="s">
        <v>426</v>
      </c>
    </row>
    <row r="11" spans="1:23">
      <c r="A11" s="376">
        <f>'Main Page'!B40</f>
        <v>7</v>
      </c>
      <c r="B11" s="375"/>
      <c r="C11" s="375"/>
      <c r="D11" s="375"/>
      <c r="E11" s="375"/>
      <c r="F11" s="375"/>
      <c r="G11" s="375"/>
      <c r="H11" s="375"/>
      <c r="I11" s="375"/>
      <c r="J11" s="375"/>
      <c r="K11" s="375"/>
      <c r="L11" s="375"/>
      <c r="M11" s="375"/>
      <c r="N11" s="375"/>
      <c r="O11" s="375"/>
      <c r="P11" s="375"/>
      <c r="Q11" s="101"/>
      <c r="W11" s="372" t="s">
        <v>427</v>
      </c>
    </row>
    <row r="12" spans="1:23">
      <c r="A12" s="103">
        <f>'Main Page'!B16</f>
        <v>64807728</v>
      </c>
      <c r="B12" s="375"/>
      <c r="C12" s="375"/>
      <c r="D12" s="375"/>
      <c r="E12" s="375"/>
      <c r="F12" s="375"/>
      <c r="G12" s="375"/>
      <c r="H12" s="375"/>
      <c r="I12" s="375"/>
      <c r="J12" s="375"/>
      <c r="K12" s="375"/>
      <c r="L12" s="375"/>
      <c r="M12" s="375"/>
      <c r="N12" s="375"/>
      <c r="O12" s="375"/>
      <c r="P12" s="375"/>
      <c r="Q12" s="101"/>
      <c r="W12" s="372" t="s">
        <v>461</v>
      </c>
    </row>
    <row r="13" spans="1:23">
      <c r="A13" s="102" t="str">
        <f>'Main Page'!A120</f>
        <v>Station</v>
      </c>
      <c r="B13" s="102" t="str">
        <f>'Main Page'!H119</f>
        <v>Unit Weight</v>
      </c>
      <c r="C13" s="102" t="str">
        <f>'Main Page'!B131</f>
        <v>Twist</v>
      </c>
      <c r="D13" s="102" t="str">
        <f>'Main Page'!L119</f>
        <v>GJ</v>
      </c>
      <c r="E13" s="102" t="str">
        <f>'Main Page'!K119</f>
        <v>EA</v>
      </c>
      <c r="F13" s="102" t="str">
        <f>'Main Page'!J119</f>
        <v>EIEdge</v>
      </c>
      <c r="G13" s="102" t="str">
        <f>'Main Page'!I119</f>
        <v>EIFlap</v>
      </c>
      <c r="H13" s="102" t="str">
        <f>'Main Page'!B119</f>
        <v>Chord</v>
      </c>
      <c r="I13" s="102" t="str">
        <f>'Main Page'!E119</f>
        <v>Gen. Axis Loc.</v>
      </c>
      <c r="J13" s="102" t="str">
        <f>'Main Page'!A140</f>
        <v>Airfoil ID</v>
      </c>
      <c r="W13" s="372" t="s">
        <v>428</v>
      </c>
    </row>
    <row r="14" spans="1:23">
      <c r="A14" s="102">
        <f>'Main Page'!A121</f>
        <v>0.05</v>
      </c>
      <c r="B14" s="102">
        <f>'Main Page'!H121</f>
        <v>3708.4116472912633</v>
      </c>
      <c r="C14" s="102">
        <f>'Main Page'!B133 - 'Main Page'!B$138</f>
        <v>11.1</v>
      </c>
      <c r="D14" s="102">
        <f>'Main Page'!L121</f>
        <v>22057695577.548672</v>
      </c>
      <c r="E14" s="102">
        <f>'Main Page'!K121</f>
        <v>42582928810.746231</v>
      </c>
      <c r="F14" s="102">
        <f>'Main Page'!J121</f>
        <v>63720689411.753181</v>
      </c>
      <c r="G14" s="102">
        <f>'Main Page'!I121</f>
        <v>63720689411.753181</v>
      </c>
      <c r="H14" s="102">
        <f>'Main Page'!B121</f>
        <v>3.456438912877827</v>
      </c>
      <c r="I14" s="102">
        <f>'Main Page'!E121</f>
        <v>0.25</v>
      </c>
      <c r="J14" s="102">
        <f>'Main Page'!D133</f>
        <v>1</v>
      </c>
    </row>
    <row r="15" spans="1:23">
      <c r="A15" s="102">
        <f>'Main Page'!A122</f>
        <v>7.0000000000000007E-2</v>
      </c>
      <c r="B15" s="102">
        <f>'Main Page'!H122</f>
        <v>622.32317170970805</v>
      </c>
      <c r="C15" s="102">
        <f>'Main Page'!B134 - 'Main Page'!B$138</f>
        <v>11.1</v>
      </c>
      <c r="D15" s="102">
        <f>'Main Page'!L122</f>
        <v>4904988079.2989025</v>
      </c>
      <c r="E15" s="102">
        <f>'Main Page'!K122</f>
        <v>9469182296.3330479</v>
      </c>
      <c r="F15" s="102">
        <f>'Main Page'!J122</f>
        <v>14036801421.634676</v>
      </c>
      <c r="G15" s="102">
        <f>'Main Page'!I122</f>
        <v>14036801421.634676</v>
      </c>
      <c r="H15" s="102">
        <f>'Main Page'!B122</f>
        <v>3.4564389128778257</v>
      </c>
      <c r="I15" s="102">
        <f>'Main Page'!E122</f>
        <v>0.25</v>
      </c>
      <c r="J15" s="102">
        <f>'Main Page'!D134</f>
        <v>1</v>
      </c>
    </row>
    <row r="16" spans="1:23">
      <c r="A16" s="102">
        <f>'Main Page'!A123</f>
        <v>0.25</v>
      </c>
      <c r="B16" s="102">
        <f>'Main Page'!H123</f>
        <v>684.40053797312055</v>
      </c>
      <c r="C16" s="102">
        <f>'Main Page'!B135 - 'Main Page'!B$138</f>
        <v>11.1</v>
      </c>
      <c r="D16" s="102">
        <f>'Main Page'!L123</f>
        <v>145303921.84035307</v>
      </c>
      <c r="E16" s="102">
        <f>'Main Page'!K123</f>
        <v>9141425662.3435383</v>
      </c>
      <c r="F16" s="102">
        <f>'Main Page'!J123</f>
        <v>12611588173.054085</v>
      </c>
      <c r="G16" s="102">
        <f>'Main Page'!I123</f>
        <v>4203286116.1718955</v>
      </c>
      <c r="H16" s="102">
        <f>'Main Page'!B123</f>
        <v>5.11988823977648</v>
      </c>
      <c r="I16" s="102">
        <f>'Main Page'!E123</f>
        <v>0.34</v>
      </c>
      <c r="J16" s="102">
        <f>'Main Page'!D135</f>
        <v>2</v>
      </c>
    </row>
    <row r="17" spans="1:16">
      <c r="A17" s="102">
        <f>'Main Page'!A124</f>
        <v>0.5</v>
      </c>
      <c r="B17" s="102">
        <f>'Main Page'!H124</f>
        <v>516.27028971966695</v>
      </c>
      <c r="C17" s="102">
        <f>'Main Page'!B136 - 'Main Page'!B$138</f>
        <v>3.1</v>
      </c>
      <c r="D17" s="102">
        <f>'Main Page'!L124</f>
        <v>57861076.091574006</v>
      </c>
      <c r="E17" s="102">
        <f>'Main Page'!K124</f>
        <v>6898689157.7993288</v>
      </c>
      <c r="F17" s="102">
        <f>'Main Page'!J124</f>
        <v>2540323261.1101747</v>
      </c>
      <c r="G17" s="102">
        <f>'Main Page'!I124</f>
        <v>1017265797.32573</v>
      </c>
      <c r="H17" s="102">
        <f>'Main Page'!B124</f>
        <v>3.9255778511557029</v>
      </c>
      <c r="I17" s="102">
        <f>'Main Page'!E124</f>
        <v>0.31</v>
      </c>
      <c r="J17" s="102">
        <f>'Main Page'!D136</f>
        <v>2.5</v>
      </c>
    </row>
    <row r="18" spans="1:16">
      <c r="A18" s="102">
        <f>'Main Page'!A125</f>
        <v>0.75</v>
      </c>
      <c r="B18" s="102">
        <f>'Main Page'!H125</f>
        <v>225.15720776799671</v>
      </c>
      <c r="C18" s="102">
        <f>'Main Page'!B137 - 'Main Page'!B$138</f>
        <v>0.6</v>
      </c>
      <c r="D18" s="102">
        <f>'Main Page'!L125</f>
        <v>11605234.21344462</v>
      </c>
      <c r="E18" s="102">
        <f>'Main Page'!K125</f>
        <v>2907294183.0127583</v>
      </c>
      <c r="F18" s="102">
        <f>'Main Page'!J125</f>
        <v>610414304.9755882</v>
      </c>
      <c r="G18" s="102">
        <f>'Main Page'!I125</f>
        <v>159223885.56322324</v>
      </c>
      <c r="H18" s="102">
        <f>'Main Page'!B125</f>
        <v>2.7312674625349254</v>
      </c>
      <c r="I18" s="102">
        <f>'Main Page'!E125</f>
        <v>0.28000000000000003</v>
      </c>
      <c r="J18" s="102">
        <f>'Main Page'!D137</f>
        <v>3</v>
      </c>
    </row>
    <row r="19" spans="1:16">
      <c r="A19" s="102">
        <f>'Main Page'!A126</f>
        <v>1</v>
      </c>
      <c r="B19" s="102">
        <f>'Main Page'!H126</f>
        <v>21.986079158927165</v>
      </c>
      <c r="C19" s="102">
        <f>'Main Page'!B138 - 'Main Page'!B$138</f>
        <v>0</v>
      </c>
      <c r="D19" s="102">
        <f>'Main Page'!L126</f>
        <v>1237516.5813282721</v>
      </c>
      <c r="E19" s="102">
        <f>'Main Page'!K126</f>
        <v>235713983.59357151</v>
      </c>
      <c r="F19" s="102">
        <f>'Main Page'!J126</f>
        <v>53624369.654070929</v>
      </c>
      <c r="G19" s="102">
        <f>'Main Page'!I126</f>
        <v>1559775.5371830396</v>
      </c>
      <c r="H19" s="102">
        <f>'Main Page'!B126</f>
        <v>1.6565913131826264</v>
      </c>
      <c r="I19" s="102">
        <f>'Main Page'!E126</f>
        <v>0.25</v>
      </c>
      <c r="J19" s="102">
        <f>'Main Page'!D138</f>
        <v>4</v>
      </c>
    </row>
    <row r="27" spans="1:16">
      <c r="A27" s="372" t="s">
        <v>429</v>
      </c>
      <c r="B27">
        <v>15</v>
      </c>
    </row>
    <row r="28" spans="1:16">
      <c r="A28">
        <v>0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</row>
    <row r="29" spans="1:16">
      <c r="A29">
        <f>A28/$B$27*0.95+0.05</f>
        <v>0.05</v>
      </c>
      <c r="B29">
        <f t="shared" ref="B29:P29" si="0">B28/$B$27*0.95+0.05</f>
        <v>0.11333333333333333</v>
      </c>
      <c r="C29">
        <f t="shared" si="0"/>
        <v>0.17666666666666664</v>
      </c>
      <c r="D29">
        <f t="shared" si="0"/>
        <v>0.24</v>
      </c>
      <c r="E29">
        <f t="shared" si="0"/>
        <v>0.30333333333333329</v>
      </c>
      <c r="F29">
        <f t="shared" si="0"/>
        <v>0.36666666666666664</v>
      </c>
      <c r="G29">
        <f t="shared" si="0"/>
        <v>0.43</v>
      </c>
      <c r="H29">
        <f t="shared" si="0"/>
        <v>0.49333333333333329</v>
      </c>
      <c r="I29">
        <f t="shared" si="0"/>
        <v>0.55666666666666664</v>
      </c>
      <c r="J29">
        <f t="shared" si="0"/>
        <v>0.62</v>
      </c>
      <c r="K29">
        <f t="shared" si="0"/>
        <v>0.68333333333333335</v>
      </c>
      <c r="L29">
        <f t="shared" si="0"/>
        <v>0.74666666666666659</v>
      </c>
      <c r="M29">
        <f t="shared" si="0"/>
        <v>0.81</v>
      </c>
      <c r="N29">
        <f t="shared" si="0"/>
        <v>0.87333333333333341</v>
      </c>
      <c r="O29">
        <f t="shared" si="0"/>
        <v>0.93666666666666665</v>
      </c>
      <c r="P29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20" sqref="E20"/>
    </sheetView>
  </sheetViews>
  <sheetFormatPr defaultRowHeight="11.25"/>
  <cols>
    <col min="1" max="1" width="14.83203125" bestFit="1" customWidth="1"/>
  </cols>
  <sheetData>
    <row r="1" spans="1:5">
      <c r="A1">
        <f>'Main Page'!B83</f>
        <v>75</v>
      </c>
      <c r="E1" t="s">
        <v>430</v>
      </c>
    </row>
    <row r="2" spans="1:5">
      <c r="A2" s="102">
        <f>'Main Page'!B9</f>
        <v>154</v>
      </c>
      <c r="E2" t="s">
        <v>431</v>
      </c>
    </row>
    <row r="3" spans="1:5">
      <c r="A3" s="102">
        <f>'Main Page'!B58</f>
        <v>-6</v>
      </c>
      <c r="E3" t="s">
        <v>432</v>
      </c>
    </row>
    <row r="4" spans="1:5">
      <c r="A4" s="103">
        <f>'Main Page'!B5</f>
        <v>-7.8053060242858907E-2</v>
      </c>
      <c r="B4" s="103">
        <f>'Main Page'!C5</f>
        <v>0</v>
      </c>
      <c r="C4" s="103">
        <f>'Main Page'!D5</f>
        <v>-0.74355337983144754</v>
      </c>
      <c r="E4" t="s">
        <v>433</v>
      </c>
    </row>
    <row r="5" spans="1:5">
      <c r="A5" s="103">
        <f>'Main Page'!B6</f>
        <v>1.3878429200029141</v>
      </c>
      <c r="B5" s="103">
        <f>'Main Page'!C6</f>
        <v>0</v>
      </c>
      <c r="C5" s="103">
        <f>'Main Page'!D6</f>
        <v>0</v>
      </c>
      <c r="E5" t="s">
        <v>434</v>
      </c>
    </row>
    <row r="6" spans="1:5">
      <c r="A6" s="103">
        <f>'Main Page'!B7</f>
        <v>-1.582015611221971</v>
      </c>
      <c r="B6" s="103">
        <f>'Main Page'!C7</f>
        <v>0</v>
      </c>
      <c r="C6" s="103">
        <f>'Main Page'!D7</f>
        <v>0</v>
      </c>
      <c r="E6" t="s">
        <v>435</v>
      </c>
    </row>
    <row r="7" spans="1:5">
      <c r="A7" s="103">
        <f>-'Main Page'!B11</f>
        <v>-5</v>
      </c>
      <c r="E7" t="s">
        <v>436</v>
      </c>
    </row>
    <row r="8" spans="1:5">
      <c r="A8" s="103">
        <f>'Main Page'!E5</f>
        <v>212987.97104381188</v>
      </c>
      <c r="E8" s="372" t="s">
        <v>437</v>
      </c>
    </row>
    <row r="9" spans="1:5">
      <c r="A9" s="103">
        <f>'Main Page'!E6</f>
        <v>6651.7160682454805</v>
      </c>
      <c r="E9" s="372" t="s">
        <v>438</v>
      </c>
    </row>
    <row r="10" spans="1:5">
      <c r="A10" s="103">
        <f>'Main Page'!E7</f>
        <v>51029.022026287843</v>
      </c>
      <c r="E10" s="372" t="s">
        <v>439</v>
      </c>
    </row>
    <row r="11" spans="1:5">
      <c r="A11" s="103">
        <f>-'Main Page'!B18</f>
        <v>0</v>
      </c>
      <c r="E11" t="s">
        <v>440</v>
      </c>
    </row>
    <row r="12" spans="1:5">
      <c r="A12" s="103">
        <f>'Main Page'!E8</f>
        <v>125969.62234646481</v>
      </c>
      <c r="E12" t="s">
        <v>441</v>
      </c>
    </row>
    <row r="13" spans="1:5">
      <c r="A13" s="335">
        <f>SUM('Main Page'!H5:H7)</f>
        <v>739595.80544436211</v>
      </c>
      <c r="E13" t="s">
        <v>442</v>
      </c>
    </row>
    <row r="14" spans="1:5">
      <c r="A14" s="103">
        <f>GECdrivetrain!M5</f>
        <v>668484.97012246738</v>
      </c>
      <c r="E14" t="s">
        <v>443</v>
      </c>
    </row>
    <row r="15" spans="1:5">
      <c r="A15" s="103">
        <f>'Main Page'!B84</f>
        <v>1800</v>
      </c>
      <c r="E15" t="s">
        <v>444</v>
      </c>
    </row>
    <row r="16" spans="1:5">
      <c r="A16" s="103">
        <f>'Main Page'!B14</f>
        <v>2300693019.9789252</v>
      </c>
      <c r="E16" t="s">
        <v>445</v>
      </c>
    </row>
    <row r="17" spans="1:5">
      <c r="A17" s="103">
        <f>'Main Page'!B19</f>
        <v>0.95</v>
      </c>
      <c r="E17" t="s">
        <v>446</v>
      </c>
    </row>
    <row r="18" spans="1:5">
      <c r="A18" s="335">
        <f>'Main Page'!B89*1000</f>
        <v>5000000</v>
      </c>
      <c r="E18" s="372" t="s">
        <v>447</v>
      </c>
    </row>
    <row r="19" spans="1:5">
      <c r="A19" s="103">
        <f>SUM(GECdrivetrain!M11:'GECdrivetrain'!M12)</f>
        <v>11354296.893486619</v>
      </c>
      <c r="E19" s="372" t="s">
        <v>448</v>
      </c>
    </row>
    <row r="20" spans="1:5">
      <c r="A20" s="103">
        <f>'Main Page'!B15/100</f>
        <v>0.05</v>
      </c>
      <c r="E20" s="372" t="s">
        <v>463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J11"/>
    </sheetView>
  </sheetViews>
  <sheetFormatPr defaultRowHeight="11.25"/>
  <cols>
    <col min="1" max="1" width="15.83203125" bestFit="1" customWidth="1"/>
  </cols>
  <sheetData>
    <row r="1" spans="1:12">
      <c r="A1" s="377">
        <f>'Main Page'!B43</f>
        <v>2.9279999999999999</v>
      </c>
      <c r="L1" s="372" t="s">
        <v>449</v>
      </c>
    </row>
    <row r="2" spans="1:12">
      <c r="A2" s="377">
        <f>'Main Page'!B44</f>
        <v>4.41</v>
      </c>
      <c r="L2" s="372" t="s">
        <v>450</v>
      </c>
    </row>
    <row r="3" spans="1:12">
      <c r="A3" s="377">
        <f>'Main Page'!B45/1000</f>
        <v>1.6E-2</v>
      </c>
      <c r="L3" s="372" t="s">
        <v>451</v>
      </c>
    </row>
    <row r="4" spans="1:12">
      <c r="A4" s="377">
        <f>'Main Page'!B46</f>
        <v>10.17</v>
      </c>
      <c r="L4" s="372" t="s">
        <v>452</v>
      </c>
    </row>
    <row r="5" spans="1:12">
      <c r="A5" s="377">
        <f>'Main Page'!B47/1000</f>
        <v>3.5700000000000003E-2</v>
      </c>
      <c r="L5" s="372" t="s">
        <v>453</v>
      </c>
    </row>
    <row r="6" spans="1:12">
      <c r="A6" s="377">
        <f>'Main Page'!B48/100</f>
        <v>0.05</v>
      </c>
      <c r="L6" s="372" t="s">
        <v>454</v>
      </c>
    </row>
    <row r="7" spans="1:12">
      <c r="A7">
        <f>GECtwrdata!F5</f>
        <v>7850</v>
      </c>
      <c r="L7" s="372" t="s">
        <v>455</v>
      </c>
    </row>
    <row r="8" spans="1:12">
      <c r="A8" s="102">
        <f>GECtwrdata!F6</f>
        <v>200000000000</v>
      </c>
      <c r="L8" s="372" t="s">
        <v>456</v>
      </c>
    </row>
    <row r="9" spans="1:12">
      <c r="A9" s="102">
        <f>GECtwrdata!F7</f>
        <v>76923076923.07692</v>
      </c>
      <c r="L9" s="372" t="s">
        <v>457</v>
      </c>
    </row>
    <row r="10" spans="1:12">
      <c r="A10" s="373">
        <f>0/9</f>
        <v>0</v>
      </c>
      <c r="B10" s="373">
        <f>1/9</f>
        <v>0.1111111111111111</v>
      </c>
      <c r="C10" s="373">
        <f>2/9</f>
        <v>0.22222222222222221</v>
      </c>
      <c r="D10" s="373">
        <f>3/9</f>
        <v>0.33333333333333331</v>
      </c>
      <c r="E10" s="373">
        <f>4/9</f>
        <v>0.44444444444444442</v>
      </c>
      <c r="F10" s="373">
        <f>5/9</f>
        <v>0.55555555555555558</v>
      </c>
      <c r="G10" s="373">
        <f>6/9</f>
        <v>0.66666666666666663</v>
      </c>
      <c r="H10" s="373">
        <f>7/9</f>
        <v>0.77777777777777779</v>
      </c>
      <c r="I10" s="373">
        <f>8/9</f>
        <v>0.88888888888888884</v>
      </c>
      <c r="J10" s="373">
        <f>9/9</f>
        <v>1</v>
      </c>
      <c r="L10" s="372" t="s">
        <v>458</v>
      </c>
    </row>
    <row r="11" spans="1:12">
      <c r="A11" s="103">
        <f>'Main Page'!B151*100</f>
        <v>3.4350000000000001</v>
      </c>
      <c r="B11" s="103">
        <f>'Main Page'!B152*100</f>
        <v>3.4350000000000001</v>
      </c>
      <c r="C11" s="103">
        <f>'Main Page'!B153*100</f>
        <v>3.4350000000000001</v>
      </c>
      <c r="D11" s="103">
        <f>'Main Page'!B154*100</f>
        <v>3.4350000000000001</v>
      </c>
      <c r="L11" s="372" t="s">
        <v>459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workbookViewId="0">
      <selection activeCell="B20" sqref="B20"/>
    </sheetView>
  </sheetViews>
  <sheetFormatPr defaultRowHeight="11.25"/>
  <cols>
    <col min="1" max="1" width="15.1640625" style="17" customWidth="1"/>
    <col min="2" max="2" width="13.1640625" customWidth="1"/>
    <col min="3" max="3" width="12" customWidth="1"/>
    <col min="4" max="4" width="16" style="18" customWidth="1"/>
    <col min="5" max="5" width="16" customWidth="1"/>
    <col min="6" max="6" width="12.33203125" customWidth="1"/>
    <col min="7" max="7" width="12.1640625" customWidth="1"/>
    <col min="8" max="8" width="11.6640625" customWidth="1"/>
    <col min="9" max="9" width="12" customWidth="1"/>
    <col min="10" max="11" width="12.5" customWidth="1"/>
  </cols>
  <sheetData>
    <row r="1" spans="1:11" ht="13.5" thickBot="1">
      <c r="A1" s="55" t="s">
        <v>55</v>
      </c>
    </row>
    <row r="2" spans="1:11" ht="12" thickBot="1">
      <c r="A2" s="393" t="s">
        <v>84</v>
      </c>
      <c r="B2" s="394"/>
      <c r="C2" s="394"/>
      <c r="D2" s="395"/>
      <c r="F2" s="79" t="s">
        <v>54</v>
      </c>
      <c r="G2" s="80"/>
      <c r="H2" s="81"/>
    </row>
    <row r="3" spans="1:11">
      <c r="A3" s="82" t="s">
        <v>50</v>
      </c>
      <c r="B3" s="83" t="s">
        <v>51</v>
      </c>
      <c r="C3" s="83" t="s">
        <v>52</v>
      </c>
      <c r="D3" s="84" t="s">
        <v>53</v>
      </c>
      <c r="F3" s="76" t="s">
        <v>30</v>
      </c>
      <c r="G3" s="77"/>
      <c r="H3" s="78"/>
    </row>
    <row r="4" spans="1:11" ht="12" thickBot="1">
      <c r="A4" s="266">
        <v>0.01</v>
      </c>
      <c r="B4" s="267">
        <v>0.01</v>
      </c>
      <c r="C4" s="267">
        <v>0.01</v>
      </c>
      <c r="D4" s="268">
        <v>0.01</v>
      </c>
      <c r="F4" s="74" t="s">
        <v>116</v>
      </c>
      <c r="G4" s="75"/>
      <c r="H4" s="33"/>
    </row>
    <row r="6" spans="1:11" ht="15" customHeight="1" thickBot="1">
      <c r="A6" s="58" t="s">
        <v>24</v>
      </c>
      <c r="B6" s="57"/>
      <c r="C6" s="57"/>
      <c r="D6" s="59"/>
      <c r="E6" s="57"/>
    </row>
    <row r="7" spans="1:11" s="19" customFormat="1" ht="32.450000000000003" customHeight="1" thickBot="1">
      <c r="A7" s="45" t="s">
        <v>1</v>
      </c>
      <c r="B7" s="41" t="s">
        <v>2</v>
      </c>
      <c r="C7" s="42" t="s">
        <v>3</v>
      </c>
      <c r="D7" s="43" t="s">
        <v>315</v>
      </c>
      <c r="E7" s="43" t="s">
        <v>19</v>
      </c>
      <c r="F7" s="44" t="s">
        <v>22</v>
      </c>
      <c r="G7" s="44" t="s">
        <v>23</v>
      </c>
      <c r="H7" s="43" t="s">
        <v>20</v>
      </c>
      <c r="I7" s="43" t="s">
        <v>21</v>
      </c>
      <c r="J7" s="46" t="s">
        <v>25</v>
      </c>
      <c r="K7" s="46" t="s">
        <v>26</v>
      </c>
    </row>
    <row r="8" spans="1:11" ht="12" thickBot="1">
      <c r="A8" s="47">
        <v>1</v>
      </c>
      <c r="B8" s="85">
        <f>GECtwrdata!C15</f>
        <v>0</v>
      </c>
      <c r="C8" s="86">
        <f>GECtwrdata!G15</f>
        <v>9401.5183391824921</v>
      </c>
      <c r="D8" s="86">
        <f>GECtwrdata!J15</f>
        <v>231521.11908368382</v>
      </c>
      <c r="E8" s="86">
        <f>GECtwrdata!M15</f>
        <v>115760.55954184191</v>
      </c>
      <c r="F8" s="86">
        <v>0</v>
      </c>
      <c r="G8" s="86">
        <v>0</v>
      </c>
      <c r="H8" s="50">
        <f>GECtwrdata!K15</f>
        <v>2268702783769.562</v>
      </c>
      <c r="I8" s="50">
        <f>GECtwrdata!H15</f>
        <v>228122980629.23849</v>
      </c>
      <c r="J8" s="50">
        <f>GECtwrdata!N15</f>
        <v>2949313618900.4307</v>
      </c>
      <c r="K8" s="51">
        <f>GECtwrdata!N15</f>
        <v>2949313618900.4307</v>
      </c>
    </row>
    <row r="9" spans="1:11" ht="12" thickBot="1">
      <c r="A9" s="48">
        <v>2</v>
      </c>
      <c r="B9" s="85">
        <f>GECtwrdata!C16</f>
        <v>16.785777777777778</v>
      </c>
      <c r="C9" s="86">
        <f>GECtwrdata!G16</f>
        <v>8269.7152709443981</v>
      </c>
      <c r="D9" s="86">
        <f>GECtwrdata!J16</f>
        <v>178824.51991688428</v>
      </c>
      <c r="E9" s="86">
        <f>GECtwrdata!M16</f>
        <v>89412.25995844214</v>
      </c>
      <c r="F9" s="86">
        <v>0</v>
      </c>
      <c r="G9" s="86">
        <v>0</v>
      </c>
      <c r="H9" s="50">
        <f>GECtwrdata!K16</f>
        <v>1752322586152.7122</v>
      </c>
      <c r="I9" s="50">
        <f>GECtwrdata!H16</f>
        <v>200660364475.44794</v>
      </c>
      <c r="J9" s="50">
        <f>GECtwrdata!N16</f>
        <v>2278019361998.5259</v>
      </c>
      <c r="K9" s="51">
        <f>GECtwrdata!N16</f>
        <v>2278019361998.5259</v>
      </c>
    </row>
    <row r="10" spans="1:11" ht="12" thickBot="1">
      <c r="A10" s="48">
        <v>3</v>
      </c>
      <c r="B10" s="85">
        <f>GECtwrdata!C17</f>
        <v>33.571555555555555</v>
      </c>
      <c r="C10" s="86">
        <f>GECtwrdata!G17</f>
        <v>7210.4630543628509</v>
      </c>
      <c r="D10" s="86">
        <f>GECtwrdata!J17</f>
        <v>135680.4850377882</v>
      </c>
      <c r="E10" s="86">
        <f>GECtwrdata!M17</f>
        <v>67840.242518894098</v>
      </c>
      <c r="F10" s="86">
        <v>0</v>
      </c>
      <c r="G10" s="86">
        <v>0</v>
      </c>
      <c r="H10" s="50">
        <f>GECtwrdata!K17</f>
        <v>1329549093951.8687</v>
      </c>
      <c r="I10" s="50">
        <f>GECtwrdata!H17</f>
        <v>174958157218.38885</v>
      </c>
      <c r="J10" s="50">
        <f>GECtwrdata!N17</f>
        <v>1728413822137.4292</v>
      </c>
      <c r="K10" s="51">
        <f>GECtwrdata!N17</f>
        <v>1728413822137.4292</v>
      </c>
    </row>
    <row r="11" spans="1:11" ht="12" thickBot="1">
      <c r="A11" s="48">
        <v>4</v>
      </c>
      <c r="B11" s="85">
        <f>GECtwrdata!C18</f>
        <v>50.35733333333333</v>
      </c>
      <c r="C11" s="86">
        <f>GECtwrdata!G18</f>
        <v>6223.7616894378543</v>
      </c>
      <c r="D11" s="86">
        <f>GECtwrdata!J18</f>
        <v>100858.28094937236</v>
      </c>
      <c r="E11" s="86">
        <f>GECtwrdata!M18</f>
        <v>50429.140474686181</v>
      </c>
      <c r="F11" s="86">
        <v>0</v>
      </c>
      <c r="G11" s="86">
        <v>0</v>
      </c>
      <c r="H11" s="50">
        <f>GECtwrdata!K18</f>
        <v>988322204305.46167</v>
      </c>
      <c r="I11" s="50">
        <f>GECtwrdata!H18</f>
        <v>151016358858.06137</v>
      </c>
      <c r="J11" s="50">
        <f>GECtwrdata!N18</f>
        <v>1284818865597.1003</v>
      </c>
      <c r="K11" s="51">
        <f>GECtwrdata!N18</f>
        <v>1284818865597.1003</v>
      </c>
    </row>
    <row r="12" spans="1:11" ht="12" thickBot="1">
      <c r="A12" s="48">
        <v>5</v>
      </c>
      <c r="B12" s="85">
        <f>GECtwrdata!C19</f>
        <v>67.143111111111111</v>
      </c>
      <c r="C12" s="86">
        <f>GECtwrdata!G19</f>
        <v>5309.6111761694065</v>
      </c>
      <c r="D12" s="86">
        <f>GECtwrdata!J19</f>
        <v>73212.079379866744</v>
      </c>
      <c r="E12" s="86">
        <f>GECtwrdata!M19</f>
        <v>36606.039689933372</v>
      </c>
      <c r="F12" s="86">
        <v>0</v>
      </c>
      <c r="G12" s="86">
        <v>0</v>
      </c>
      <c r="H12" s="50">
        <f>GECtwrdata!K19</f>
        <v>717413810679.73291</v>
      </c>
      <c r="I12" s="50">
        <f>GECtwrdata!H19</f>
        <v>128834969394.46544</v>
      </c>
      <c r="J12" s="50">
        <f>GECtwrdata!N19</f>
        <v>932637953883.65283</v>
      </c>
      <c r="K12" s="51">
        <f>GECtwrdata!N19</f>
        <v>932637953883.65283</v>
      </c>
    </row>
    <row r="13" spans="1:11" ht="12" thickBot="1">
      <c r="A13" s="48">
        <v>6</v>
      </c>
      <c r="B13" s="85">
        <f>GECtwrdata!C20</f>
        <v>83.928888888888892</v>
      </c>
      <c r="C13" s="86">
        <f>GECtwrdata!G20</f>
        <v>4468.0115145575082</v>
      </c>
      <c r="D13" s="86">
        <f>GECtwrdata!J20</f>
        <v>51680.957282754011</v>
      </c>
      <c r="E13" s="86">
        <f>GECtwrdata!M20</f>
        <v>25840.478641377005</v>
      </c>
      <c r="F13" s="86">
        <v>0</v>
      </c>
      <c r="G13" s="86">
        <v>0</v>
      </c>
      <c r="H13" s="50">
        <f>GECtwrdata!K20</f>
        <v>506427802868.73114</v>
      </c>
      <c r="I13" s="50">
        <f>GECtwrdata!H20</f>
        <v>108413988827.60104</v>
      </c>
      <c r="J13" s="50">
        <f>GECtwrdata!N20</f>
        <v>658356143729.35046</v>
      </c>
      <c r="K13" s="51">
        <f>GECtwrdata!N20</f>
        <v>658356143729.35046</v>
      </c>
    </row>
    <row r="14" spans="1:11" ht="12" thickBot="1">
      <c r="A14" s="48">
        <v>7</v>
      </c>
      <c r="B14" s="85">
        <f>GECtwrdata!C21</f>
        <v>100.71466666666666</v>
      </c>
      <c r="C14" s="86">
        <f>GECtwrdata!G21</f>
        <v>3698.9627046021596</v>
      </c>
      <c r="D14" s="86">
        <f>GECtwrdata!J21</f>
        <v>35288.896836769876</v>
      </c>
      <c r="E14" s="86">
        <f>GECtwrdata!M21</f>
        <v>17644.448418384938</v>
      </c>
      <c r="F14" s="86">
        <v>0</v>
      </c>
      <c r="G14" s="86">
        <v>0</v>
      </c>
      <c r="H14" s="50">
        <f>GECtwrdata!K21</f>
        <v>345800066994.31531</v>
      </c>
      <c r="I14" s="50">
        <f>GECtwrdata!H21</f>
        <v>89753417157.468246</v>
      </c>
      <c r="J14" s="50">
        <f>GECtwrdata!N21</f>
        <v>449540087092.60992</v>
      </c>
      <c r="K14" s="51">
        <f>GECtwrdata!N21</f>
        <v>449540087092.60992</v>
      </c>
    </row>
    <row r="15" spans="1:11" ht="12" thickBot="1">
      <c r="A15" s="48">
        <v>8</v>
      </c>
      <c r="B15" s="85">
        <f>GECtwrdata!C22</f>
        <v>117.50044444444444</v>
      </c>
      <c r="C15" s="86">
        <f>GECtwrdata!G22</f>
        <v>3002.4647463033616</v>
      </c>
      <c r="D15" s="86">
        <f>GECtwrdata!J22</f>
        <v>23144.785445902919</v>
      </c>
      <c r="E15" s="86">
        <f>GECtwrdata!M22</f>
        <v>11572.392722951459</v>
      </c>
      <c r="F15" s="86">
        <v>0</v>
      </c>
      <c r="G15" s="86">
        <v>0</v>
      </c>
      <c r="H15" s="50">
        <f>GECtwrdata!K22</f>
        <v>226798485506.15305</v>
      </c>
      <c r="I15" s="50">
        <f>GECtwrdata!H22</f>
        <v>72853254384.067001</v>
      </c>
      <c r="J15" s="50">
        <f>GECtwrdata!N22</f>
        <v>294838031157.99896</v>
      </c>
      <c r="K15" s="51">
        <f>GECtwrdata!N22</f>
        <v>294838031157.99896</v>
      </c>
    </row>
    <row r="16" spans="1:11" ht="12" thickBot="1">
      <c r="A16" s="48">
        <v>9</v>
      </c>
      <c r="B16" s="85">
        <f>GECtwrdata!C23</f>
        <v>134.28622222222222</v>
      </c>
      <c r="C16" s="86">
        <f>GECtwrdata!G23</f>
        <v>2378.5176396611114</v>
      </c>
      <c r="D16" s="86">
        <f>GECtwrdata!J23</f>
        <v>14442.415739394646</v>
      </c>
      <c r="E16" s="86">
        <f>GECtwrdata!M23</f>
        <v>7221.2078696973231</v>
      </c>
      <c r="F16" s="86">
        <v>0</v>
      </c>
      <c r="G16" s="86">
        <v>0</v>
      </c>
      <c r="H16" s="50">
        <f>GECtwrdata!K23</f>
        <v>141522937181.72116</v>
      </c>
      <c r="I16" s="50">
        <f>GECtwrdata!H23</f>
        <v>57713500507.397308</v>
      </c>
      <c r="J16" s="50">
        <f>GECtwrdata!N23</f>
        <v>183979818336.23752</v>
      </c>
      <c r="K16" s="51">
        <f>GECtwrdata!N23</f>
        <v>183979818336.23752</v>
      </c>
    </row>
    <row r="17" spans="1:11">
      <c r="A17" s="48">
        <v>10</v>
      </c>
      <c r="B17" s="85">
        <f>GECtwrdata!C24</f>
        <v>151.072</v>
      </c>
      <c r="C17" s="86">
        <f>GECtwrdata!G24</f>
        <v>1827.1213846754108</v>
      </c>
      <c r="D17" s="86">
        <f>GECtwrdata!J24</f>
        <v>8460.4855717394894</v>
      </c>
      <c r="E17" s="86">
        <f>GECtwrdata!M24</f>
        <v>4230.2427858697447</v>
      </c>
      <c r="F17" s="86">
        <v>0</v>
      </c>
      <c r="G17" s="86">
        <v>0</v>
      </c>
      <c r="H17" s="50">
        <f>GECtwrdata!K24</f>
        <v>82905297126.305634</v>
      </c>
      <c r="I17" s="50">
        <f>GECtwrdata!H24</f>
        <v>44334155527.45916</v>
      </c>
      <c r="J17" s="50">
        <f>GECtwrdata!N24</f>
        <v>107776886264.19733</v>
      </c>
      <c r="K17" s="51">
        <f>GECtwrdata!N24</f>
        <v>107776886264.19733</v>
      </c>
    </row>
    <row r="18" spans="1:11">
      <c r="A18" s="48">
        <v>11</v>
      </c>
      <c r="B18" s="28"/>
      <c r="C18" s="29"/>
      <c r="D18" s="29"/>
      <c r="E18" s="29"/>
      <c r="F18" s="29"/>
      <c r="G18" s="29"/>
      <c r="H18" s="29"/>
      <c r="I18" s="29"/>
      <c r="J18" s="29"/>
      <c r="K18" s="30"/>
    </row>
    <row r="19" spans="1:11">
      <c r="A19" s="48">
        <v>12</v>
      </c>
      <c r="B19" s="28"/>
      <c r="C19" s="29"/>
      <c r="D19" s="29"/>
      <c r="E19" s="29"/>
      <c r="F19" s="29"/>
      <c r="G19" s="29"/>
      <c r="H19" s="29"/>
      <c r="I19" s="29"/>
      <c r="J19" s="29"/>
      <c r="K19" s="30"/>
    </row>
    <row r="20" spans="1:11">
      <c r="A20" s="48">
        <v>13</v>
      </c>
      <c r="B20" s="28"/>
      <c r="C20" s="29"/>
      <c r="D20" s="29"/>
      <c r="E20" s="29"/>
      <c r="F20" s="29"/>
      <c r="G20" s="29"/>
      <c r="H20" s="29"/>
      <c r="I20" s="29"/>
      <c r="J20" s="29"/>
      <c r="K20" s="30"/>
    </row>
    <row r="21" spans="1:11">
      <c r="A21" s="48">
        <v>14</v>
      </c>
      <c r="B21" s="28"/>
      <c r="C21" s="29"/>
      <c r="D21" s="29"/>
      <c r="E21" s="29"/>
      <c r="F21" s="29"/>
      <c r="G21" s="29"/>
      <c r="H21" s="29"/>
      <c r="I21" s="29"/>
      <c r="J21" s="29"/>
      <c r="K21" s="30"/>
    </row>
    <row r="22" spans="1:11">
      <c r="A22" s="48">
        <v>15</v>
      </c>
      <c r="B22" s="28"/>
      <c r="C22" s="29"/>
      <c r="D22" s="29"/>
      <c r="E22" s="29"/>
      <c r="F22" s="29"/>
      <c r="G22" s="29"/>
      <c r="H22" s="29"/>
      <c r="I22" s="29"/>
      <c r="J22" s="29"/>
      <c r="K22" s="30"/>
    </row>
    <row r="23" spans="1:11">
      <c r="A23" s="48">
        <v>16</v>
      </c>
      <c r="B23" s="28"/>
      <c r="C23" s="29"/>
      <c r="D23" s="29"/>
      <c r="E23" s="29"/>
      <c r="F23" s="29"/>
      <c r="G23" s="29"/>
      <c r="H23" s="29"/>
      <c r="I23" s="29"/>
      <c r="J23" s="29"/>
      <c r="K23" s="30"/>
    </row>
    <row r="24" spans="1:11">
      <c r="A24" s="48">
        <v>17</v>
      </c>
      <c r="B24" s="28"/>
      <c r="C24" s="29"/>
      <c r="D24" s="29"/>
      <c r="E24" s="29"/>
      <c r="F24" s="29"/>
      <c r="G24" s="29"/>
      <c r="H24" s="29"/>
      <c r="I24" s="29"/>
      <c r="J24" s="29"/>
      <c r="K24" s="30"/>
    </row>
    <row r="25" spans="1:11">
      <c r="A25" s="48">
        <v>18</v>
      </c>
      <c r="B25" s="28"/>
      <c r="C25" s="29"/>
      <c r="D25" s="29"/>
      <c r="E25" s="29"/>
      <c r="F25" s="29"/>
      <c r="G25" s="29"/>
      <c r="H25" s="29"/>
      <c r="I25" s="29"/>
      <c r="J25" s="29"/>
      <c r="K25" s="30"/>
    </row>
    <row r="26" spans="1:11">
      <c r="A26" s="48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</row>
    <row r="27" spans="1:11">
      <c r="A27" s="48">
        <v>20</v>
      </c>
      <c r="B27" s="28"/>
      <c r="C27" s="29"/>
      <c r="D27" s="29"/>
      <c r="E27" s="29"/>
      <c r="F27" s="29"/>
      <c r="G27" s="29"/>
      <c r="H27" s="29"/>
      <c r="I27" s="29"/>
      <c r="J27" s="29"/>
      <c r="K27" s="30"/>
    </row>
    <row r="28" spans="1:11">
      <c r="A28" s="48">
        <v>21</v>
      </c>
      <c r="B28" s="28"/>
      <c r="C28" s="29"/>
      <c r="D28" s="29"/>
      <c r="E28" s="29"/>
      <c r="F28" s="29"/>
      <c r="G28" s="29"/>
      <c r="H28" s="29"/>
      <c r="I28" s="29"/>
      <c r="J28" s="29"/>
      <c r="K28" s="30"/>
    </row>
    <row r="29" spans="1:11">
      <c r="A29" s="48">
        <v>22</v>
      </c>
      <c r="B29" s="28"/>
      <c r="C29" s="29"/>
      <c r="D29" s="29"/>
      <c r="E29" s="29"/>
      <c r="F29" s="29"/>
      <c r="G29" s="29"/>
      <c r="H29" s="29"/>
      <c r="I29" s="29"/>
      <c r="J29" s="29"/>
      <c r="K29" s="30"/>
    </row>
    <row r="30" spans="1:11">
      <c r="A30" s="48">
        <v>23</v>
      </c>
      <c r="B30" s="28"/>
      <c r="C30" s="29"/>
      <c r="D30" s="29"/>
      <c r="E30" s="29"/>
      <c r="F30" s="29"/>
      <c r="G30" s="29"/>
      <c r="H30" s="29"/>
      <c r="I30" s="29"/>
      <c r="J30" s="29"/>
      <c r="K30" s="30"/>
    </row>
    <row r="31" spans="1:11">
      <c r="A31" s="48">
        <v>24</v>
      </c>
      <c r="B31" s="28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2" thickBot="1">
      <c r="A32" s="49">
        <v>25</v>
      </c>
      <c r="B32" s="31"/>
      <c r="C32" s="32"/>
      <c r="D32" s="32"/>
      <c r="E32" s="32"/>
      <c r="F32" s="32"/>
      <c r="G32" s="32"/>
      <c r="H32" s="32"/>
      <c r="I32" s="32"/>
      <c r="J32" s="32"/>
      <c r="K32" s="33"/>
    </row>
  </sheetData>
  <mergeCells count="1">
    <mergeCell ref="A2:D2"/>
  </mergeCells>
  <phoneticPr fontId="0" type="noConversion"/>
  <pageMargins left="0.75" right="0.75" top="1" bottom="1" header="0.5" footer="0.5"/>
  <pageSetup orientation="landscape" horizontalDpi="4294967295" verticalDpi="4294967295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="75" workbookViewId="0">
      <selection activeCell="G2" sqref="G2"/>
    </sheetView>
  </sheetViews>
  <sheetFormatPr defaultRowHeight="11.25"/>
  <cols>
    <col min="1" max="1" width="9.83203125" customWidth="1"/>
    <col min="2" max="2" width="10.5" customWidth="1"/>
    <col min="3" max="3" width="11.33203125" customWidth="1"/>
    <col min="4" max="4" width="8" customWidth="1"/>
    <col min="5" max="5" width="7.5" customWidth="1"/>
    <col min="6" max="6" width="10.5" customWidth="1"/>
    <col min="7" max="7" width="10.1640625" customWidth="1"/>
    <col min="8" max="8" width="10.33203125" customWidth="1"/>
    <col min="9" max="9" width="10.1640625" customWidth="1"/>
    <col min="11" max="11" width="11" customWidth="1"/>
    <col min="12" max="12" width="11.5" customWidth="1"/>
    <col min="13" max="13" width="12.33203125" customWidth="1"/>
    <col min="14" max="14" width="11.6640625" customWidth="1"/>
    <col min="15" max="15" width="7.33203125" customWidth="1"/>
    <col min="16" max="16" width="10.5" customWidth="1"/>
    <col min="17" max="17" width="15.5" customWidth="1"/>
  </cols>
  <sheetData>
    <row r="1" spans="1:20" ht="15.6" customHeight="1" thickBot="1">
      <c r="A1" s="55" t="s">
        <v>64</v>
      </c>
      <c r="B1" s="57"/>
    </row>
    <row r="2" spans="1:20" ht="23.25" thickBot="1">
      <c r="A2" s="96" t="s">
        <v>56</v>
      </c>
      <c r="B2" s="97">
        <f>GECbladedata!D12-B3</f>
        <v>60.8</v>
      </c>
      <c r="D2" s="379" t="s">
        <v>84</v>
      </c>
      <c r="E2" s="381"/>
      <c r="F2" s="382"/>
    </row>
    <row r="3" spans="1:20" ht="23.25" thickBot="1">
      <c r="A3" s="98" t="s">
        <v>57</v>
      </c>
      <c r="B3" s="33">
        <f>GECbladedata!D13</f>
        <v>3.2</v>
      </c>
      <c r="D3" s="93" t="s">
        <v>35</v>
      </c>
      <c r="E3" s="94" t="s">
        <v>37</v>
      </c>
      <c r="F3" s="95" t="s">
        <v>36</v>
      </c>
      <c r="G3" s="1"/>
      <c r="H3" s="1"/>
      <c r="I3" s="1"/>
      <c r="J3" s="1"/>
      <c r="K3" s="1"/>
    </row>
    <row r="4" spans="1:20" ht="12" thickBot="1">
      <c r="A4" s="2"/>
      <c r="B4" s="3"/>
      <c r="D4" s="266">
        <v>0.03</v>
      </c>
      <c r="E4" s="266">
        <v>0.03</v>
      </c>
      <c r="F4" s="266">
        <v>0.03</v>
      </c>
      <c r="G4" s="1"/>
      <c r="H4" s="1"/>
      <c r="I4" s="1"/>
      <c r="J4" s="1"/>
      <c r="K4" s="1"/>
    </row>
    <row r="5" spans="1:20">
      <c r="A5" s="2"/>
      <c r="B5" s="3"/>
      <c r="F5" s="4"/>
      <c r="G5" s="1"/>
      <c r="H5" s="1"/>
      <c r="I5" s="1"/>
      <c r="J5" s="1"/>
      <c r="K5" s="1"/>
    </row>
    <row r="6" spans="1:20" ht="12.75">
      <c r="A6" s="55" t="s">
        <v>32</v>
      </c>
      <c r="B6" s="56"/>
      <c r="C6" s="57"/>
      <c r="D6" s="57"/>
      <c r="F6" s="4"/>
      <c r="G6" s="1"/>
      <c r="H6" s="1"/>
      <c r="I6" s="1"/>
      <c r="J6" s="1"/>
      <c r="K6" s="1"/>
    </row>
    <row r="7" spans="1:20">
      <c r="A7" s="52" t="s">
        <v>34</v>
      </c>
      <c r="D7" s="5"/>
      <c r="F7" s="1"/>
      <c r="G7" s="1"/>
      <c r="H7" s="1"/>
      <c r="I7" s="1"/>
      <c r="J7" s="1"/>
      <c r="K7" s="1"/>
    </row>
    <row r="8" spans="1:20" s="5" customFormat="1">
      <c r="A8" s="13" t="s">
        <v>27</v>
      </c>
      <c r="B8" s="14"/>
      <c r="C8" s="14"/>
      <c r="D8" s="14"/>
      <c r="E8" s="14"/>
      <c r="F8" s="6"/>
      <c r="G8" s="6"/>
      <c r="H8" s="6"/>
      <c r="I8" s="6"/>
      <c r="J8" s="15"/>
      <c r="K8" s="6"/>
      <c r="L8" s="6"/>
      <c r="M8" s="90"/>
      <c r="N8" s="90"/>
      <c r="O8" s="6"/>
      <c r="P8" s="6"/>
      <c r="Q8" s="6"/>
    </row>
    <row r="9" spans="1:20" s="19" customFormat="1" ht="33.75">
      <c r="A9" s="87" t="s">
        <v>0</v>
      </c>
      <c r="B9" s="92" t="s">
        <v>63</v>
      </c>
      <c r="C9" s="88" t="s">
        <v>44</v>
      </c>
      <c r="D9" s="88" t="s">
        <v>58</v>
      </c>
      <c r="E9" s="88" t="s">
        <v>59</v>
      </c>
      <c r="F9" s="88" t="s">
        <v>45</v>
      </c>
      <c r="G9" s="88" t="s">
        <v>46</v>
      </c>
      <c r="H9" s="88" t="s">
        <v>47</v>
      </c>
      <c r="I9" s="88" t="s">
        <v>48</v>
      </c>
      <c r="J9" s="88" t="s">
        <v>49</v>
      </c>
      <c r="K9" s="88" t="s">
        <v>60</v>
      </c>
      <c r="L9" s="88" t="s">
        <v>61</v>
      </c>
      <c r="M9" s="88" t="s">
        <v>73</v>
      </c>
      <c r="N9" s="88" t="s">
        <v>72</v>
      </c>
      <c r="O9" s="88" t="s">
        <v>62</v>
      </c>
      <c r="P9" s="88" t="s">
        <v>71</v>
      </c>
      <c r="Q9" s="62" t="s">
        <v>41</v>
      </c>
      <c r="R9" s="19" t="s">
        <v>393</v>
      </c>
      <c r="S9" s="89"/>
      <c r="T9" s="89"/>
    </row>
    <row r="10" spans="1:20">
      <c r="A10" s="7">
        <v>1</v>
      </c>
      <c r="B10" s="91">
        <f>GECbladedata!C28</f>
        <v>0</v>
      </c>
      <c r="C10" s="104">
        <f>GECbladedata!D28</f>
        <v>3708.4116472912633</v>
      </c>
      <c r="D10" s="104">
        <f>GECbladedata!E28</f>
        <v>0</v>
      </c>
      <c r="E10" s="104">
        <f>GECbladedata!F28</f>
        <v>11076.026331706065</v>
      </c>
      <c r="F10" s="65">
        <f>GECbladedata!G28</f>
        <v>0</v>
      </c>
      <c r="G10" s="105">
        <f>GECbladedata!H28</f>
        <v>0.86410972821945675</v>
      </c>
      <c r="H10" s="65">
        <f>GECbladedata!I28</f>
        <v>0</v>
      </c>
      <c r="I10" s="105">
        <f>GECbladedata!J28</f>
        <v>0.86410972821945675</v>
      </c>
      <c r="J10" s="104">
        <f>GECbladedata!K28</f>
        <v>11.1</v>
      </c>
      <c r="K10" s="255">
        <f>GECbladedata!L28</f>
        <v>22057695577.548672</v>
      </c>
      <c r="L10" s="255">
        <f>GECbladedata!M28</f>
        <v>42582928810.746231</v>
      </c>
      <c r="M10" s="255">
        <f>GECbladedata!N28</f>
        <v>63720689411.753181</v>
      </c>
      <c r="N10" s="255">
        <f>GECbladedata!O28</f>
        <v>63720689411.753181</v>
      </c>
      <c r="O10" s="105">
        <f>GECbladedata!P28</f>
        <v>3.456438912877827</v>
      </c>
      <c r="P10" s="105">
        <f>GECbladedata!Q28</f>
        <v>0</v>
      </c>
      <c r="Q10" s="67">
        <f>GECbladedata!R28</f>
        <v>1</v>
      </c>
      <c r="R10" s="335">
        <f>C10*(B11-B10)/2*B$2</f>
        <v>2373.3834542664085</v>
      </c>
      <c r="S10" s="9"/>
      <c r="T10" s="9"/>
    </row>
    <row r="11" spans="1:20">
      <c r="A11" s="7">
        <v>2</v>
      </c>
      <c r="B11" s="91">
        <f>GECbladedata!C29</f>
        <v>2.1052631578947371E-2</v>
      </c>
      <c r="C11" s="104">
        <f>GECbladedata!D29</f>
        <v>622.32317170970805</v>
      </c>
      <c r="D11" s="104">
        <f>GECbladedata!E29</f>
        <v>0</v>
      </c>
      <c r="E11" s="104">
        <f>GECbladedata!F29</f>
        <v>1858.7116243479393</v>
      </c>
      <c r="F11" s="65">
        <f>GECbladedata!G29</f>
        <v>0</v>
      </c>
      <c r="G11" s="105">
        <f>GECbladedata!H29</f>
        <v>0.86410972821945642</v>
      </c>
      <c r="H11" s="65">
        <f>GECbladedata!I29</f>
        <v>0</v>
      </c>
      <c r="I11" s="105">
        <f>GECbladedata!J29</f>
        <v>0.86410972821945642</v>
      </c>
      <c r="J11" s="104">
        <f>GECbladedata!K29</f>
        <v>11.1</v>
      </c>
      <c r="K11" s="255">
        <f>GECbladedata!L29</f>
        <v>4904988079.2989025</v>
      </c>
      <c r="L11" s="255">
        <f>GECbladedata!M29</f>
        <v>9469182296.3330479</v>
      </c>
      <c r="M11" s="255">
        <f>GECbladedata!N29</f>
        <v>14036801421.634676</v>
      </c>
      <c r="N11" s="255">
        <f>GECbladedata!O29</f>
        <v>14036801421.634676</v>
      </c>
      <c r="O11" s="105">
        <f>GECbladedata!P29</f>
        <v>3.4564389128778257</v>
      </c>
      <c r="P11" s="105">
        <f>GECbladedata!Q29</f>
        <v>0</v>
      </c>
      <c r="Q11" s="67">
        <f>GECbladedata!R29</f>
        <v>1</v>
      </c>
      <c r="R11" s="335">
        <f>C11*(B12-B10)/2*B$2</f>
        <v>995.71707473553261</v>
      </c>
      <c r="S11" s="9"/>
      <c r="T11" s="9"/>
    </row>
    <row r="12" spans="1:20">
      <c r="A12" s="7">
        <v>3</v>
      </c>
      <c r="B12" s="91">
        <f>GECbladedata!C30</f>
        <v>5.2631578947368411E-2</v>
      </c>
      <c r="C12" s="104">
        <f>GECbladedata!D30</f>
        <v>632.66939942027682</v>
      </c>
      <c r="D12" s="104">
        <f>GECbladedata!E30</f>
        <v>0</v>
      </c>
      <c r="E12" s="104">
        <f>GECbladedata!F30</f>
        <v>1708.8987753475744</v>
      </c>
      <c r="F12" s="65">
        <f>GECbladedata!G30</f>
        <v>0</v>
      </c>
      <c r="G12" s="105">
        <f>GECbladedata!H30</f>
        <v>0.77262085188557794</v>
      </c>
      <c r="H12" s="65">
        <f>GECbladedata!I30</f>
        <v>0</v>
      </c>
      <c r="I12" s="105">
        <f>GECbladedata!J30</f>
        <v>0.70875347116870013</v>
      </c>
      <c r="J12" s="104">
        <f>GECbladedata!K30</f>
        <v>11.1</v>
      </c>
      <c r="K12" s="255">
        <f>GECbladedata!L30</f>
        <v>4111707386.3891439</v>
      </c>
      <c r="L12" s="255">
        <f>GECbladedata!M30</f>
        <v>9414556190.668129</v>
      </c>
      <c r="M12" s="255">
        <f>GECbladedata!N30</f>
        <v>13799265880.204578</v>
      </c>
      <c r="N12" s="255">
        <f>GECbladedata!O30</f>
        <v>12397882204.057547</v>
      </c>
      <c r="O12" s="105">
        <f>GECbladedata!P30</f>
        <v>3.7336804673609345</v>
      </c>
      <c r="P12" s="105">
        <f>GECbladedata!Q30</f>
        <v>-7.6798323596647219E-2</v>
      </c>
      <c r="Q12" s="67">
        <f>GECbladedata!R30</f>
        <v>1</v>
      </c>
      <c r="R12" s="335">
        <f t="shared" ref="R12:R29" si="0">C12*(B13-B11)/2*B$2</f>
        <v>1619.6336625159083</v>
      </c>
      <c r="S12" s="9"/>
      <c r="T12" s="9"/>
    </row>
    <row r="13" spans="1:20">
      <c r="A13" s="7">
        <v>4</v>
      </c>
      <c r="B13" s="91">
        <f>GECbladedata!C31</f>
        <v>0.10526315789473684</v>
      </c>
      <c r="C13" s="104">
        <f>GECbladedata!D31</f>
        <v>649.91311227122469</v>
      </c>
      <c r="D13" s="104">
        <f>GECbladedata!E31</f>
        <v>0</v>
      </c>
      <c r="E13" s="104">
        <f>GECbladedata!F31</f>
        <v>1459.2106936802998</v>
      </c>
      <c r="F13" s="65">
        <f>GECbladedata!G31</f>
        <v>0</v>
      </c>
      <c r="G13" s="105">
        <f>GECbladedata!H31</f>
        <v>0.62013939132911378</v>
      </c>
      <c r="H13" s="65">
        <f>GECbladedata!I31</f>
        <v>0</v>
      </c>
      <c r="I13" s="105">
        <f>GECbladedata!J31</f>
        <v>0.44982637608410653</v>
      </c>
      <c r="J13" s="104">
        <f>GECbladedata!K31</f>
        <v>11.1</v>
      </c>
      <c r="K13" s="255">
        <f>GECbladedata!L31</f>
        <v>2789572898.206214</v>
      </c>
      <c r="L13" s="255">
        <f>GECbladedata!M31</f>
        <v>9323512681.2265987</v>
      </c>
      <c r="M13" s="255">
        <f>GECbladedata!N31</f>
        <v>13403373311.154413</v>
      </c>
      <c r="N13" s="255">
        <f>GECbladedata!O31</f>
        <v>9666350174.7623291</v>
      </c>
      <c r="O13" s="105">
        <f>GECbladedata!P31</f>
        <v>4.1957497248327833</v>
      </c>
      <c r="P13" s="105">
        <f>GECbladedata!Q31</f>
        <v>-0.20479552959105923</v>
      </c>
      <c r="Q13" s="67">
        <f>GECbladedata!R31</f>
        <v>2</v>
      </c>
      <c r="R13" s="335">
        <f t="shared" si="0"/>
        <v>2079.7219592679189</v>
      </c>
      <c r="S13" s="9"/>
      <c r="T13" s="9"/>
    </row>
    <row r="14" spans="1:20">
      <c r="A14" s="7">
        <v>5</v>
      </c>
      <c r="B14" s="91">
        <f>GECbladedata!C32</f>
        <v>0.15789473684210525</v>
      </c>
      <c r="C14" s="104">
        <f>GECbladedata!D32</f>
        <v>667.15682512217268</v>
      </c>
      <c r="D14" s="104">
        <f>GECbladedata!E32</f>
        <v>0</v>
      </c>
      <c r="E14" s="104">
        <f>GECbladedata!F32</f>
        <v>1209.5226120130246</v>
      </c>
      <c r="F14" s="65">
        <f>GECbladedata!G32</f>
        <v>0</v>
      </c>
      <c r="G14" s="105">
        <f>GECbladedata!H32</f>
        <v>0.46765793077264961</v>
      </c>
      <c r="H14" s="65">
        <f>GECbladedata!I32</f>
        <v>0</v>
      </c>
      <c r="I14" s="105">
        <f>GECbladedata!J32</f>
        <v>0.1908992809995127</v>
      </c>
      <c r="J14" s="104">
        <f>GECbladedata!K32</f>
        <v>11.1</v>
      </c>
      <c r="K14" s="255">
        <f>GECbladedata!L32</f>
        <v>1467438410.0232835</v>
      </c>
      <c r="L14" s="255">
        <f>GECbladedata!M32</f>
        <v>9232469171.7850685</v>
      </c>
      <c r="M14" s="255">
        <f>GECbladedata!N32</f>
        <v>13007480742.104248</v>
      </c>
      <c r="N14" s="255">
        <f>GECbladedata!O32</f>
        <v>6934818145.4671125</v>
      </c>
      <c r="O14" s="105">
        <f>GECbladedata!P32</f>
        <v>4.6578189823046312</v>
      </c>
      <c r="P14" s="105">
        <f>GECbladedata!Q32</f>
        <v>-0.33279273558547134</v>
      </c>
      <c r="Q14" s="67">
        <f>GECbladedata!R32</f>
        <v>2</v>
      </c>
      <c r="R14" s="335">
        <f t="shared" si="0"/>
        <v>2134.9018403909522</v>
      </c>
      <c r="S14" s="9"/>
      <c r="T14" s="9"/>
    </row>
    <row r="15" spans="1:20">
      <c r="A15" s="7">
        <v>6</v>
      </c>
      <c r="B15" s="91">
        <f>GECbladedata!C33</f>
        <v>0.21052631578947367</v>
      </c>
      <c r="C15" s="104">
        <f>GECbladedata!D33</f>
        <v>684.40053797312055</v>
      </c>
      <c r="D15" s="104">
        <f>GECbladedata!E33</f>
        <v>0</v>
      </c>
      <c r="E15" s="104">
        <f>GECbladedata!F33</f>
        <v>959.83453034575007</v>
      </c>
      <c r="F15" s="65">
        <f>GECbladedata!G33</f>
        <v>0</v>
      </c>
      <c r="G15" s="105">
        <f>GECbladedata!H33</f>
        <v>0.31517647021618544</v>
      </c>
      <c r="H15" s="65">
        <f>GECbladedata!I33</f>
        <v>0</v>
      </c>
      <c r="I15" s="105">
        <f>GECbladedata!J33</f>
        <v>-6.8027814085081018E-2</v>
      </c>
      <c r="J15" s="104">
        <f>GECbladedata!K33</f>
        <v>11.1</v>
      </c>
      <c r="K15" s="255">
        <f>GECbladedata!L33</f>
        <v>145303921.84035307</v>
      </c>
      <c r="L15" s="255">
        <f>GECbladedata!M33</f>
        <v>9141425662.3435383</v>
      </c>
      <c r="M15" s="255">
        <f>GECbladedata!N33</f>
        <v>12611588173.054085</v>
      </c>
      <c r="N15" s="255">
        <f>GECbladedata!O33</f>
        <v>4203286116.1718955</v>
      </c>
      <c r="O15" s="105">
        <f>GECbladedata!P33</f>
        <v>5.11988823977648</v>
      </c>
      <c r="P15" s="105">
        <f>GECbladedata!Q33</f>
        <v>-0.46078994157988334</v>
      </c>
      <c r="Q15" s="67">
        <f>GECbladedata!R33</f>
        <v>2</v>
      </c>
      <c r="R15" s="335">
        <f t="shared" si="0"/>
        <v>2190.0817215139855</v>
      </c>
      <c r="S15" s="9"/>
      <c r="T15" s="9"/>
    </row>
    <row r="16" spans="1:20">
      <c r="A16" s="7">
        <v>7</v>
      </c>
      <c r="B16" s="91">
        <f>GECbladedata!C34</f>
        <v>0.26315789473684209</v>
      </c>
      <c r="C16" s="104">
        <f>GECbladedata!D34</f>
        <v>650.77448832242987</v>
      </c>
      <c r="D16" s="104">
        <f>GECbladedata!E34</f>
        <v>0</v>
      </c>
      <c r="E16" s="104">
        <f>GECbladedata!F34</f>
        <v>828.75564871122083</v>
      </c>
      <c r="F16" s="65">
        <f>GECbladedata!G34</f>
        <v>0</v>
      </c>
      <c r="G16" s="105">
        <f>GECbladedata!H34</f>
        <v>0.30387198226998036</v>
      </c>
      <c r="H16" s="65">
        <f>GECbladedata!I34</f>
        <v>0</v>
      </c>
      <c r="I16" s="105">
        <f>GECbladedata!J34</f>
        <v>-4.3930741128529717E-2</v>
      </c>
      <c r="J16" s="104">
        <f>GECbladedata!K34</f>
        <v>9.5</v>
      </c>
      <c r="K16" s="255">
        <f>GECbladedata!L34</f>
        <v>127815352.69059727</v>
      </c>
      <c r="L16" s="255">
        <f>GECbladedata!M34</f>
        <v>8692878361.4346962</v>
      </c>
      <c r="M16" s="255">
        <f>GECbladedata!N34</f>
        <v>10597335190.665302</v>
      </c>
      <c r="N16" s="255">
        <f>GECbladedata!O34</f>
        <v>3566082052.4026623</v>
      </c>
      <c r="O16" s="105">
        <f>GECbladedata!P34</f>
        <v>4.8810261620523248</v>
      </c>
      <c r="P16" s="105">
        <f>GECbladedata!Q34</f>
        <v>-0.4157388874777751</v>
      </c>
      <c r="Q16" s="67">
        <f>GECbladedata!R34</f>
        <v>2</v>
      </c>
      <c r="R16" s="335">
        <f t="shared" si="0"/>
        <v>2082.4783626317753</v>
      </c>
      <c r="S16" s="9"/>
      <c r="T16" s="9"/>
    </row>
    <row r="17" spans="1:20">
      <c r="A17" s="7">
        <v>8</v>
      </c>
      <c r="B17" s="91">
        <f>GECbladedata!C35</f>
        <v>0.31578947368421051</v>
      </c>
      <c r="C17" s="104">
        <f>GECbladedata!D35</f>
        <v>617.14843867173909</v>
      </c>
      <c r="D17" s="104">
        <f>GECbladedata!E35</f>
        <v>0</v>
      </c>
      <c r="E17" s="104">
        <f>GECbladedata!F35</f>
        <v>697.67676707669148</v>
      </c>
      <c r="F17" s="65">
        <f>GECbladedata!G35</f>
        <v>0</v>
      </c>
      <c r="G17" s="105">
        <f>GECbladedata!H35</f>
        <v>0.29256749432377527</v>
      </c>
      <c r="H17" s="65">
        <f>GECbladedata!I35</f>
        <v>0</v>
      </c>
      <c r="I17" s="105">
        <f>GECbladedata!J35</f>
        <v>-1.9833668171978416E-2</v>
      </c>
      <c r="J17" s="104">
        <f>GECbladedata!K35</f>
        <v>7.9</v>
      </c>
      <c r="K17" s="255">
        <f>GECbladedata!L35</f>
        <v>110326783.54084146</v>
      </c>
      <c r="L17" s="255">
        <f>GECbladedata!M35</f>
        <v>8244331060.5258551</v>
      </c>
      <c r="M17" s="255">
        <f>GECbladedata!N35</f>
        <v>8583082208.2765217</v>
      </c>
      <c r="N17" s="255">
        <f>GECbladedata!O35</f>
        <v>2928877988.6334295</v>
      </c>
      <c r="O17" s="105">
        <f>GECbladedata!P35</f>
        <v>4.6421640843281695</v>
      </c>
      <c r="P17" s="105">
        <f>GECbladedata!Q35</f>
        <v>-0.37068783337566691</v>
      </c>
      <c r="Q17" s="67">
        <f>GECbladedata!R35</f>
        <v>2</v>
      </c>
      <c r="R17" s="335">
        <f t="shared" si="0"/>
        <v>1974.8750037495649</v>
      </c>
      <c r="S17" s="9"/>
      <c r="T17" s="9"/>
    </row>
    <row r="18" spans="1:20">
      <c r="A18" s="7">
        <v>9</v>
      </c>
      <c r="B18" s="91">
        <f>GECbladedata!C36</f>
        <v>0.36842105263157893</v>
      </c>
      <c r="C18" s="104">
        <f>GECbladedata!D36</f>
        <v>583.52238902104841</v>
      </c>
      <c r="D18" s="104">
        <f>GECbladedata!E36</f>
        <v>0</v>
      </c>
      <c r="E18" s="104">
        <f>GECbladedata!F36</f>
        <v>566.59788544216212</v>
      </c>
      <c r="F18" s="65">
        <f>GECbladedata!G36</f>
        <v>0</v>
      </c>
      <c r="G18" s="105">
        <f>GECbladedata!H36</f>
        <v>0.28126300637757018</v>
      </c>
      <c r="H18" s="65">
        <f>GECbladedata!I36</f>
        <v>0</v>
      </c>
      <c r="I18" s="105">
        <f>GECbladedata!J36</f>
        <v>4.2634047845729189E-3</v>
      </c>
      <c r="J18" s="104">
        <f>GECbladedata!K36</f>
        <v>6.2999999999999989</v>
      </c>
      <c r="K18" s="255">
        <f>GECbladedata!L36</f>
        <v>92838214.391085625</v>
      </c>
      <c r="L18" s="255">
        <f>GECbladedata!M36</f>
        <v>7795783759.617012</v>
      </c>
      <c r="M18" s="255">
        <f>GECbladedata!N36</f>
        <v>6568829225.8877373</v>
      </c>
      <c r="N18" s="255">
        <f>GECbladedata!O36</f>
        <v>2291673924.8641958</v>
      </c>
      <c r="O18" s="105">
        <f>GECbladedata!P36</f>
        <v>4.4033020066040134</v>
      </c>
      <c r="P18" s="105">
        <f>GECbladedata!Q36</f>
        <v>-0.32563677927355861</v>
      </c>
      <c r="Q18" s="67">
        <f>GECbladedata!R36</f>
        <v>2</v>
      </c>
      <c r="R18" s="335">
        <f t="shared" si="0"/>
        <v>1867.2716448673546</v>
      </c>
      <c r="S18" s="9"/>
      <c r="T18" s="9"/>
    </row>
    <row r="19" spans="1:20">
      <c r="A19" s="7">
        <v>10</v>
      </c>
      <c r="B19" s="91">
        <f>GECbladedata!C37</f>
        <v>0.42105263157894735</v>
      </c>
      <c r="C19" s="104">
        <f>GECbladedata!D37</f>
        <v>549.89633937035762</v>
      </c>
      <c r="D19" s="104">
        <f>GECbladedata!E37</f>
        <v>0</v>
      </c>
      <c r="E19" s="104">
        <f>GECbladedata!F37</f>
        <v>435.51900380763277</v>
      </c>
      <c r="F19" s="65">
        <f>GECbladedata!G37</f>
        <v>0</v>
      </c>
      <c r="G19" s="105">
        <f>GECbladedata!H37</f>
        <v>0.26995851843136509</v>
      </c>
      <c r="H19" s="65">
        <f>GECbladedata!I37</f>
        <v>0</v>
      </c>
      <c r="I19" s="105">
        <f>GECbladedata!J37</f>
        <v>2.8360477741124213E-2</v>
      </c>
      <c r="J19" s="104">
        <f>GECbladedata!K37</f>
        <v>4.6999999999999993</v>
      </c>
      <c r="K19" s="255">
        <f>GECbladedata!L37</f>
        <v>75349645.241329819</v>
      </c>
      <c r="L19" s="255">
        <f>GECbladedata!M37</f>
        <v>7347236458.7081709</v>
      </c>
      <c r="M19" s="255">
        <f>GECbladedata!N37</f>
        <v>4554576243.4989557</v>
      </c>
      <c r="N19" s="255">
        <f>GECbladedata!O37</f>
        <v>1654469861.0949631</v>
      </c>
      <c r="O19" s="105">
        <f>GECbladedata!P37</f>
        <v>4.1644399288798581</v>
      </c>
      <c r="P19" s="105">
        <f>GECbladedata!Q37</f>
        <v>-0.28058572517145042</v>
      </c>
      <c r="Q19" s="67">
        <f>GECbladedata!R37</f>
        <v>2</v>
      </c>
      <c r="R19" s="335">
        <f t="shared" si="0"/>
        <v>1759.6682859851442</v>
      </c>
      <c r="S19" s="9"/>
      <c r="T19" s="9"/>
    </row>
    <row r="20" spans="1:20">
      <c r="A20" s="7">
        <v>11</v>
      </c>
      <c r="B20" s="91">
        <f>GECbladedata!C38</f>
        <v>0.47368421052631576</v>
      </c>
      <c r="C20" s="104">
        <f>GECbladedata!D38</f>
        <v>516.27028971966695</v>
      </c>
      <c r="D20" s="104">
        <f>GECbladedata!E38</f>
        <v>0</v>
      </c>
      <c r="E20" s="104">
        <f>GECbladedata!F38</f>
        <v>304.44012217310359</v>
      </c>
      <c r="F20" s="65">
        <f>GECbladedata!G38</f>
        <v>0</v>
      </c>
      <c r="G20" s="105">
        <f>GECbladedata!H38</f>
        <v>0.25865403048516</v>
      </c>
      <c r="H20" s="65">
        <f>GECbladedata!I38</f>
        <v>0</v>
      </c>
      <c r="I20" s="105">
        <f>GECbladedata!J38</f>
        <v>5.2457550697675527E-2</v>
      </c>
      <c r="J20" s="104">
        <f>GECbladedata!K38</f>
        <v>3.1</v>
      </c>
      <c r="K20" s="255">
        <f>GECbladedata!L38</f>
        <v>57861076.091574006</v>
      </c>
      <c r="L20" s="255">
        <f>GECbladedata!M38</f>
        <v>6898689157.7993288</v>
      </c>
      <c r="M20" s="255">
        <f>GECbladedata!N38</f>
        <v>2540323261.1101747</v>
      </c>
      <c r="N20" s="255">
        <f>GECbladedata!O38</f>
        <v>1017265797.32573</v>
      </c>
      <c r="O20" s="105">
        <f>GECbladedata!P38</f>
        <v>3.9255778511557029</v>
      </c>
      <c r="P20" s="105">
        <f>GECbladedata!Q38</f>
        <v>-0.23553467106934217</v>
      </c>
      <c r="Q20" s="67">
        <f>GECbladedata!R38</f>
        <v>2</v>
      </c>
      <c r="R20" s="335">
        <f t="shared" si="0"/>
        <v>1652.064927102934</v>
      </c>
      <c r="S20" s="9"/>
      <c r="T20" s="9"/>
    </row>
    <row r="21" spans="1:20">
      <c r="A21" s="7">
        <v>12</v>
      </c>
      <c r="B21" s="91">
        <f>GECbladedata!C39</f>
        <v>0.52631578947368418</v>
      </c>
      <c r="C21" s="104">
        <f>GECbladedata!D39</f>
        <v>458.04767332933284</v>
      </c>
      <c r="D21" s="104">
        <f>GECbladedata!E39</f>
        <v>0</v>
      </c>
      <c r="E21" s="104">
        <f>GECbladedata!F39</f>
        <v>256.73409924112951</v>
      </c>
      <c r="F21" s="65">
        <f>GECbladedata!G39</f>
        <v>0</v>
      </c>
      <c r="G21" s="105">
        <f>GECbladedata!H39</f>
        <v>0.26562229017865951</v>
      </c>
      <c r="H21" s="65">
        <f>GECbladedata!I39</f>
        <v>0</v>
      </c>
      <c r="I21" s="105">
        <f>GECbladedata!J39</f>
        <v>6.7166155788635717E-2</v>
      </c>
      <c r="J21" s="104">
        <f>GECbladedata!K39</f>
        <v>2.5999999999999996</v>
      </c>
      <c r="K21" s="255">
        <f>GECbladedata!L39</f>
        <v>48609907.71594812</v>
      </c>
      <c r="L21" s="255">
        <f>GECbladedata!M39</f>
        <v>6100410162.8420143</v>
      </c>
      <c r="M21" s="255">
        <f>GECbladedata!N39</f>
        <v>2154341469.8832569</v>
      </c>
      <c r="N21" s="255">
        <f>GECbladedata!O39</f>
        <v>845657414.97322845</v>
      </c>
      <c r="O21" s="105">
        <f>GECbladedata!P39</f>
        <v>3.6867157734315472</v>
      </c>
      <c r="P21" s="105">
        <f>GECbladedata!Q39</f>
        <v>-0.20481534163068327</v>
      </c>
      <c r="Q21" s="67">
        <f>GECbladedata!R39</f>
        <v>3</v>
      </c>
      <c r="R21" s="335">
        <f t="shared" si="0"/>
        <v>1465.7525546538641</v>
      </c>
      <c r="S21" s="9"/>
      <c r="T21" s="9"/>
    </row>
    <row r="22" spans="1:20">
      <c r="A22" s="7">
        <v>13</v>
      </c>
      <c r="B22" s="91">
        <f>GECbladedata!C40</f>
        <v>0.57894736842105254</v>
      </c>
      <c r="C22" s="104">
        <f>GECbladedata!D40</f>
        <v>399.8250569389989</v>
      </c>
      <c r="D22" s="104">
        <f>GECbladedata!E40</f>
        <v>0</v>
      </c>
      <c r="E22" s="104">
        <f>GECbladedata!F40</f>
        <v>209.02807630915558</v>
      </c>
      <c r="F22" s="65">
        <f>GECbladedata!G40</f>
        <v>0</v>
      </c>
      <c r="G22" s="105">
        <f>GECbladedata!H40</f>
        <v>0.27259054987215903</v>
      </c>
      <c r="H22" s="65">
        <f>GECbladedata!I40</f>
        <v>0</v>
      </c>
      <c r="I22" s="105">
        <f>GECbladedata!J40</f>
        <v>8.1874760879595887E-2</v>
      </c>
      <c r="J22" s="104">
        <f>GECbladedata!K40</f>
        <v>2.1000000000000005</v>
      </c>
      <c r="K22" s="255">
        <f>GECbladedata!L40</f>
        <v>39358739.340322256</v>
      </c>
      <c r="L22" s="255">
        <f>GECbladedata!M40</f>
        <v>5302131167.8847008</v>
      </c>
      <c r="M22" s="255">
        <f>GECbladedata!N40</f>
        <v>1768359678.6563401</v>
      </c>
      <c r="N22" s="255">
        <f>GECbladedata!O40</f>
        <v>674049032.6207273</v>
      </c>
      <c r="O22" s="105">
        <f>GECbladedata!P40</f>
        <v>3.447853695707392</v>
      </c>
      <c r="P22" s="105">
        <f>GECbladedata!Q40</f>
        <v>-0.17409601219202445</v>
      </c>
      <c r="Q22" s="67">
        <f>GECbladedata!R40</f>
        <v>3</v>
      </c>
      <c r="R22" s="335">
        <f t="shared" si="0"/>
        <v>1279.4401822047964</v>
      </c>
      <c r="S22" s="9"/>
      <c r="T22" s="9"/>
    </row>
    <row r="23" spans="1:20">
      <c r="A23" s="7">
        <v>14</v>
      </c>
      <c r="B23" s="91">
        <f>GECbladedata!C41</f>
        <v>0.63157894736842102</v>
      </c>
      <c r="C23" s="104">
        <f>GECbladedata!D41</f>
        <v>341.60244054866479</v>
      </c>
      <c r="D23" s="104">
        <f>GECbladedata!E41</f>
        <v>0</v>
      </c>
      <c r="E23" s="104">
        <f>GECbladedata!F41</f>
        <v>161.32205337718153</v>
      </c>
      <c r="F23" s="65">
        <f>GECbladedata!G41</f>
        <v>0</v>
      </c>
      <c r="G23" s="105">
        <f>GECbladedata!H41</f>
        <v>0.27955880956565848</v>
      </c>
      <c r="H23" s="65">
        <f>GECbladedata!I41</f>
        <v>0</v>
      </c>
      <c r="I23" s="105">
        <f>GECbladedata!J41</f>
        <v>9.6583365970556084E-2</v>
      </c>
      <c r="J23" s="104">
        <f>GECbladedata!K41</f>
        <v>1.5999999999999999</v>
      </c>
      <c r="K23" s="255">
        <f>GECbladedata!L41</f>
        <v>30107570.96469637</v>
      </c>
      <c r="L23" s="255">
        <f>GECbladedata!M41</f>
        <v>4503852172.9273863</v>
      </c>
      <c r="M23" s="255">
        <f>GECbladedata!N41</f>
        <v>1382377887.4294226</v>
      </c>
      <c r="N23" s="255">
        <f>GECbladedata!O41</f>
        <v>502440650.26822585</v>
      </c>
      <c r="O23" s="105">
        <f>GECbladedata!P41</f>
        <v>3.2089916179832363</v>
      </c>
      <c r="P23" s="105">
        <f>GECbladedata!Q41</f>
        <v>-0.14337668275336554</v>
      </c>
      <c r="Q23" s="67">
        <f>GECbladedata!R41</f>
        <v>3</v>
      </c>
      <c r="R23" s="335">
        <f t="shared" si="0"/>
        <v>1093.1278097557274</v>
      </c>
      <c r="S23" s="9"/>
      <c r="T23" s="9"/>
    </row>
    <row r="24" spans="1:20">
      <c r="A24" s="7">
        <v>15</v>
      </c>
      <c r="B24" s="91">
        <f>GECbladedata!C42</f>
        <v>0.68421052631578938</v>
      </c>
      <c r="C24" s="104">
        <f>GECbladedata!D42</f>
        <v>283.37982415833085</v>
      </c>
      <c r="D24" s="104">
        <f>GECbladedata!E42</f>
        <v>0</v>
      </c>
      <c r="E24" s="104">
        <f>GECbladedata!F42</f>
        <v>113.61603044520757</v>
      </c>
      <c r="F24" s="65">
        <f>GECbladedata!G42</f>
        <v>0</v>
      </c>
      <c r="G24" s="105">
        <f>GECbladedata!H42</f>
        <v>0.286527069259158</v>
      </c>
      <c r="H24" s="65">
        <f>GECbladedata!I42</f>
        <v>0</v>
      </c>
      <c r="I24" s="105">
        <f>GECbladedata!J42</f>
        <v>0.11129197106151624</v>
      </c>
      <c r="J24" s="104">
        <f>GECbladedata!K42</f>
        <v>1.1000000000000005</v>
      </c>
      <c r="K24" s="255">
        <f>GECbladedata!L42</f>
        <v>20856402.589070506</v>
      </c>
      <c r="L24" s="255">
        <f>GECbladedata!M42</f>
        <v>3705573177.9700732</v>
      </c>
      <c r="M24" s="255">
        <f>GECbladedata!N42</f>
        <v>996396096.20250583</v>
      </c>
      <c r="N24" s="255">
        <f>GECbladedata!O42</f>
        <v>330832267.91572475</v>
      </c>
      <c r="O24" s="105">
        <f>GECbladedata!P42</f>
        <v>2.970129540259081</v>
      </c>
      <c r="P24" s="105">
        <f>GECbladedata!Q42</f>
        <v>-0.11265735331470672</v>
      </c>
      <c r="Q24" s="67">
        <f>GECbladedata!R42</f>
        <v>3</v>
      </c>
      <c r="R24" s="335">
        <f t="shared" si="0"/>
        <v>906.81543730665862</v>
      </c>
      <c r="S24" s="9"/>
      <c r="T24" s="9"/>
    </row>
    <row r="25" spans="1:20">
      <c r="A25" s="7">
        <v>16</v>
      </c>
      <c r="B25" s="91">
        <f>GECbladedata!C43</f>
        <v>0.73684210526315785</v>
      </c>
      <c r="C25" s="104">
        <f>GECbladedata!D43</f>
        <v>225.15720776799671</v>
      </c>
      <c r="D25" s="104">
        <f>GECbladedata!E43</f>
        <v>0</v>
      </c>
      <c r="E25" s="104">
        <f>GECbladedata!F43</f>
        <v>65.910007513233523</v>
      </c>
      <c r="F25" s="65">
        <f>GECbladedata!G43</f>
        <v>0</v>
      </c>
      <c r="G25" s="105">
        <f>GECbladedata!H43</f>
        <v>0.29349532895265751</v>
      </c>
      <c r="H25" s="65">
        <f>GECbladedata!I43</f>
        <v>0</v>
      </c>
      <c r="I25" s="105">
        <f>GECbladedata!J43</f>
        <v>0.12600057615247642</v>
      </c>
      <c r="J25" s="104">
        <f>GECbladedata!K43</f>
        <v>0.6</v>
      </c>
      <c r="K25" s="255">
        <f>GECbladedata!L43</f>
        <v>11605234.21344462</v>
      </c>
      <c r="L25" s="255">
        <f>GECbladedata!M43</f>
        <v>2907294183.0127583</v>
      </c>
      <c r="M25" s="255">
        <f>GECbladedata!N43</f>
        <v>610414304.9755882</v>
      </c>
      <c r="N25" s="255">
        <f>GECbladedata!O43</f>
        <v>159223885.56322324</v>
      </c>
      <c r="O25" s="105">
        <f>GECbladedata!P43</f>
        <v>2.7312674625349254</v>
      </c>
      <c r="P25" s="105">
        <f>GECbladedata!Q43</f>
        <v>-8.193802387604783E-2</v>
      </c>
      <c r="Q25" s="67">
        <f>GECbladedata!R43</f>
        <v>3</v>
      </c>
      <c r="R25" s="335">
        <f t="shared" si="0"/>
        <v>720.50306485758938</v>
      </c>
      <c r="S25" s="9"/>
      <c r="T25" s="9"/>
    </row>
    <row r="26" spans="1:20">
      <c r="A26" s="7">
        <v>17</v>
      </c>
      <c r="B26" s="91">
        <f>GECbladedata!C44</f>
        <v>0.78947368421052622</v>
      </c>
      <c r="C26" s="104">
        <f>GECbladedata!D44</f>
        <v>184.52298204618276</v>
      </c>
      <c r="D26" s="104">
        <f>GECbladedata!E44</f>
        <v>0</v>
      </c>
      <c r="E26" s="104">
        <f>GECbladedata!F44</f>
        <v>53.817849787918163</v>
      </c>
      <c r="F26" s="65">
        <f>GECbladedata!G44</f>
        <v>0</v>
      </c>
      <c r="G26" s="105">
        <f>GECbladedata!H44</f>
        <v>0.31514094185148339</v>
      </c>
      <c r="H26" s="65">
        <f>GECbladedata!I44</f>
        <v>0</v>
      </c>
      <c r="I26" s="105">
        <f>GECbladedata!J44</f>
        <v>0.13651656963419859</v>
      </c>
      <c r="J26" s="104">
        <f>GECbladedata!K44</f>
        <v>0.47999999999999987</v>
      </c>
      <c r="K26" s="255">
        <f>GECbladedata!L44</f>
        <v>9531690.6870213486</v>
      </c>
      <c r="L26" s="255">
        <f>GECbladedata!M44</f>
        <v>2372978143.1289206</v>
      </c>
      <c r="M26" s="255">
        <f>GECbladedata!N44</f>
        <v>499056317.91128469</v>
      </c>
      <c r="N26" s="255">
        <f>GECbladedata!O44</f>
        <v>127691063.55801517</v>
      </c>
      <c r="O26" s="105">
        <f>GECbladedata!P44</f>
        <v>2.5163322326644653</v>
      </c>
      <c r="P26" s="105">
        <f>GECbladedata!Q44</f>
        <v>-6.5550419100838253E-2</v>
      </c>
      <c r="Q26" s="67">
        <f>GECbladedata!R44</f>
        <v>3</v>
      </c>
      <c r="R26" s="335">
        <f t="shared" si="0"/>
        <v>590.47354254778418</v>
      </c>
      <c r="S26" s="9"/>
      <c r="T26" s="9"/>
    </row>
    <row r="27" spans="1:20">
      <c r="A27" s="7">
        <v>18</v>
      </c>
      <c r="B27" s="91">
        <f>GECbladedata!C45</f>
        <v>0.84210526315789458</v>
      </c>
      <c r="C27" s="104">
        <f>GECbladedata!D45</f>
        <v>143.8887563243689</v>
      </c>
      <c r="D27" s="104">
        <f>GECbladedata!E45</f>
        <v>0</v>
      </c>
      <c r="E27" s="104">
        <f>GECbladedata!F45</f>
        <v>41.725692062602825</v>
      </c>
      <c r="F27" s="65">
        <f>GECbladedata!G45</f>
        <v>0</v>
      </c>
      <c r="G27" s="105">
        <f>GECbladedata!H45</f>
        <v>0.33678655475030922</v>
      </c>
      <c r="H27" s="65">
        <f>GECbladedata!I45</f>
        <v>0</v>
      </c>
      <c r="I27" s="105">
        <f>GECbladedata!J45</f>
        <v>0.14703256311592069</v>
      </c>
      <c r="J27" s="104">
        <f>GECbladedata!K45</f>
        <v>0.36000000000000004</v>
      </c>
      <c r="K27" s="255">
        <f>GECbladedata!L45</f>
        <v>7458147.1605980825</v>
      </c>
      <c r="L27" s="255">
        <f>GECbladedata!M45</f>
        <v>1838662103.2450838</v>
      </c>
      <c r="M27" s="255">
        <f>GECbladedata!N45</f>
        <v>387698330.84698135</v>
      </c>
      <c r="N27" s="255">
        <f>GECbladedata!O45</f>
        <v>96158241.552807182</v>
      </c>
      <c r="O27" s="105">
        <f>GECbladedata!P45</f>
        <v>2.3013970027940061</v>
      </c>
      <c r="P27" s="105">
        <f>GECbladedata!Q45</f>
        <v>-4.9162814325628704E-2</v>
      </c>
      <c r="Q27" s="67">
        <f>GECbladedata!R45</f>
        <v>3</v>
      </c>
      <c r="R27" s="335">
        <f t="shared" si="0"/>
        <v>460.44402023798045</v>
      </c>
      <c r="S27" s="9"/>
      <c r="T27" s="9"/>
    </row>
    <row r="28" spans="1:20">
      <c r="A28" s="7">
        <v>19</v>
      </c>
      <c r="B28" s="91">
        <f>GECbladedata!C46</f>
        <v>0.89473684210526305</v>
      </c>
      <c r="C28" s="104">
        <f>GECbladedata!D46</f>
        <v>103.25453060255496</v>
      </c>
      <c r="D28" s="104">
        <f>GECbladedata!E46</f>
        <v>0</v>
      </c>
      <c r="E28" s="104">
        <f>GECbladedata!F46</f>
        <v>29.633534337287458</v>
      </c>
      <c r="F28" s="65">
        <f>GECbladedata!G46</f>
        <v>0</v>
      </c>
      <c r="G28" s="105">
        <f>GECbladedata!H46</f>
        <v>0.3584321676491351</v>
      </c>
      <c r="H28" s="65">
        <f>GECbladedata!I46</f>
        <v>0</v>
      </c>
      <c r="I28" s="105">
        <f>GECbladedata!J46</f>
        <v>0.15754855659764286</v>
      </c>
      <c r="J28" s="104">
        <f>GECbladedata!K46</f>
        <v>0.23999999999999994</v>
      </c>
      <c r="K28" s="255">
        <f>GECbladedata!L46</f>
        <v>5384603.6341748107</v>
      </c>
      <c r="L28" s="255">
        <f>GECbladedata!M46</f>
        <v>1304346063.3612461</v>
      </c>
      <c r="M28" s="255">
        <f>GECbladedata!N46</f>
        <v>276340343.78267783</v>
      </c>
      <c r="N28" s="255">
        <f>GECbladedata!O46</f>
        <v>64625419.547599107</v>
      </c>
      <c r="O28" s="105">
        <f>GECbladedata!P46</f>
        <v>2.086461772923546</v>
      </c>
      <c r="P28" s="105">
        <f>GECbladedata!Q46</f>
        <v>-3.2775209550419127E-2</v>
      </c>
      <c r="Q28" s="67">
        <f>GECbladedata!R46</f>
        <v>4</v>
      </c>
      <c r="R28" s="335">
        <f t="shared" si="0"/>
        <v>330.41449792817588</v>
      </c>
      <c r="S28" s="9"/>
      <c r="T28" s="9"/>
    </row>
    <row r="29" spans="1:20">
      <c r="A29" s="7">
        <v>20</v>
      </c>
      <c r="B29" s="91">
        <f>GECbladedata!C47</f>
        <v>0.94736842105263142</v>
      </c>
      <c r="C29" s="104">
        <f>GECbladedata!D47</f>
        <v>62.620304880741116</v>
      </c>
      <c r="D29" s="104">
        <f>GECbladedata!E47</f>
        <v>0</v>
      </c>
      <c r="E29" s="104">
        <f>GECbladedata!F47</f>
        <v>17.541376611972126</v>
      </c>
      <c r="F29" s="65">
        <f>GECbladedata!G47</f>
        <v>0</v>
      </c>
      <c r="G29" s="105">
        <f>GECbladedata!H47</f>
        <v>0.38007778054796099</v>
      </c>
      <c r="H29" s="65">
        <f>GECbladedata!I47</f>
        <v>0</v>
      </c>
      <c r="I29" s="105">
        <f>GECbladedata!J47</f>
        <v>0.16806455007936499</v>
      </c>
      <c r="J29" s="104">
        <f>GECbladedata!K47</f>
        <v>0.12000000000000011</v>
      </c>
      <c r="K29" s="255">
        <f>GECbladedata!L47</f>
        <v>3311060.1077515446</v>
      </c>
      <c r="L29" s="255">
        <f>GECbladedata!M47</f>
        <v>770030023.47740936</v>
      </c>
      <c r="M29" s="255">
        <f>GECbladedata!N47</f>
        <v>164982356.71837449</v>
      </c>
      <c r="N29" s="255">
        <f>GECbladedata!O47</f>
        <v>33092597.542391106</v>
      </c>
      <c r="O29" s="105">
        <f>GECbladedata!P47</f>
        <v>1.8715265430530863</v>
      </c>
      <c r="P29" s="105">
        <f>GECbladedata!Q47</f>
        <v>-1.6387604775209577E-2</v>
      </c>
      <c r="Q29" s="67">
        <f>GECbladedata!R47</f>
        <v>4</v>
      </c>
      <c r="R29" s="335">
        <f t="shared" si="0"/>
        <v>200.38497561837153</v>
      </c>
      <c r="S29" s="9"/>
      <c r="T29" s="9"/>
    </row>
    <row r="30" spans="1:20">
      <c r="A30" s="7">
        <v>21</v>
      </c>
      <c r="B30" s="91">
        <f>GECbladedata!C48</f>
        <v>0.99999999999999989</v>
      </c>
      <c r="C30" s="254">
        <f>GECbladedata!D48</f>
        <v>21.986079158927165</v>
      </c>
      <c r="D30" s="104">
        <f>GECbladedata!E48</f>
        <v>0</v>
      </c>
      <c r="E30" s="104">
        <f>GECbladedata!F48</f>
        <v>5.4492188866567579</v>
      </c>
      <c r="F30" s="65">
        <f>GECbladedata!G48</f>
        <v>0</v>
      </c>
      <c r="G30" s="105">
        <f>GECbladedata!H48</f>
        <v>0.40172339344678687</v>
      </c>
      <c r="H30" s="65">
        <f>GECbladedata!I48</f>
        <v>0</v>
      </c>
      <c r="I30" s="105">
        <f>GECbladedata!J48</f>
        <v>0.17858054356108713</v>
      </c>
      <c r="J30" s="104">
        <f>GECbladedata!K48</f>
        <v>0</v>
      </c>
      <c r="K30" s="255">
        <f>GECbladedata!L48</f>
        <v>1237516.5813282721</v>
      </c>
      <c r="L30" s="255">
        <f>GECbladedata!M48</f>
        <v>235713983.59357151</v>
      </c>
      <c r="M30" s="255">
        <f>GECbladedata!N48</f>
        <v>53624369.654070929</v>
      </c>
      <c r="N30" s="255">
        <f>GECbladedata!O48</f>
        <v>1559775.5371830396</v>
      </c>
      <c r="O30" s="256">
        <f>GECbladedata!P48</f>
        <v>1.6565913131826264</v>
      </c>
      <c r="P30" s="105">
        <f>GECbladedata!Q48</f>
        <v>0</v>
      </c>
      <c r="Q30" s="67">
        <f>GECbladedata!R48</f>
        <v>4</v>
      </c>
      <c r="R30" s="335">
        <f>C30*(B30-B29)/2*B$2</f>
        <v>35.177726654283497</v>
      </c>
      <c r="S30" s="9"/>
      <c r="T30" s="9"/>
    </row>
    <row r="31" spans="1:20">
      <c r="A31" s="7">
        <v>22</v>
      </c>
      <c r="B31" s="91"/>
      <c r="C31" s="68"/>
      <c r="D31" s="65"/>
      <c r="E31" s="65"/>
      <c r="F31" s="65"/>
      <c r="G31" s="65"/>
      <c r="H31" s="65"/>
      <c r="I31" s="65"/>
      <c r="J31" s="65"/>
      <c r="K31" s="66"/>
      <c r="L31" s="66"/>
      <c r="M31" s="66"/>
      <c r="N31" s="66"/>
      <c r="O31" s="63"/>
      <c r="P31" s="65"/>
      <c r="Q31" s="67"/>
      <c r="R31" s="253"/>
      <c r="S31" s="9"/>
      <c r="T31" s="9"/>
    </row>
    <row r="32" spans="1:20">
      <c r="A32" s="7">
        <v>23</v>
      </c>
      <c r="B32" s="64"/>
      <c r="C32" s="54"/>
      <c r="D32" s="54"/>
      <c r="E32" s="54"/>
      <c r="F32" s="54"/>
      <c r="G32" s="54"/>
      <c r="H32" s="54"/>
      <c r="I32" s="54"/>
      <c r="J32" s="69"/>
      <c r="K32" s="54"/>
      <c r="L32" s="54"/>
      <c r="M32" s="54"/>
      <c r="N32" s="54"/>
      <c r="O32" s="54"/>
      <c r="P32" s="54"/>
      <c r="Q32" s="54"/>
      <c r="R32" s="253">
        <f>SUM(R10:R31)</f>
        <v>27812.331748792705</v>
      </c>
      <c r="S32" s="8"/>
    </row>
    <row r="33" spans="1:19">
      <c r="A33" s="7">
        <v>24</v>
      </c>
      <c r="B33" s="54"/>
      <c r="C33" s="54"/>
      <c r="D33" s="54"/>
      <c r="E33" s="54"/>
      <c r="F33" s="54"/>
      <c r="G33" s="54"/>
      <c r="H33" s="54"/>
      <c r="I33" s="54"/>
      <c r="J33" s="70"/>
      <c r="K33" s="71"/>
      <c r="L33" s="54"/>
      <c r="M33" s="54"/>
      <c r="N33" s="54"/>
      <c r="O33" s="54"/>
      <c r="P33" s="54"/>
      <c r="Q33" s="54"/>
      <c r="R33" s="8"/>
      <c r="S33" s="8"/>
    </row>
    <row r="34" spans="1:19">
      <c r="A34" s="7">
        <v>25</v>
      </c>
      <c r="B34" s="54"/>
      <c r="C34" s="54"/>
      <c r="D34" s="54"/>
      <c r="E34" s="54"/>
      <c r="F34" s="54"/>
      <c r="G34" s="54"/>
      <c r="H34" s="54"/>
      <c r="I34" s="54"/>
      <c r="J34" s="70"/>
      <c r="K34" s="72"/>
      <c r="L34" s="73"/>
      <c r="M34" s="54"/>
      <c r="N34" s="54"/>
      <c r="O34" s="54"/>
      <c r="P34" s="54"/>
      <c r="Q34" s="54"/>
    </row>
    <row r="35" spans="1:19">
      <c r="A35" s="7">
        <v>26</v>
      </c>
      <c r="B35" s="54"/>
      <c r="C35" s="54"/>
      <c r="D35" s="54"/>
      <c r="E35" s="54"/>
      <c r="F35" s="54"/>
      <c r="G35" s="54"/>
      <c r="H35" s="54"/>
      <c r="I35" s="54"/>
      <c r="J35" s="70"/>
      <c r="K35" s="72"/>
      <c r="L35" s="73"/>
      <c r="M35" s="54"/>
      <c r="N35" s="54"/>
      <c r="O35" s="54"/>
      <c r="P35" s="54"/>
      <c r="Q35" s="54"/>
    </row>
    <row r="36" spans="1:19">
      <c r="A36" s="7">
        <v>27</v>
      </c>
      <c r="B36" s="54"/>
      <c r="C36" s="54"/>
      <c r="D36" s="54"/>
      <c r="E36" s="54"/>
      <c r="F36" s="54"/>
      <c r="G36" s="54"/>
      <c r="H36" s="54"/>
      <c r="I36" s="54"/>
      <c r="J36" s="70"/>
      <c r="K36" s="71"/>
      <c r="L36" s="54"/>
      <c r="M36" s="54"/>
      <c r="N36" s="54"/>
      <c r="O36" s="54"/>
      <c r="P36" s="54"/>
      <c r="Q36" s="54"/>
    </row>
    <row r="37" spans="1:19">
      <c r="A37" s="7">
        <v>28</v>
      </c>
      <c r="B37" s="54"/>
      <c r="C37" s="54"/>
      <c r="D37" s="54"/>
      <c r="E37" s="54"/>
      <c r="F37" s="54"/>
      <c r="G37" s="54"/>
      <c r="H37" s="54"/>
      <c r="I37" s="54"/>
      <c r="J37" s="70"/>
      <c r="K37" s="71"/>
      <c r="L37" s="54"/>
      <c r="M37" s="54"/>
      <c r="N37" s="54"/>
      <c r="O37" s="54"/>
      <c r="P37" s="54"/>
      <c r="Q37" s="54"/>
    </row>
    <row r="38" spans="1:19">
      <c r="A38" s="7">
        <v>29</v>
      </c>
      <c r="B38" s="54"/>
      <c r="C38" s="54"/>
      <c r="D38" s="54"/>
      <c r="E38" s="54"/>
      <c r="F38" s="54"/>
      <c r="G38" s="54"/>
      <c r="H38" s="54"/>
      <c r="I38" s="54"/>
      <c r="J38" s="70"/>
      <c r="K38" s="71"/>
      <c r="L38" s="54"/>
      <c r="M38" s="54"/>
      <c r="N38" s="54"/>
      <c r="O38" s="54"/>
      <c r="P38" s="54"/>
      <c r="Q38" s="54"/>
    </row>
    <row r="39" spans="1:19">
      <c r="A39" s="7">
        <v>30</v>
      </c>
      <c r="B39" s="54"/>
      <c r="C39" s="54"/>
      <c r="D39" s="54"/>
      <c r="E39" s="54"/>
      <c r="F39" s="54"/>
      <c r="G39" s="54"/>
      <c r="H39" s="54"/>
      <c r="I39" s="54"/>
      <c r="J39" s="70"/>
      <c r="K39" s="71"/>
      <c r="L39" s="54"/>
      <c r="M39" s="54"/>
      <c r="N39" s="54"/>
      <c r="O39" s="54"/>
      <c r="P39" s="54"/>
      <c r="Q39" s="54"/>
    </row>
    <row r="40" spans="1:19">
      <c r="A40" s="16">
        <v>31</v>
      </c>
      <c r="B40" s="8"/>
      <c r="J40" s="11"/>
      <c r="K40" s="10"/>
    </row>
    <row r="41" spans="1:19">
      <c r="A41" s="16">
        <v>32</v>
      </c>
      <c r="B41" s="8"/>
      <c r="J41" s="11"/>
      <c r="K41" s="10"/>
    </row>
    <row r="42" spans="1:19">
      <c r="A42" s="16">
        <v>33</v>
      </c>
      <c r="B42" s="8"/>
      <c r="J42" s="11"/>
      <c r="K42" s="10"/>
    </row>
    <row r="43" spans="1:19">
      <c r="A43" s="16">
        <v>34</v>
      </c>
      <c r="B43" s="8"/>
      <c r="J43" s="11"/>
      <c r="K43" s="10"/>
    </row>
    <row r="44" spans="1:19">
      <c r="A44" s="16">
        <v>35</v>
      </c>
      <c r="B44" s="8"/>
      <c r="J44" s="11"/>
      <c r="K44" s="10"/>
    </row>
    <row r="45" spans="1:19">
      <c r="A45" s="16">
        <v>36</v>
      </c>
      <c r="B45" s="8"/>
      <c r="J45" s="11"/>
      <c r="K45" s="10"/>
    </row>
    <row r="46" spans="1:19">
      <c r="A46" s="16">
        <v>37</v>
      </c>
      <c r="B46" s="8"/>
      <c r="J46" s="11"/>
      <c r="K46" s="10"/>
    </row>
    <row r="47" spans="1:19">
      <c r="A47" s="8"/>
      <c r="B47" s="8"/>
      <c r="J47" s="11"/>
      <c r="K47" s="10"/>
    </row>
    <row r="48" spans="1:19">
      <c r="A48" s="8"/>
      <c r="B48" s="8"/>
      <c r="J48" s="11"/>
      <c r="K48" s="10"/>
    </row>
    <row r="49" spans="1:11">
      <c r="A49" s="8"/>
      <c r="B49" s="8"/>
      <c r="J49" s="12"/>
      <c r="K49" s="10"/>
    </row>
    <row r="50" spans="1:11">
      <c r="A50" s="8"/>
      <c r="B50" s="8"/>
      <c r="J50" s="12"/>
      <c r="K50" s="10"/>
    </row>
    <row r="51" spans="1:11">
      <c r="A51" s="8"/>
      <c r="B51" s="8"/>
      <c r="J51" s="12"/>
      <c r="K51" s="10"/>
    </row>
    <row r="52" spans="1:11">
      <c r="A52" s="8"/>
      <c r="B52" s="8"/>
      <c r="J52" s="12"/>
      <c r="K52" s="10"/>
    </row>
    <row r="53" spans="1:11">
      <c r="A53" s="8"/>
      <c r="B53" s="8"/>
      <c r="J53" s="6"/>
      <c r="K53" s="10"/>
    </row>
    <row r="54" spans="1:11">
      <c r="A54" s="8"/>
      <c r="B54" s="8"/>
      <c r="J54" s="6"/>
      <c r="K54" s="10"/>
    </row>
    <row r="55" spans="1:11">
      <c r="A55" s="8"/>
      <c r="B55" s="8"/>
      <c r="K55" s="10"/>
    </row>
    <row r="56" spans="1:11">
      <c r="A56" s="8"/>
      <c r="B56" s="8"/>
      <c r="K56" s="10"/>
    </row>
    <row r="57" spans="1:11">
      <c r="A57" s="8"/>
      <c r="B57" s="8"/>
      <c r="K57" s="10"/>
    </row>
    <row r="58" spans="1:11">
      <c r="A58" s="8"/>
      <c r="B58" s="8"/>
      <c r="K58" s="10"/>
    </row>
    <row r="59" spans="1:11">
      <c r="A59" s="8"/>
      <c r="B59" s="8"/>
      <c r="K59" s="10"/>
    </row>
    <row r="60" spans="1:11">
      <c r="A60" s="8"/>
      <c r="B60" s="8"/>
    </row>
    <row r="61" spans="1:11">
      <c r="A61" s="8"/>
      <c r="B61" s="8"/>
    </row>
    <row r="62" spans="1:11">
      <c r="A62" s="8"/>
      <c r="B62" s="8"/>
    </row>
    <row r="63" spans="1:11">
      <c r="A63" s="8"/>
      <c r="B63" s="8"/>
    </row>
    <row r="64" spans="1:11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B73" s="8"/>
    </row>
    <row r="74" spans="1:2">
      <c r="B74" s="8"/>
    </row>
    <row r="75" spans="1:2">
      <c r="B75" s="8"/>
    </row>
    <row r="76" spans="1:2">
      <c r="B76" s="8"/>
    </row>
    <row r="77" spans="1:2">
      <c r="B77" s="8"/>
    </row>
    <row r="78" spans="1:2">
      <c r="B78" s="8"/>
    </row>
    <row r="79" spans="1:2">
      <c r="B79" s="8"/>
    </row>
    <row r="80" spans="1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</sheetData>
  <mergeCells count="1">
    <mergeCell ref="D2:F2"/>
  </mergeCells>
  <phoneticPr fontId="0" type="noConversion"/>
  <pageMargins left="0.75" right="0.75" top="1" bottom="1" header="0.5" footer="0.5"/>
  <pageSetup scale="89" orientation="landscape" horizontalDpi="300" verticalDpi="300" r:id="rId1"/>
  <headerFooter alignWithMargins="0">
    <oddHeader>&amp;C&amp;F&amp;A&amp;R&amp;D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50"/>
  <sheetViews>
    <sheetView topLeftCell="C15" zoomScale="75" workbookViewId="0">
      <selection activeCell="T51" sqref="T51"/>
    </sheetView>
  </sheetViews>
  <sheetFormatPr defaultRowHeight="11.25"/>
  <cols>
    <col min="3" max="3" width="10.6640625" customWidth="1"/>
    <col min="4" max="4" width="11" customWidth="1"/>
    <col min="5" max="5" width="12.1640625" customWidth="1"/>
    <col min="6" max="6" width="14.33203125" customWidth="1"/>
    <col min="7" max="7" width="11.1640625" customWidth="1"/>
    <col min="8" max="8" width="13" customWidth="1"/>
    <col min="9" max="9" width="12.6640625" customWidth="1"/>
    <col min="10" max="10" width="11.5" customWidth="1"/>
    <col min="11" max="11" width="11.6640625" customWidth="1"/>
    <col min="12" max="12" width="10.83203125" customWidth="1"/>
    <col min="13" max="13" width="10.33203125" customWidth="1"/>
    <col min="14" max="14" width="12.33203125" customWidth="1"/>
    <col min="15" max="16" width="9.5" bestFit="1" customWidth="1"/>
    <col min="17" max="17" width="12.5" bestFit="1" customWidth="1"/>
    <col min="18" max="18" width="14.5" customWidth="1"/>
    <col min="19" max="19" width="11.33203125" bestFit="1" customWidth="1"/>
    <col min="20" max="20" width="11.6640625" bestFit="1" customWidth="1"/>
    <col min="21" max="21" width="11.33203125" bestFit="1" customWidth="1"/>
    <col min="22" max="27" width="9.5" bestFit="1" customWidth="1"/>
  </cols>
  <sheetData>
    <row r="2" spans="2:21">
      <c r="B2" t="s">
        <v>347</v>
      </c>
    </row>
    <row r="3" spans="2:21" ht="13.5">
      <c r="B3" s="185"/>
      <c r="C3" s="189" t="s">
        <v>88</v>
      </c>
      <c r="D3" s="189" t="s">
        <v>323</v>
      </c>
      <c r="E3" s="189" t="s">
        <v>89</v>
      </c>
      <c r="F3" s="196" t="s">
        <v>324</v>
      </c>
      <c r="G3" s="189" t="s">
        <v>325</v>
      </c>
      <c r="H3" s="189" t="s">
        <v>326</v>
      </c>
      <c r="I3" s="189" t="s">
        <v>327</v>
      </c>
      <c r="J3" s="189" t="s">
        <v>343</v>
      </c>
      <c r="K3" s="189" t="s">
        <v>344</v>
      </c>
      <c r="L3" s="189" t="s">
        <v>113</v>
      </c>
      <c r="M3" s="189" t="s">
        <v>112</v>
      </c>
      <c r="N3" s="197" t="s">
        <v>345</v>
      </c>
    </row>
    <row r="4" spans="2:21" ht="13.5">
      <c r="B4" s="193" t="s">
        <v>87</v>
      </c>
      <c r="C4" s="176" t="s">
        <v>90</v>
      </c>
      <c r="D4" s="176" t="s">
        <v>328</v>
      </c>
      <c r="E4" s="176" t="s">
        <v>329</v>
      </c>
      <c r="F4" s="176" t="s">
        <v>330</v>
      </c>
      <c r="G4" s="176" t="s">
        <v>330</v>
      </c>
      <c r="H4" s="176" t="s">
        <v>330</v>
      </c>
      <c r="I4" s="176" t="s">
        <v>331</v>
      </c>
      <c r="J4" s="176" t="s">
        <v>346</v>
      </c>
      <c r="K4" s="176" t="s">
        <v>346</v>
      </c>
      <c r="L4" s="176" t="s">
        <v>332</v>
      </c>
      <c r="M4" s="176" t="s">
        <v>346</v>
      </c>
      <c r="N4" s="195" t="s">
        <v>357</v>
      </c>
    </row>
    <row r="5" spans="2:21">
      <c r="B5" s="201">
        <f>'Main Page'!A121</f>
        <v>0.05</v>
      </c>
      <c r="C5" s="202">
        <f>'Main Page'!B121</f>
        <v>3.456438912877827</v>
      </c>
      <c r="D5" s="203">
        <f>'Main Page'!C121</f>
        <v>1</v>
      </c>
      <c r="E5" s="203" t="str">
        <f>'Main Page'!D121</f>
        <v>NA</v>
      </c>
      <c r="F5" s="204">
        <f>'Main Page'!E121</f>
        <v>0.25</v>
      </c>
      <c r="G5" s="202">
        <f>'Main Page'!F121</f>
        <v>0.5</v>
      </c>
      <c r="H5" s="202">
        <f>'Main Page'!G121</f>
        <v>0.5</v>
      </c>
      <c r="I5" s="205">
        <f>'Main Page'!H121</f>
        <v>3708.4116472912633</v>
      </c>
      <c r="J5" s="206">
        <f>'Main Page'!I121</f>
        <v>63720689411.753181</v>
      </c>
      <c r="K5" s="206">
        <f>'Main Page'!J121</f>
        <v>63720689411.753181</v>
      </c>
      <c r="L5" s="206">
        <f>'Main Page'!K121</f>
        <v>42582928810.746231</v>
      </c>
      <c r="M5" s="206">
        <f>'Main Page'!L121</f>
        <v>22057695577.548672</v>
      </c>
      <c r="N5" s="207">
        <f>'Main Page'!M121</f>
        <v>11076.026331706065</v>
      </c>
    </row>
    <row r="6" spans="2:21">
      <c r="B6" s="208">
        <f>'Main Page'!A122</f>
        <v>7.0000000000000007E-2</v>
      </c>
      <c r="C6" s="209">
        <f>'Main Page'!B122</f>
        <v>3.4564389128778257</v>
      </c>
      <c r="D6" s="210">
        <f>'Main Page'!C122</f>
        <v>1</v>
      </c>
      <c r="E6" s="210" t="str">
        <f>'Main Page'!D122</f>
        <v>NA</v>
      </c>
      <c r="F6" s="204">
        <f>'Main Page'!E122</f>
        <v>0.25</v>
      </c>
      <c r="G6" s="209">
        <f>'Main Page'!F122</f>
        <v>0.5</v>
      </c>
      <c r="H6" s="209">
        <f>'Main Page'!G122</f>
        <v>0.5</v>
      </c>
      <c r="I6" s="211">
        <f>'Main Page'!H122</f>
        <v>622.32317170970805</v>
      </c>
      <c r="J6" s="212">
        <f>'Main Page'!I122</f>
        <v>14036801421.634676</v>
      </c>
      <c r="K6" s="212">
        <f>'Main Page'!J122</f>
        <v>14036801421.634676</v>
      </c>
      <c r="L6" s="212">
        <f>'Main Page'!K122</f>
        <v>9469182296.3330479</v>
      </c>
      <c r="M6" s="212">
        <f>'Main Page'!L122</f>
        <v>4904988079.2989025</v>
      </c>
      <c r="N6" s="213">
        <f>'Main Page'!M122</f>
        <v>1858.7116243479393</v>
      </c>
    </row>
    <row r="7" spans="2:21">
      <c r="B7" s="198">
        <f>'Main Page'!A123</f>
        <v>0.25</v>
      </c>
      <c r="C7" s="209">
        <f>'Main Page'!B123</f>
        <v>5.11988823977648</v>
      </c>
      <c r="D7" s="210">
        <f>'Main Page'!C123</f>
        <v>0.33</v>
      </c>
      <c r="E7" s="210">
        <f>'Main Page'!D123</f>
        <v>4.4774839135584772</v>
      </c>
      <c r="F7" s="204">
        <f>'Main Page'!E123</f>
        <v>0.34</v>
      </c>
      <c r="G7" s="209">
        <f>'Main Page'!F123</f>
        <v>0.40155924806474785</v>
      </c>
      <c r="H7" s="209">
        <f>'Main Page'!G123</f>
        <v>0.32671302753123166</v>
      </c>
      <c r="I7" s="211">
        <f>'Main Page'!H123</f>
        <v>684.40053797312055</v>
      </c>
      <c r="J7" s="212">
        <f>'Main Page'!I123</f>
        <v>4203286116.1718955</v>
      </c>
      <c r="K7" s="212">
        <f>'Main Page'!J123</f>
        <v>12611588173.054085</v>
      </c>
      <c r="L7" s="199">
        <f>'Main Page'!K123</f>
        <v>9141425662.3435383</v>
      </c>
      <c r="M7" s="199">
        <f>'Main Page'!L123</f>
        <v>145303921.84035307</v>
      </c>
      <c r="N7" s="214">
        <f>'Main Page'!M123</f>
        <v>959.83453034575007</v>
      </c>
    </row>
    <row r="8" spans="2:21">
      <c r="B8" s="198">
        <f>'Main Page'!A124</f>
        <v>0.5</v>
      </c>
      <c r="C8" s="209">
        <f>'Main Page'!B124</f>
        <v>3.9255778511557029</v>
      </c>
      <c r="D8" s="215">
        <f>'Main Page'!C124</f>
        <v>0.24</v>
      </c>
      <c r="E8" s="210">
        <f>'Main Page'!D124</f>
        <v>8.9761837714735897</v>
      </c>
      <c r="F8" s="204">
        <f>'Main Page'!E124</f>
        <v>0.31</v>
      </c>
      <c r="G8" s="209">
        <f>'Main Page'!F124</f>
        <v>0.37588941559495792</v>
      </c>
      <c r="H8" s="209">
        <f>'Main Page'!G124</f>
        <v>0.32336301372350362</v>
      </c>
      <c r="I8" s="211">
        <f>'Main Page'!H124</f>
        <v>516.27028971966695</v>
      </c>
      <c r="J8" s="212">
        <f>'Main Page'!I124</f>
        <v>1017265797.32573</v>
      </c>
      <c r="K8" s="212">
        <f>'Main Page'!J124</f>
        <v>2540323261.1101747</v>
      </c>
      <c r="L8" s="199">
        <f>'Main Page'!K124</f>
        <v>6898689157.7993288</v>
      </c>
      <c r="M8" s="199">
        <f>'Main Page'!L124</f>
        <v>57861076.091574006</v>
      </c>
      <c r="N8" s="214">
        <f>'Main Page'!M124</f>
        <v>304.44012217310359</v>
      </c>
    </row>
    <row r="9" spans="2:21">
      <c r="B9" s="198">
        <f>'Main Page'!A125</f>
        <v>0.75</v>
      </c>
      <c r="C9" s="209">
        <f>'Main Page'!B125</f>
        <v>2.7312674625349254</v>
      </c>
      <c r="D9" s="215">
        <f>'Main Page'!C125</f>
        <v>0.21</v>
      </c>
      <c r="E9" s="210">
        <f>'Main Page'!D125</f>
        <v>8.8011309411295144</v>
      </c>
      <c r="F9" s="204">
        <f>'Main Page'!E125</f>
        <v>0.28000000000000003</v>
      </c>
      <c r="G9" s="209">
        <f>'Main Page'!F125</f>
        <v>0.38745755696890288</v>
      </c>
      <c r="H9" s="209">
        <f>'Main Page'!G125</f>
        <v>0.3261326391065098</v>
      </c>
      <c r="I9" s="211">
        <f>'Main Page'!H125</f>
        <v>225.15720776799671</v>
      </c>
      <c r="J9" s="212">
        <f>'Main Page'!I125</f>
        <v>159223885.56322324</v>
      </c>
      <c r="K9" s="212">
        <f>'Main Page'!J125</f>
        <v>610414304.9755882</v>
      </c>
      <c r="L9" s="199">
        <f>'Main Page'!K125</f>
        <v>2907294183.0127583</v>
      </c>
      <c r="M9" s="199">
        <f>'Main Page'!L125</f>
        <v>11605234.21344462</v>
      </c>
      <c r="N9" s="214">
        <f>'Main Page'!M125</f>
        <v>65.910007513233523</v>
      </c>
    </row>
    <row r="10" spans="2:21">
      <c r="B10" s="216">
        <f>'Main Page'!A126</f>
        <v>1</v>
      </c>
      <c r="C10" s="217">
        <f>'Main Page'!B126</f>
        <v>1.6565913131826264</v>
      </c>
      <c r="D10" s="218">
        <f>'Main Page'!C126</f>
        <v>0.16</v>
      </c>
      <c r="E10" s="218">
        <f>'Main Page'!D126</f>
        <v>0</v>
      </c>
      <c r="F10" s="217">
        <f>'Main Page'!E126</f>
        <v>0.25</v>
      </c>
      <c r="G10" s="217">
        <f>'Main Page'!F126</f>
        <v>0.49249999999999999</v>
      </c>
      <c r="H10" s="217">
        <f>'Main Page'!G126</f>
        <v>0.35780000000000001</v>
      </c>
      <c r="I10" s="219">
        <f>'Main Page'!H126</f>
        <v>21.986079158927165</v>
      </c>
      <c r="J10" s="220">
        <f>'Main Page'!I126</f>
        <v>1559775.5371830396</v>
      </c>
      <c r="K10" s="220">
        <f>'Main Page'!J126</f>
        <v>53624369.654070929</v>
      </c>
      <c r="L10" s="221">
        <f>'Main Page'!K126</f>
        <v>235713983.59357151</v>
      </c>
      <c r="M10" s="221">
        <f>'Main Page'!L126</f>
        <v>1237516.5813282721</v>
      </c>
      <c r="N10" s="222">
        <f>'Main Page'!M126</f>
        <v>5.4492188866567579</v>
      </c>
    </row>
    <row r="11" spans="2:21">
      <c r="J11" s="101"/>
      <c r="L11" s="101"/>
      <c r="M11" s="102"/>
      <c r="N11" s="103"/>
      <c r="Q11" s="108"/>
      <c r="R11" s="108"/>
      <c r="S11" s="108"/>
      <c r="T11" s="108"/>
      <c r="U11" s="108"/>
    </row>
    <row r="12" spans="2:21">
      <c r="B12" s="185"/>
      <c r="C12" s="223" t="s">
        <v>353</v>
      </c>
      <c r="D12" s="228">
        <f>'Main Page'!B13/2</f>
        <v>64</v>
      </c>
      <c r="E12" s="190" t="s">
        <v>85</v>
      </c>
      <c r="J12" s="101"/>
      <c r="L12" s="101"/>
      <c r="M12" s="102"/>
      <c r="N12" s="103"/>
      <c r="Q12" s="108"/>
      <c r="R12" s="108"/>
      <c r="S12" s="108"/>
      <c r="T12" s="108"/>
      <c r="U12" s="108"/>
    </row>
    <row r="13" spans="2:21">
      <c r="B13" s="224"/>
      <c r="C13" s="225" t="s">
        <v>354</v>
      </c>
      <c r="D13" s="229">
        <f>'Main Page'!B53/2</f>
        <v>3.2</v>
      </c>
      <c r="E13" s="227" t="s">
        <v>85</v>
      </c>
      <c r="J13" s="101"/>
      <c r="L13" s="101"/>
      <c r="M13" s="102"/>
      <c r="N13" s="103"/>
      <c r="Q13" s="108"/>
      <c r="R13" s="108"/>
      <c r="S13" s="108"/>
      <c r="T13" s="108"/>
      <c r="U13" s="108"/>
    </row>
    <row r="14" spans="2:21">
      <c r="J14" s="101"/>
      <c r="L14" s="101"/>
      <c r="M14" s="102"/>
      <c r="N14" s="103"/>
      <c r="Q14" s="108"/>
      <c r="R14" s="108"/>
      <c r="S14" s="108"/>
      <c r="T14" s="108"/>
      <c r="U14" s="108"/>
    </row>
    <row r="15" spans="2:21">
      <c r="B15" t="s">
        <v>352</v>
      </c>
      <c r="J15" s="101"/>
      <c r="L15" s="101"/>
      <c r="M15" s="102"/>
      <c r="N15" s="103"/>
      <c r="Q15" s="108"/>
      <c r="R15" s="108"/>
      <c r="S15" s="108"/>
      <c r="T15" s="108"/>
      <c r="U15" s="108"/>
    </row>
    <row r="16" spans="2:21" ht="13.5">
      <c r="B16" s="230" t="s">
        <v>87</v>
      </c>
      <c r="C16" s="231" t="s">
        <v>139</v>
      </c>
      <c r="D16" s="231" t="s">
        <v>154</v>
      </c>
      <c r="E16" s="189" t="s">
        <v>358</v>
      </c>
      <c r="F16" s="189" t="s">
        <v>359</v>
      </c>
      <c r="G16" s="232" t="s">
        <v>360</v>
      </c>
      <c r="H16" s="232" t="s">
        <v>360</v>
      </c>
      <c r="I16" s="232" t="s">
        <v>363</v>
      </c>
      <c r="J16" s="232" t="s">
        <v>363</v>
      </c>
      <c r="K16" s="231" t="s">
        <v>364</v>
      </c>
      <c r="L16" s="189" t="s">
        <v>112</v>
      </c>
      <c r="M16" s="189" t="s">
        <v>113</v>
      </c>
      <c r="N16" s="189" t="s">
        <v>344</v>
      </c>
      <c r="O16" s="189" t="s">
        <v>343</v>
      </c>
      <c r="P16" s="189" t="s">
        <v>88</v>
      </c>
      <c r="Q16" s="259" t="s">
        <v>366</v>
      </c>
      <c r="R16" s="233" t="s">
        <v>370</v>
      </c>
      <c r="S16" s="108"/>
      <c r="T16" s="108"/>
      <c r="U16" s="108"/>
    </row>
    <row r="17" spans="2:21" ht="13.5">
      <c r="B17" s="193" t="s">
        <v>355</v>
      </c>
      <c r="C17" s="234" t="s">
        <v>356</v>
      </c>
      <c r="D17" s="234" t="s">
        <v>331</v>
      </c>
      <c r="E17" s="176" t="s">
        <v>357</v>
      </c>
      <c r="F17" s="176" t="s">
        <v>357</v>
      </c>
      <c r="G17" s="235" t="s">
        <v>361</v>
      </c>
      <c r="H17" s="235" t="s">
        <v>362</v>
      </c>
      <c r="I17" s="235" t="s">
        <v>361</v>
      </c>
      <c r="J17" s="235" t="s">
        <v>362</v>
      </c>
      <c r="K17" s="234" t="s">
        <v>365</v>
      </c>
      <c r="L17" s="176" t="s">
        <v>346</v>
      </c>
      <c r="M17" s="176" t="s">
        <v>332</v>
      </c>
      <c r="N17" s="176" t="s">
        <v>346</v>
      </c>
      <c r="O17" s="176" t="s">
        <v>346</v>
      </c>
      <c r="P17" s="176" t="s">
        <v>90</v>
      </c>
      <c r="Q17" s="261" t="s">
        <v>90</v>
      </c>
      <c r="R17" s="262" t="s">
        <v>371</v>
      </c>
      <c r="S17" s="108"/>
      <c r="T17" s="108"/>
      <c r="U17" s="108"/>
    </row>
    <row r="18" spans="2:21">
      <c r="B18" s="237">
        <f t="shared" ref="B18:B23" si="0">B5</f>
        <v>0.05</v>
      </c>
      <c r="C18" s="238">
        <f t="shared" ref="C18:C23" si="1">(1/(B$23-B$18))*B18-(B$18/(B$23-B$18))</f>
        <v>0</v>
      </c>
      <c r="D18" s="239">
        <f t="shared" ref="D18:D23" si="2">I5</f>
        <v>3708.4116472912633</v>
      </c>
      <c r="E18" s="239">
        <f>N5*'Main Page'!C$128/('Main Page'!C$128+1)</f>
        <v>0</v>
      </c>
      <c r="F18" s="239">
        <f t="shared" ref="F18:F23" si="3">N5-E18</f>
        <v>11076.026331706065</v>
      </c>
      <c r="G18" s="186">
        <v>0</v>
      </c>
      <c r="H18" s="228">
        <f t="shared" ref="H18:H23" si="4">C5*(G5-F5)</f>
        <v>0.86410972821945675</v>
      </c>
      <c r="I18" s="186">
        <v>0</v>
      </c>
      <c r="J18" s="240">
        <f t="shared" ref="J18:J23" si="5">C5*(H5-F5)</f>
        <v>0.86410972821945675</v>
      </c>
      <c r="K18" s="239">
        <f>'Main Page'!B133-'Main Page'!B$138</f>
        <v>11.1</v>
      </c>
      <c r="L18" s="241">
        <f t="shared" ref="L18:L23" si="6">M5</f>
        <v>22057695577.548672</v>
      </c>
      <c r="M18" s="241">
        <f t="shared" ref="M18:M23" si="7">L5</f>
        <v>42582928810.746231</v>
      </c>
      <c r="N18" s="241">
        <f t="shared" ref="N18:N23" si="8">K5</f>
        <v>63720689411.753181</v>
      </c>
      <c r="O18" s="241">
        <f t="shared" ref="O18:O23" si="9">J5</f>
        <v>63720689411.753181</v>
      </c>
      <c r="P18" s="228">
        <f t="shared" ref="P18:P23" si="10">C5</f>
        <v>3.456438912877827</v>
      </c>
      <c r="Q18" s="228">
        <v>0</v>
      </c>
      <c r="R18" s="265">
        <f>'Main Page'!D133</f>
        <v>1</v>
      </c>
      <c r="S18" s="108"/>
      <c r="T18" s="108"/>
      <c r="U18" s="108"/>
    </row>
    <row r="19" spans="2:21">
      <c r="B19" s="242">
        <f t="shared" si="0"/>
        <v>7.0000000000000007E-2</v>
      </c>
      <c r="C19" s="243">
        <f t="shared" si="1"/>
        <v>2.1052631578947371E-2</v>
      </c>
      <c r="D19" s="244">
        <f t="shared" si="2"/>
        <v>622.32317170970805</v>
      </c>
      <c r="E19" s="244">
        <f>N6*'Main Page'!C$128/('Main Page'!C$128+1)</f>
        <v>0</v>
      </c>
      <c r="F19" s="244">
        <f t="shared" si="3"/>
        <v>1858.7116243479393</v>
      </c>
      <c r="G19" s="8">
        <v>0</v>
      </c>
      <c r="H19" s="245">
        <f t="shared" si="4"/>
        <v>0.86410972821945642</v>
      </c>
      <c r="I19" s="8">
        <v>0</v>
      </c>
      <c r="J19" s="246">
        <f t="shared" si="5"/>
        <v>0.86410972821945642</v>
      </c>
      <c r="K19" s="244">
        <f>'Main Page'!B134-'Main Page'!B$138</f>
        <v>11.1</v>
      </c>
      <c r="L19" s="247">
        <f t="shared" si="6"/>
        <v>4904988079.2989025</v>
      </c>
      <c r="M19" s="247">
        <f t="shared" si="7"/>
        <v>9469182296.3330479</v>
      </c>
      <c r="N19" s="247">
        <f t="shared" si="8"/>
        <v>14036801421.634676</v>
      </c>
      <c r="O19" s="247">
        <f t="shared" si="9"/>
        <v>14036801421.634676</v>
      </c>
      <c r="P19" s="245">
        <f t="shared" si="10"/>
        <v>3.4564389128778257</v>
      </c>
      <c r="Q19" s="245">
        <v>0</v>
      </c>
      <c r="R19" s="263">
        <f>'Main Page'!D134</f>
        <v>1</v>
      </c>
      <c r="S19" s="108"/>
      <c r="T19" s="108"/>
      <c r="U19" s="108"/>
    </row>
    <row r="20" spans="2:21">
      <c r="B20" s="242">
        <f t="shared" si="0"/>
        <v>0.25</v>
      </c>
      <c r="C20" s="243">
        <f t="shared" si="1"/>
        <v>0.21052631578947367</v>
      </c>
      <c r="D20" s="244">
        <f t="shared" si="2"/>
        <v>684.40053797312055</v>
      </c>
      <c r="E20" s="244">
        <f>N7*'Main Page'!C$128/('Main Page'!C$128+1)</f>
        <v>0</v>
      </c>
      <c r="F20" s="244">
        <f t="shared" si="3"/>
        <v>959.83453034575007</v>
      </c>
      <c r="G20" s="8">
        <v>0</v>
      </c>
      <c r="H20" s="245">
        <f t="shared" si="4"/>
        <v>0.31517647021618544</v>
      </c>
      <c r="I20" s="8">
        <v>0</v>
      </c>
      <c r="J20" s="246">
        <f t="shared" si="5"/>
        <v>-6.8027814085081018E-2</v>
      </c>
      <c r="K20" s="244">
        <f>'Main Page'!B135-'Main Page'!B$138</f>
        <v>11.1</v>
      </c>
      <c r="L20" s="247">
        <f t="shared" si="6"/>
        <v>145303921.84035307</v>
      </c>
      <c r="M20" s="247">
        <f t="shared" si="7"/>
        <v>9141425662.3435383</v>
      </c>
      <c r="N20" s="247">
        <f t="shared" si="8"/>
        <v>12611588173.054085</v>
      </c>
      <c r="O20" s="247">
        <f t="shared" si="9"/>
        <v>4203286116.1718955</v>
      </c>
      <c r="P20" s="245">
        <f t="shared" si="10"/>
        <v>5.11988823977648</v>
      </c>
      <c r="Q20" s="245">
        <f>C7*(0.25-F7)</f>
        <v>-0.46078994157988334</v>
      </c>
      <c r="R20" s="263">
        <f>'Main Page'!D135</f>
        <v>2</v>
      </c>
      <c r="S20" s="108"/>
      <c r="T20" s="108"/>
      <c r="U20" s="108"/>
    </row>
    <row r="21" spans="2:21">
      <c r="B21" s="242">
        <f t="shared" si="0"/>
        <v>0.5</v>
      </c>
      <c r="C21" s="243">
        <f t="shared" si="1"/>
        <v>0.47368421052631576</v>
      </c>
      <c r="D21" s="244">
        <f t="shared" si="2"/>
        <v>516.27028971966695</v>
      </c>
      <c r="E21" s="244">
        <f>N8*'Main Page'!C$128/('Main Page'!C$128+1)</f>
        <v>0</v>
      </c>
      <c r="F21" s="244">
        <f t="shared" si="3"/>
        <v>304.44012217310359</v>
      </c>
      <c r="G21" s="8">
        <v>0</v>
      </c>
      <c r="H21" s="245">
        <f t="shared" si="4"/>
        <v>0.25865403048516</v>
      </c>
      <c r="I21" s="8">
        <v>0</v>
      </c>
      <c r="J21" s="246">
        <f t="shared" si="5"/>
        <v>5.2457550697675527E-2</v>
      </c>
      <c r="K21" s="244">
        <f>'Main Page'!B136-'Main Page'!B$138</f>
        <v>3.1</v>
      </c>
      <c r="L21" s="247">
        <f t="shared" si="6"/>
        <v>57861076.091574006</v>
      </c>
      <c r="M21" s="247">
        <f t="shared" si="7"/>
        <v>6898689157.7993288</v>
      </c>
      <c r="N21" s="247">
        <f t="shared" si="8"/>
        <v>2540323261.1101747</v>
      </c>
      <c r="O21" s="247">
        <f t="shared" si="9"/>
        <v>1017265797.32573</v>
      </c>
      <c r="P21" s="245">
        <f t="shared" si="10"/>
        <v>3.9255778511557029</v>
      </c>
      <c r="Q21" s="245">
        <f>C8*(0.25-F8)</f>
        <v>-0.23553467106934217</v>
      </c>
      <c r="R21" s="263"/>
      <c r="S21" s="108"/>
      <c r="T21" s="108"/>
      <c r="U21" s="108"/>
    </row>
    <row r="22" spans="2:21">
      <c r="B22" s="242">
        <f t="shared" si="0"/>
        <v>0.75</v>
      </c>
      <c r="C22" s="243">
        <f t="shared" si="1"/>
        <v>0.73684210526315785</v>
      </c>
      <c r="D22" s="244">
        <f t="shared" si="2"/>
        <v>225.15720776799671</v>
      </c>
      <c r="E22" s="244">
        <f>N9*'Main Page'!C$128/('Main Page'!C$128+1)</f>
        <v>0</v>
      </c>
      <c r="F22" s="244">
        <f t="shared" si="3"/>
        <v>65.910007513233523</v>
      </c>
      <c r="G22" s="8">
        <v>0</v>
      </c>
      <c r="H22" s="245">
        <f t="shared" si="4"/>
        <v>0.29349532895265751</v>
      </c>
      <c r="I22" s="8">
        <v>0</v>
      </c>
      <c r="J22" s="246">
        <f t="shared" si="5"/>
        <v>0.12600057615247642</v>
      </c>
      <c r="K22" s="244">
        <f>'Main Page'!B137-'Main Page'!B$138</f>
        <v>0.6</v>
      </c>
      <c r="L22" s="247">
        <f t="shared" si="6"/>
        <v>11605234.21344462</v>
      </c>
      <c r="M22" s="247">
        <f t="shared" si="7"/>
        <v>2907294183.0127583</v>
      </c>
      <c r="N22" s="247">
        <f t="shared" si="8"/>
        <v>610414304.9755882</v>
      </c>
      <c r="O22" s="247">
        <f t="shared" si="9"/>
        <v>159223885.56322324</v>
      </c>
      <c r="P22" s="245">
        <f t="shared" si="10"/>
        <v>2.7312674625349254</v>
      </c>
      <c r="Q22" s="245">
        <f>C9*(0.25-F9)</f>
        <v>-8.193802387604783E-2</v>
      </c>
      <c r="R22" s="263">
        <f>'Main Page'!D137</f>
        <v>3</v>
      </c>
      <c r="S22" s="108"/>
      <c r="T22" s="108"/>
      <c r="U22" s="108"/>
    </row>
    <row r="23" spans="2:21">
      <c r="B23" s="248">
        <f t="shared" si="0"/>
        <v>1</v>
      </c>
      <c r="C23" s="249">
        <f t="shared" si="1"/>
        <v>0.99999999999999989</v>
      </c>
      <c r="D23" s="250">
        <f t="shared" si="2"/>
        <v>21.986079158927165</v>
      </c>
      <c r="E23" s="250">
        <f>N10*'Main Page'!C$128/('Main Page'!C$128+1)</f>
        <v>0</v>
      </c>
      <c r="F23" s="250">
        <f t="shared" si="3"/>
        <v>5.4492188866567579</v>
      </c>
      <c r="G23" s="226">
        <v>0</v>
      </c>
      <c r="H23" s="229">
        <f t="shared" si="4"/>
        <v>0.40172339344678687</v>
      </c>
      <c r="I23" s="226">
        <v>0</v>
      </c>
      <c r="J23" s="251">
        <f t="shared" si="5"/>
        <v>0.17858054356108713</v>
      </c>
      <c r="K23" s="250">
        <f>'Main Page'!B138-'Main Page'!B$138</f>
        <v>0</v>
      </c>
      <c r="L23" s="252">
        <f t="shared" si="6"/>
        <v>1237516.5813282721</v>
      </c>
      <c r="M23" s="252">
        <f t="shared" si="7"/>
        <v>235713983.59357151</v>
      </c>
      <c r="N23" s="252">
        <f t="shared" si="8"/>
        <v>53624369.654070929</v>
      </c>
      <c r="O23" s="252">
        <f t="shared" si="9"/>
        <v>1559775.5371830396</v>
      </c>
      <c r="P23" s="229">
        <f t="shared" si="10"/>
        <v>1.6565913131826264</v>
      </c>
      <c r="Q23" s="229">
        <f>C10*(0.25-F10)</f>
        <v>0</v>
      </c>
      <c r="R23" s="264">
        <f>'Main Page'!D138</f>
        <v>4</v>
      </c>
      <c r="S23" s="108"/>
      <c r="T23" s="108"/>
      <c r="U23" s="108"/>
    </row>
    <row r="25" spans="2:21">
      <c r="B25" t="s">
        <v>368</v>
      </c>
    </row>
    <row r="26" spans="2:21" ht="13.5">
      <c r="B26" s="230" t="s">
        <v>87</v>
      </c>
      <c r="C26" s="231" t="s">
        <v>139</v>
      </c>
      <c r="D26" s="231" t="s">
        <v>154</v>
      </c>
      <c r="E26" s="189" t="s">
        <v>358</v>
      </c>
      <c r="F26" s="189" t="s">
        <v>359</v>
      </c>
      <c r="G26" s="232" t="s">
        <v>360</v>
      </c>
      <c r="H26" s="232" t="s">
        <v>360</v>
      </c>
      <c r="I26" s="232" t="s">
        <v>363</v>
      </c>
      <c r="J26" s="232" t="s">
        <v>363</v>
      </c>
      <c r="K26" s="231" t="s">
        <v>364</v>
      </c>
      <c r="L26" s="189" t="s">
        <v>112</v>
      </c>
      <c r="M26" s="189" t="s">
        <v>113</v>
      </c>
      <c r="N26" s="189" t="s">
        <v>344</v>
      </c>
      <c r="O26" s="189" t="s">
        <v>343</v>
      </c>
      <c r="P26" s="189" t="s">
        <v>88</v>
      </c>
      <c r="Q26" s="259" t="s">
        <v>366</v>
      </c>
      <c r="R26" s="233" t="s">
        <v>370</v>
      </c>
      <c r="T26" t="s">
        <v>383</v>
      </c>
    </row>
    <row r="27" spans="2:21" ht="13.5">
      <c r="B27" s="193" t="s">
        <v>355</v>
      </c>
      <c r="C27" s="234" t="s">
        <v>356</v>
      </c>
      <c r="D27" s="234" t="s">
        <v>331</v>
      </c>
      <c r="E27" s="176" t="s">
        <v>357</v>
      </c>
      <c r="F27" s="176" t="s">
        <v>357</v>
      </c>
      <c r="G27" s="235" t="s">
        <v>361</v>
      </c>
      <c r="H27" s="235" t="s">
        <v>362</v>
      </c>
      <c r="I27" s="235" t="s">
        <v>361</v>
      </c>
      <c r="J27" s="235" t="s">
        <v>362</v>
      </c>
      <c r="K27" s="234" t="s">
        <v>365</v>
      </c>
      <c r="L27" s="176" t="s">
        <v>346</v>
      </c>
      <c r="M27" s="176" t="s">
        <v>332</v>
      </c>
      <c r="N27" s="176" t="s">
        <v>346</v>
      </c>
      <c r="O27" s="176" t="s">
        <v>346</v>
      </c>
      <c r="P27" s="176" t="s">
        <v>90</v>
      </c>
      <c r="Q27" s="260" t="s">
        <v>90</v>
      </c>
      <c r="R27" s="236" t="s">
        <v>371</v>
      </c>
    </row>
    <row r="28" spans="2:21">
      <c r="B28" s="237">
        <v>0.05</v>
      </c>
      <c r="C28" s="238">
        <f>(1/(B$23-B$18))*B28-(B$18/(B$23-B$18))</f>
        <v>0</v>
      </c>
      <c r="D28" s="239">
        <f>D18</f>
        <v>3708.4116472912633</v>
      </c>
      <c r="E28" s="239">
        <f t="shared" ref="E28:Q28" si="11">E18</f>
        <v>0</v>
      </c>
      <c r="F28" s="239">
        <f t="shared" si="11"/>
        <v>11076.026331706065</v>
      </c>
      <c r="G28" s="186">
        <f t="shared" si="11"/>
        <v>0</v>
      </c>
      <c r="H28" s="228">
        <f t="shared" si="11"/>
        <v>0.86410972821945675</v>
      </c>
      <c r="I28" s="186">
        <f t="shared" si="11"/>
        <v>0</v>
      </c>
      <c r="J28" s="240">
        <f t="shared" si="11"/>
        <v>0.86410972821945675</v>
      </c>
      <c r="K28" s="239">
        <f t="shared" si="11"/>
        <v>11.1</v>
      </c>
      <c r="L28" s="241">
        <f t="shared" si="11"/>
        <v>22057695577.548672</v>
      </c>
      <c r="M28" s="241">
        <f t="shared" si="11"/>
        <v>42582928810.746231</v>
      </c>
      <c r="N28" s="241">
        <f t="shared" si="11"/>
        <v>63720689411.753181</v>
      </c>
      <c r="O28" s="241">
        <f t="shared" si="11"/>
        <v>63720689411.753181</v>
      </c>
      <c r="P28" s="228">
        <f t="shared" si="11"/>
        <v>3.456438912877827</v>
      </c>
      <c r="Q28" s="228">
        <f t="shared" si="11"/>
        <v>0</v>
      </c>
      <c r="R28" s="265">
        <f>$R$18</f>
        <v>1</v>
      </c>
      <c r="T28">
        <f>D28*(C29-C28)/2*(D$12-D$13)</f>
        <v>2373.3834542664085</v>
      </c>
    </row>
    <row r="29" spans="2:21">
      <c r="B29" s="242">
        <f>B19</f>
        <v>7.0000000000000007E-2</v>
      </c>
      <c r="C29" s="243">
        <f>(1/(B$23-B$18))*B29-(B$18/(B$23-B$18))</f>
        <v>2.1052631578947371E-2</v>
      </c>
      <c r="D29" s="244">
        <f>D19</f>
        <v>622.32317170970805</v>
      </c>
      <c r="E29" s="244">
        <f t="shared" ref="E29:Q29" si="12">E19</f>
        <v>0</v>
      </c>
      <c r="F29" s="244">
        <f t="shared" si="12"/>
        <v>1858.7116243479393</v>
      </c>
      <c r="G29" s="8">
        <f t="shared" si="12"/>
        <v>0</v>
      </c>
      <c r="H29" s="245">
        <f t="shared" si="12"/>
        <v>0.86410972821945642</v>
      </c>
      <c r="I29" s="8">
        <f t="shared" si="12"/>
        <v>0</v>
      </c>
      <c r="J29" s="246">
        <f t="shared" si="12"/>
        <v>0.86410972821945642</v>
      </c>
      <c r="K29" s="244">
        <f t="shared" si="12"/>
        <v>11.1</v>
      </c>
      <c r="L29" s="247">
        <f t="shared" si="12"/>
        <v>4904988079.2989025</v>
      </c>
      <c r="M29" s="247">
        <f t="shared" si="12"/>
        <v>9469182296.3330479</v>
      </c>
      <c r="N29" s="247">
        <f t="shared" si="12"/>
        <v>14036801421.634676</v>
      </c>
      <c r="O29" s="247">
        <f t="shared" si="12"/>
        <v>14036801421.634676</v>
      </c>
      <c r="P29" s="245">
        <f t="shared" si="12"/>
        <v>3.4564389128778257</v>
      </c>
      <c r="Q29" s="245">
        <f t="shared" si="12"/>
        <v>0</v>
      </c>
      <c r="R29" s="263">
        <f>$R$18</f>
        <v>1</v>
      </c>
      <c r="T29">
        <f>D29*(C30-C28)/2*(D$12-D$13)</f>
        <v>995.71707473553261</v>
      </c>
    </row>
    <row r="30" spans="2:21">
      <c r="B30" s="242">
        <v>0.1</v>
      </c>
      <c r="C30" s="243">
        <f>(1/(B$23-B$18))*B30-(B$18/(B$23-B$18))</f>
        <v>5.2631578947368411E-2</v>
      </c>
      <c r="D30" s="244">
        <f>D$29+($B30-$B$29)*(D$33-D$29)/($B$33-$B$29)</f>
        <v>632.66939942027682</v>
      </c>
      <c r="E30" s="244">
        <f>E$29+($B30-$B$29)*(E$33-E$29)/($B$33-$B$29)</f>
        <v>0</v>
      </c>
      <c r="F30" s="244">
        <f>F$29+($B30-$B$29)*(F$33-F$29)/($B$33-$B$29)</f>
        <v>1708.8987753475744</v>
      </c>
      <c r="G30" s="253">
        <f>G$29+($B30-$B$29)*(G$33-G$29)/($B$33-$B$29)</f>
        <v>0</v>
      </c>
      <c r="H30" s="245">
        <f>H$29+($B30-$B$29)*(H$33-H$29)/($B$33-$B$29)</f>
        <v>0.77262085188557794</v>
      </c>
      <c r="I30" s="8">
        <f t="shared" ref="I30:Q32" si="13">I$29+($B30-$B$29)*(I$33-I$29)/($B$33-$B$29)</f>
        <v>0</v>
      </c>
      <c r="J30" s="246">
        <f t="shared" si="13"/>
        <v>0.70875347116870013</v>
      </c>
      <c r="K30" s="244">
        <f t="shared" si="13"/>
        <v>11.1</v>
      </c>
      <c r="L30" s="247">
        <f t="shared" si="13"/>
        <v>4111707386.3891439</v>
      </c>
      <c r="M30" s="247">
        <f t="shared" si="13"/>
        <v>9414556190.668129</v>
      </c>
      <c r="N30" s="247">
        <f t="shared" si="13"/>
        <v>13799265880.204578</v>
      </c>
      <c r="O30" s="247">
        <f t="shared" si="13"/>
        <v>12397882204.057547</v>
      </c>
      <c r="P30" s="245">
        <f t="shared" si="13"/>
        <v>3.7336804673609345</v>
      </c>
      <c r="Q30" s="245">
        <f t="shared" si="13"/>
        <v>-7.6798323596647219E-2</v>
      </c>
      <c r="R30" s="263">
        <f>$R$18</f>
        <v>1</v>
      </c>
      <c r="T30">
        <f t="shared" ref="T30:T47" si="14">D30*(C31-C29)/2*(D$12-D$13)</f>
        <v>1619.6336625159083</v>
      </c>
    </row>
    <row r="31" spans="2:21">
      <c r="B31" s="242">
        <v>0.15</v>
      </c>
      <c r="C31" s="243">
        <f t="shared" ref="C31:C48" si="15">(1/(B$23-B$18))*B31-(B$18/(B$23-B$18))</f>
        <v>0.10526315789473684</v>
      </c>
      <c r="D31" s="244">
        <f t="shared" ref="D31:H32" si="16">D$29+($B31-$B$29)*(D$33-D$29)/($B$33-$B$29)</f>
        <v>649.91311227122469</v>
      </c>
      <c r="E31" s="244">
        <f t="shared" si="16"/>
        <v>0</v>
      </c>
      <c r="F31" s="244">
        <f t="shared" si="16"/>
        <v>1459.2106936802998</v>
      </c>
      <c r="G31" s="253">
        <f t="shared" si="16"/>
        <v>0</v>
      </c>
      <c r="H31" s="245">
        <f t="shared" si="16"/>
        <v>0.62013939132911378</v>
      </c>
      <c r="I31" s="8">
        <f t="shared" si="13"/>
        <v>0</v>
      </c>
      <c r="J31" s="246">
        <f t="shared" si="13"/>
        <v>0.44982637608410653</v>
      </c>
      <c r="K31" s="244">
        <f t="shared" si="13"/>
        <v>11.1</v>
      </c>
      <c r="L31" s="247">
        <f t="shared" si="13"/>
        <v>2789572898.206214</v>
      </c>
      <c r="M31" s="247">
        <f t="shared" si="13"/>
        <v>9323512681.2265987</v>
      </c>
      <c r="N31" s="247">
        <f t="shared" si="13"/>
        <v>13403373311.154413</v>
      </c>
      <c r="O31" s="247">
        <f t="shared" si="13"/>
        <v>9666350174.7623291</v>
      </c>
      <c r="P31" s="245">
        <f t="shared" si="13"/>
        <v>4.1957497248327833</v>
      </c>
      <c r="Q31" s="245">
        <f t="shared" si="13"/>
        <v>-0.20479552959105923</v>
      </c>
      <c r="R31" s="263">
        <f t="shared" ref="R31:R38" si="17">$R$20</f>
        <v>2</v>
      </c>
      <c r="T31">
        <f t="shared" si="14"/>
        <v>2079.7219592679189</v>
      </c>
    </row>
    <row r="32" spans="2:21">
      <c r="B32" s="242">
        <v>0.2</v>
      </c>
      <c r="C32" s="243">
        <f t="shared" si="15"/>
        <v>0.15789473684210525</v>
      </c>
      <c r="D32" s="244">
        <f t="shared" si="16"/>
        <v>667.15682512217268</v>
      </c>
      <c r="E32" s="244">
        <f t="shared" si="16"/>
        <v>0</v>
      </c>
      <c r="F32" s="244">
        <f t="shared" si="16"/>
        <v>1209.5226120130246</v>
      </c>
      <c r="G32" s="253">
        <f t="shared" si="16"/>
        <v>0</v>
      </c>
      <c r="H32" s="245">
        <f t="shared" si="16"/>
        <v>0.46765793077264961</v>
      </c>
      <c r="I32" s="8">
        <f t="shared" si="13"/>
        <v>0</v>
      </c>
      <c r="J32" s="246">
        <f t="shared" si="13"/>
        <v>0.1908992809995127</v>
      </c>
      <c r="K32" s="244">
        <f t="shared" si="13"/>
        <v>11.1</v>
      </c>
      <c r="L32" s="247">
        <f t="shared" si="13"/>
        <v>1467438410.0232835</v>
      </c>
      <c r="M32" s="247">
        <f t="shared" si="13"/>
        <v>9232469171.7850685</v>
      </c>
      <c r="N32" s="247">
        <f t="shared" si="13"/>
        <v>13007480742.104248</v>
      </c>
      <c r="O32" s="247">
        <f t="shared" si="13"/>
        <v>6934818145.4671125</v>
      </c>
      <c r="P32" s="245">
        <f t="shared" si="13"/>
        <v>4.6578189823046312</v>
      </c>
      <c r="Q32" s="245">
        <f t="shared" si="13"/>
        <v>-0.33279273558547134</v>
      </c>
      <c r="R32" s="263">
        <f t="shared" si="17"/>
        <v>2</v>
      </c>
      <c r="T32">
        <f t="shared" si="14"/>
        <v>2134.9018403909522</v>
      </c>
    </row>
    <row r="33" spans="2:20">
      <c r="B33" s="242">
        <v>0.25</v>
      </c>
      <c r="C33" s="243">
        <f t="shared" si="15"/>
        <v>0.21052631578947367</v>
      </c>
      <c r="D33" s="244">
        <f>D20</f>
        <v>684.40053797312055</v>
      </c>
      <c r="E33" s="244">
        <f t="shared" ref="E33:Q33" si="18">E20</f>
        <v>0</v>
      </c>
      <c r="F33" s="244">
        <f t="shared" si="18"/>
        <v>959.83453034575007</v>
      </c>
      <c r="G33" s="8">
        <f t="shared" si="18"/>
        <v>0</v>
      </c>
      <c r="H33" s="245">
        <f t="shared" si="18"/>
        <v>0.31517647021618544</v>
      </c>
      <c r="I33" s="8">
        <f t="shared" si="18"/>
        <v>0</v>
      </c>
      <c r="J33" s="246">
        <f t="shared" si="18"/>
        <v>-6.8027814085081018E-2</v>
      </c>
      <c r="K33" s="244">
        <f t="shared" si="18"/>
        <v>11.1</v>
      </c>
      <c r="L33" s="247">
        <f t="shared" si="18"/>
        <v>145303921.84035307</v>
      </c>
      <c r="M33" s="247">
        <f t="shared" si="18"/>
        <v>9141425662.3435383</v>
      </c>
      <c r="N33" s="247">
        <f t="shared" si="18"/>
        <v>12611588173.054085</v>
      </c>
      <c r="O33" s="247">
        <f t="shared" si="18"/>
        <v>4203286116.1718955</v>
      </c>
      <c r="P33" s="245">
        <f t="shared" si="18"/>
        <v>5.11988823977648</v>
      </c>
      <c r="Q33" s="245">
        <f t="shared" si="18"/>
        <v>-0.46078994157988334</v>
      </c>
      <c r="R33" s="263">
        <f t="shared" si="17"/>
        <v>2</v>
      </c>
      <c r="T33">
        <f t="shared" si="14"/>
        <v>2190.0817215139855</v>
      </c>
    </row>
    <row r="34" spans="2:20">
      <c r="B34" s="242">
        <v>0.3</v>
      </c>
      <c r="C34" s="243">
        <f t="shared" si="15"/>
        <v>0.26315789473684209</v>
      </c>
      <c r="D34" s="244">
        <f>D$33+($B34-$B$33)*(D$38-D$33)/($B$38-$B$33)</f>
        <v>650.77448832242987</v>
      </c>
      <c r="E34" s="244">
        <f t="shared" ref="E34:Q37" si="19">E$33+($B34-$B$33)*(E$38-E$33)/($B$38-$B$33)</f>
        <v>0</v>
      </c>
      <c r="F34" s="244">
        <f t="shared" si="19"/>
        <v>828.75564871122083</v>
      </c>
      <c r="G34" s="8">
        <f t="shared" si="19"/>
        <v>0</v>
      </c>
      <c r="H34" s="245">
        <f t="shared" si="19"/>
        <v>0.30387198226998036</v>
      </c>
      <c r="I34" s="8">
        <f t="shared" si="19"/>
        <v>0</v>
      </c>
      <c r="J34" s="246">
        <f t="shared" si="19"/>
        <v>-4.3930741128529717E-2</v>
      </c>
      <c r="K34" s="244">
        <f t="shared" si="19"/>
        <v>9.5</v>
      </c>
      <c r="L34" s="247">
        <f t="shared" si="19"/>
        <v>127815352.69059727</v>
      </c>
      <c r="M34" s="247">
        <f t="shared" si="19"/>
        <v>8692878361.4346962</v>
      </c>
      <c r="N34" s="247">
        <f t="shared" si="19"/>
        <v>10597335190.665302</v>
      </c>
      <c r="O34" s="247">
        <f t="shared" si="19"/>
        <v>3566082052.4026623</v>
      </c>
      <c r="P34" s="245">
        <f t="shared" si="19"/>
        <v>4.8810261620523248</v>
      </c>
      <c r="Q34" s="245">
        <f t="shared" si="19"/>
        <v>-0.4157388874777751</v>
      </c>
      <c r="R34" s="263">
        <f t="shared" si="17"/>
        <v>2</v>
      </c>
      <c r="T34">
        <f t="shared" si="14"/>
        <v>2082.4783626317753</v>
      </c>
    </row>
    <row r="35" spans="2:20">
      <c r="B35" s="242">
        <v>0.35</v>
      </c>
      <c r="C35" s="243">
        <f t="shared" si="15"/>
        <v>0.31578947368421051</v>
      </c>
      <c r="D35" s="244">
        <f>D$33+($B35-$B$33)*(D$38-D$33)/($B$38-$B$33)</f>
        <v>617.14843867173909</v>
      </c>
      <c r="E35" s="244">
        <f t="shared" si="19"/>
        <v>0</v>
      </c>
      <c r="F35" s="244">
        <f t="shared" si="19"/>
        <v>697.67676707669148</v>
      </c>
      <c r="G35" s="8">
        <f t="shared" si="19"/>
        <v>0</v>
      </c>
      <c r="H35" s="245">
        <f t="shared" si="19"/>
        <v>0.29256749432377527</v>
      </c>
      <c r="I35" s="8">
        <f t="shared" si="19"/>
        <v>0</v>
      </c>
      <c r="J35" s="246">
        <f t="shared" si="19"/>
        <v>-1.9833668171978416E-2</v>
      </c>
      <c r="K35" s="244">
        <f t="shared" si="19"/>
        <v>7.9</v>
      </c>
      <c r="L35" s="247">
        <f t="shared" si="19"/>
        <v>110326783.54084146</v>
      </c>
      <c r="M35" s="247">
        <f t="shared" si="19"/>
        <v>8244331060.5258551</v>
      </c>
      <c r="N35" s="247">
        <f t="shared" si="19"/>
        <v>8583082208.2765217</v>
      </c>
      <c r="O35" s="247">
        <f t="shared" si="19"/>
        <v>2928877988.6334295</v>
      </c>
      <c r="P35" s="245">
        <f t="shared" si="19"/>
        <v>4.6421640843281695</v>
      </c>
      <c r="Q35" s="245">
        <f t="shared" si="19"/>
        <v>-0.37068783337566691</v>
      </c>
      <c r="R35" s="263">
        <f t="shared" si="17"/>
        <v>2</v>
      </c>
      <c r="T35">
        <f t="shared" si="14"/>
        <v>1974.8750037495649</v>
      </c>
    </row>
    <row r="36" spans="2:20">
      <c r="B36" s="242">
        <v>0.4</v>
      </c>
      <c r="C36" s="243">
        <f t="shared" si="15"/>
        <v>0.36842105263157893</v>
      </c>
      <c r="D36" s="244">
        <f>D$33+($B36-$B$33)*(D$38-D$33)/($B$38-$B$33)</f>
        <v>583.52238902104841</v>
      </c>
      <c r="E36" s="244">
        <f t="shared" si="19"/>
        <v>0</v>
      </c>
      <c r="F36" s="244">
        <f t="shared" si="19"/>
        <v>566.59788544216212</v>
      </c>
      <c r="G36" s="8">
        <f t="shared" si="19"/>
        <v>0</v>
      </c>
      <c r="H36" s="245">
        <f t="shared" si="19"/>
        <v>0.28126300637757018</v>
      </c>
      <c r="I36" s="8">
        <f t="shared" si="19"/>
        <v>0</v>
      </c>
      <c r="J36" s="246">
        <f t="shared" si="19"/>
        <v>4.2634047845729189E-3</v>
      </c>
      <c r="K36" s="244">
        <f t="shared" si="19"/>
        <v>6.2999999999999989</v>
      </c>
      <c r="L36" s="247">
        <f t="shared" si="19"/>
        <v>92838214.391085625</v>
      </c>
      <c r="M36" s="247">
        <f t="shared" si="19"/>
        <v>7795783759.617012</v>
      </c>
      <c r="N36" s="247">
        <f t="shared" si="19"/>
        <v>6568829225.8877373</v>
      </c>
      <c r="O36" s="247">
        <f t="shared" si="19"/>
        <v>2291673924.8641958</v>
      </c>
      <c r="P36" s="245">
        <f t="shared" si="19"/>
        <v>4.4033020066040134</v>
      </c>
      <c r="Q36" s="245">
        <f t="shared" si="19"/>
        <v>-0.32563677927355861</v>
      </c>
      <c r="R36" s="263">
        <f t="shared" si="17"/>
        <v>2</v>
      </c>
      <c r="T36">
        <f t="shared" si="14"/>
        <v>1867.2716448673546</v>
      </c>
    </row>
    <row r="37" spans="2:20">
      <c r="B37" s="242">
        <v>0.45</v>
      </c>
      <c r="C37" s="243">
        <f t="shared" si="15"/>
        <v>0.42105263157894735</v>
      </c>
      <c r="D37" s="244">
        <f>D$33+($B37-$B$33)*(D$38-D$33)/($B$38-$B$33)</f>
        <v>549.89633937035762</v>
      </c>
      <c r="E37" s="244">
        <f t="shared" si="19"/>
        <v>0</v>
      </c>
      <c r="F37" s="244">
        <f t="shared" si="19"/>
        <v>435.51900380763277</v>
      </c>
      <c r="G37" s="8">
        <f t="shared" si="19"/>
        <v>0</v>
      </c>
      <c r="H37" s="245">
        <f t="shared" si="19"/>
        <v>0.26995851843136509</v>
      </c>
      <c r="I37" s="8">
        <f t="shared" si="19"/>
        <v>0</v>
      </c>
      <c r="J37" s="246">
        <f t="shared" si="19"/>
        <v>2.8360477741124213E-2</v>
      </c>
      <c r="K37" s="244">
        <f t="shared" si="19"/>
        <v>4.6999999999999993</v>
      </c>
      <c r="L37" s="247">
        <f t="shared" si="19"/>
        <v>75349645.241329819</v>
      </c>
      <c r="M37" s="247">
        <f t="shared" si="19"/>
        <v>7347236458.7081709</v>
      </c>
      <c r="N37" s="247">
        <f t="shared" si="19"/>
        <v>4554576243.4989557</v>
      </c>
      <c r="O37" s="247">
        <f t="shared" si="19"/>
        <v>1654469861.0949631</v>
      </c>
      <c r="P37" s="245">
        <f t="shared" si="19"/>
        <v>4.1644399288798581</v>
      </c>
      <c r="Q37" s="245">
        <f t="shared" si="19"/>
        <v>-0.28058572517145042</v>
      </c>
      <c r="R37" s="263">
        <f t="shared" si="17"/>
        <v>2</v>
      </c>
      <c r="T37">
        <f t="shared" si="14"/>
        <v>1759.6682859851442</v>
      </c>
    </row>
    <row r="38" spans="2:20">
      <c r="B38" s="242">
        <v>0.5</v>
      </c>
      <c r="C38" s="243">
        <f t="shared" si="15"/>
        <v>0.47368421052631576</v>
      </c>
      <c r="D38" s="244">
        <f>D21</f>
        <v>516.27028971966695</v>
      </c>
      <c r="E38" s="244">
        <f t="shared" ref="E38:Q38" si="20">E21</f>
        <v>0</v>
      </c>
      <c r="F38" s="244">
        <f t="shared" si="20"/>
        <v>304.44012217310359</v>
      </c>
      <c r="G38" s="8">
        <f t="shared" si="20"/>
        <v>0</v>
      </c>
      <c r="H38" s="245">
        <f t="shared" si="20"/>
        <v>0.25865403048516</v>
      </c>
      <c r="I38" s="8">
        <f t="shared" si="20"/>
        <v>0</v>
      </c>
      <c r="J38" s="246">
        <f t="shared" si="20"/>
        <v>5.2457550697675527E-2</v>
      </c>
      <c r="K38" s="244">
        <f t="shared" si="20"/>
        <v>3.1</v>
      </c>
      <c r="L38" s="247">
        <f t="shared" si="20"/>
        <v>57861076.091574006</v>
      </c>
      <c r="M38" s="247">
        <f t="shared" si="20"/>
        <v>6898689157.7993288</v>
      </c>
      <c r="N38" s="247">
        <f t="shared" si="20"/>
        <v>2540323261.1101747</v>
      </c>
      <c r="O38" s="247">
        <f t="shared" si="20"/>
        <v>1017265797.32573</v>
      </c>
      <c r="P38" s="245">
        <f t="shared" si="20"/>
        <v>3.9255778511557029</v>
      </c>
      <c r="Q38" s="245">
        <f t="shared" si="20"/>
        <v>-0.23553467106934217</v>
      </c>
      <c r="R38" s="263">
        <f t="shared" si="17"/>
        <v>2</v>
      </c>
      <c r="T38">
        <f t="shared" si="14"/>
        <v>1652.064927102934</v>
      </c>
    </row>
    <row r="39" spans="2:20">
      <c r="B39" s="242">
        <v>0.55000000000000004</v>
      </c>
      <c r="C39" s="243">
        <f t="shared" si="15"/>
        <v>0.52631578947368418</v>
      </c>
      <c r="D39" s="244">
        <f>D$38+($B39-$B$38)*(D$43-D$38)/($B$43-$B$38)</f>
        <v>458.04767332933284</v>
      </c>
      <c r="E39" s="244">
        <f t="shared" ref="E39:Q42" si="21">E$38+($B39-$B$38)*(E$43-E$38)/($B$43-$B$38)</f>
        <v>0</v>
      </c>
      <c r="F39" s="244">
        <f t="shared" si="21"/>
        <v>256.73409924112951</v>
      </c>
      <c r="G39" s="8">
        <f t="shared" si="21"/>
        <v>0</v>
      </c>
      <c r="H39" s="245">
        <f t="shared" si="21"/>
        <v>0.26562229017865951</v>
      </c>
      <c r="I39" s="8">
        <f t="shared" si="21"/>
        <v>0</v>
      </c>
      <c r="J39" s="246">
        <f t="shared" si="21"/>
        <v>6.7166155788635717E-2</v>
      </c>
      <c r="K39" s="244">
        <f t="shared" si="21"/>
        <v>2.5999999999999996</v>
      </c>
      <c r="L39" s="247">
        <f t="shared" si="21"/>
        <v>48609907.71594812</v>
      </c>
      <c r="M39" s="247">
        <f t="shared" si="21"/>
        <v>6100410162.8420143</v>
      </c>
      <c r="N39" s="247">
        <f t="shared" si="21"/>
        <v>2154341469.8832569</v>
      </c>
      <c r="O39" s="247">
        <f t="shared" si="21"/>
        <v>845657414.97322845</v>
      </c>
      <c r="P39" s="245">
        <f t="shared" si="21"/>
        <v>3.6867157734315472</v>
      </c>
      <c r="Q39" s="245">
        <f t="shared" si="21"/>
        <v>-0.20481534163068327</v>
      </c>
      <c r="R39" s="263">
        <f t="shared" ref="R39:R45" si="22">$R$22</f>
        <v>3</v>
      </c>
      <c r="T39">
        <f t="shared" si="14"/>
        <v>1465.7525546538641</v>
      </c>
    </row>
    <row r="40" spans="2:20">
      <c r="B40" s="242">
        <v>0.6</v>
      </c>
      <c r="C40" s="243">
        <f t="shared" si="15"/>
        <v>0.57894736842105254</v>
      </c>
      <c r="D40" s="244">
        <f>D$38+($B40-$B$38)*(D$43-D$38)/($B$43-$B$38)</f>
        <v>399.8250569389989</v>
      </c>
      <c r="E40" s="244">
        <f t="shared" si="21"/>
        <v>0</v>
      </c>
      <c r="F40" s="244">
        <f t="shared" si="21"/>
        <v>209.02807630915558</v>
      </c>
      <c r="G40" s="8">
        <f t="shared" si="21"/>
        <v>0</v>
      </c>
      <c r="H40" s="245">
        <f t="shared" si="21"/>
        <v>0.27259054987215903</v>
      </c>
      <c r="I40" s="8">
        <f t="shared" si="21"/>
        <v>0</v>
      </c>
      <c r="J40" s="246">
        <f t="shared" si="21"/>
        <v>8.1874760879595887E-2</v>
      </c>
      <c r="K40" s="244">
        <f t="shared" si="21"/>
        <v>2.1000000000000005</v>
      </c>
      <c r="L40" s="247">
        <f t="shared" si="21"/>
        <v>39358739.340322256</v>
      </c>
      <c r="M40" s="247">
        <f t="shared" si="21"/>
        <v>5302131167.8847008</v>
      </c>
      <c r="N40" s="247">
        <f t="shared" si="21"/>
        <v>1768359678.6563401</v>
      </c>
      <c r="O40" s="247">
        <f t="shared" si="21"/>
        <v>674049032.6207273</v>
      </c>
      <c r="P40" s="245">
        <f t="shared" si="21"/>
        <v>3.447853695707392</v>
      </c>
      <c r="Q40" s="245">
        <f t="shared" si="21"/>
        <v>-0.17409601219202445</v>
      </c>
      <c r="R40" s="263">
        <f t="shared" si="22"/>
        <v>3</v>
      </c>
      <c r="T40">
        <f t="shared" si="14"/>
        <v>1279.4401822047964</v>
      </c>
    </row>
    <row r="41" spans="2:20">
      <c r="B41" s="242">
        <v>0.65</v>
      </c>
      <c r="C41" s="243">
        <f t="shared" si="15"/>
        <v>0.63157894736842102</v>
      </c>
      <c r="D41" s="244">
        <f>D$38+($B41-$B$38)*(D$43-D$38)/($B$43-$B$38)</f>
        <v>341.60244054866479</v>
      </c>
      <c r="E41" s="244">
        <f t="shared" si="21"/>
        <v>0</v>
      </c>
      <c r="F41" s="244">
        <f t="shared" si="21"/>
        <v>161.32205337718153</v>
      </c>
      <c r="G41" s="8">
        <f t="shared" si="21"/>
        <v>0</v>
      </c>
      <c r="H41" s="245">
        <f t="shared" si="21"/>
        <v>0.27955880956565848</v>
      </c>
      <c r="I41" s="8">
        <f t="shared" si="21"/>
        <v>0</v>
      </c>
      <c r="J41" s="246">
        <f t="shared" si="21"/>
        <v>9.6583365970556084E-2</v>
      </c>
      <c r="K41" s="244">
        <f t="shared" si="21"/>
        <v>1.5999999999999999</v>
      </c>
      <c r="L41" s="247">
        <f t="shared" si="21"/>
        <v>30107570.96469637</v>
      </c>
      <c r="M41" s="247">
        <f t="shared" si="21"/>
        <v>4503852172.9273863</v>
      </c>
      <c r="N41" s="247">
        <f t="shared" si="21"/>
        <v>1382377887.4294226</v>
      </c>
      <c r="O41" s="247">
        <f t="shared" si="21"/>
        <v>502440650.26822585</v>
      </c>
      <c r="P41" s="245">
        <f t="shared" si="21"/>
        <v>3.2089916179832363</v>
      </c>
      <c r="Q41" s="245">
        <f t="shared" si="21"/>
        <v>-0.14337668275336554</v>
      </c>
      <c r="R41" s="263">
        <f t="shared" si="22"/>
        <v>3</v>
      </c>
      <c r="T41">
        <f t="shared" si="14"/>
        <v>1093.1278097557274</v>
      </c>
    </row>
    <row r="42" spans="2:20">
      <c r="B42" s="242">
        <v>0.7</v>
      </c>
      <c r="C42" s="243">
        <f t="shared" si="15"/>
        <v>0.68421052631578938</v>
      </c>
      <c r="D42" s="244">
        <f>D$38+($B42-$B$38)*(D$43-D$38)/($B$43-$B$38)</f>
        <v>283.37982415833085</v>
      </c>
      <c r="E42" s="244">
        <f t="shared" si="21"/>
        <v>0</v>
      </c>
      <c r="F42" s="244">
        <f t="shared" si="21"/>
        <v>113.61603044520757</v>
      </c>
      <c r="G42" s="8">
        <f t="shared" si="21"/>
        <v>0</v>
      </c>
      <c r="H42" s="245">
        <f t="shared" si="21"/>
        <v>0.286527069259158</v>
      </c>
      <c r="I42" s="8">
        <f t="shared" si="21"/>
        <v>0</v>
      </c>
      <c r="J42" s="246">
        <f t="shared" si="21"/>
        <v>0.11129197106151624</v>
      </c>
      <c r="K42" s="244">
        <f t="shared" si="21"/>
        <v>1.1000000000000005</v>
      </c>
      <c r="L42" s="247">
        <f t="shared" si="21"/>
        <v>20856402.589070506</v>
      </c>
      <c r="M42" s="247">
        <f t="shared" si="21"/>
        <v>3705573177.9700732</v>
      </c>
      <c r="N42" s="247">
        <f t="shared" si="21"/>
        <v>996396096.20250583</v>
      </c>
      <c r="O42" s="247">
        <f t="shared" si="21"/>
        <v>330832267.91572475</v>
      </c>
      <c r="P42" s="245">
        <f t="shared" si="21"/>
        <v>2.970129540259081</v>
      </c>
      <c r="Q42" s="245">
        <f t="shared" si="21"/>
        <v>-0.11265735331470672</v>
      </c>
      <c r="R42" s="263">
        <f t="shared" si="22"/>
        <v>3</v>
      </c>
      <c r="T42">
        <f t="shared" si="14"/>
        <v>906.81543730665862</v>
      </c>
    </row>
    <row r="43" spans="2:20">
      <c r="B43" s="242">
        <v>0.75</v>
      </c>
      <c r="C43" s="243">
        <f t="shared" si="15"/>
        <v>0.73684210526315785</v>
      </c>
      <c r="D43" s="244">
        <f>D22</f>
        <v>225.15720776799671</v>
      </c>
      <c r="E43" s="244">
        <f t="shared" ref="E43:Q43" si="23">E22</f>
        <v>0</v>
      </c>
      <c r="F43" s="244">
        <f t="shared" si="23"/>
        <v>65.910007513233523</v>
      </c>
      <c r="G43" s="8">
        <f t="shared" si="23"/>
        <v>0</v>
      </c>
      <c r="H43" s="245">
        <f t="shared" si="23"/>
        <v>0.29349532895265751</v>
      </c>
      <c r="I43" s="8">
        <f t="shared" si="23"/>
        <v>0</v>
      </c>
      <c r="J43" s="246">
        <f t="shared" si="23"/>
        <v>0.12600057615247642</v>
      </c>
      <c r="K43" s="244">
        <f t="shared" si="23"/>
        <v>0.6</v>
      </c>
      <c r="L43" s="247">
        <f t="shared" si="23"/>
        <v>11605234.21344462</v>
      </c>
      <c r="M43" s="247">
        <f t="shared" si="23"/>
        <v>2907294183.0127583</v>
      </c>
      <c r="N43" s="247">
        <f t="shared" si="23"/>
        <v>610414304.9755882</v>
      </c>
      <c r="O43" s="247">
        <f t="shared" si="23"/>
        <v>159223885.56322324</v>
      </c>
      <c r="P43" s="245">
        <f t="shared" si="23"/>
        <v>2.7312674625349254</v>
      </c>
      <c r="Q43" s="245">
        <f t="shared" si="23"/>
        <v>-8.193802387604783E-2</v>
      </c>
      <c r="R43" s="263">
        <f t="shared" si="22"/>
        <v>3</v>
      </c>
      <c r="T43">
        <f t="shared" si="14"/>
        <v>720.50306485758938</v>
      </c>
    </row>
    <row r="44" spans="2:20">
      <c r="B44" s="242">
        <v>0.8</v>
      </c>
      <c r="C44" s="243">
        <f t="shared" si="15"/>
        <v>0.78947368421052622</v>
      </c>
      <c r="D44" s="244">
        <f>D$43+($B44-$B$43)*(D$48-D$43)/($B$48-$B$43)</f>
        <v>184.52298204618276</v>
      </c>
      <c r="E44" s="244">
        <f t="shared" ref="E44:Q47" si="24">E$43+($B44-$B$43)*(E$48-E$43)/($B$48-$B$43)</f>
        <v>0</v>
      </c>
      <c r="F44" s="244">
        <f t="shared" si="24"/>
        <v>53.817849787918163</v>
      </c>
      <c r="G44" s="8">
        <f t="shared" si="24"/>
        <v>0</v>
      </c>
      <c r="H44" s="245">
        <f t="shared" si="24"/>
        <v>0.31514094185148339</v>
      </c>
      <c r="I44" s="8">
        <f t="shared" si="24"/>
        <v>0</v>
      </c>
      <c r="J44" s="246">
        <f t="shared" si="24"/>
        <v>0.13651656963419859</v>
      </c>
      <c r="K44" s="244">
        <f t="shared" si="24"/>
        <v>0.47999999999999987</v>
      </c>
      <c r="L44" s="247">
        <f t="shared" si="24"/>
        <v>9531690.6870213486</v>
      </c>
      <c r="M44" s="247">
        <f t="shared" si="24"/>
        <v>2372978143.1289206</v>
      </c>
      <c r="N44" s="247">
        <f t="shared" si="24"/>
        <v>499056317.91128469</v>
      </c>
      <c r="O44" s="247">
        <f t="shared" si="24"/>
        <v>127691063.55801517</v>
      </c>
      <c r="P44" s="245">
        <f t="shared" si="24"/>
        <v>2.5163322326644653</v>
      </c>
      <c r="Q44" s="245">
        <f t="shared" si="24"/>
        <v>-6.5550419100838253E-2</v>
      </c>
      <c r="R44" s="263">
        <f t="shared" si="22"/>
        <v>3</v>
      </c>
      <c r="T44">
        <f t="shared" si="14"/>
        <v>590.47354254778418</v>
      </c>
    </row>
    <row r="45" spans="2:20">
      <c r="B45" s="242">
        <v>0.85</v>
      </c>
      <c r="C45" s="243">
        <f t="shared" si="15"/>
        <v>0.84210526315789458</v>
      </c>
      <c r="D45" s="244">
        <f>D$43+($B45-$B$43)*(D$48-D$43)/($B$48-$B$43)</f>
        <v>143.8887563243689</v>
      </c>
      <c r="E45" s="244">
        <f t="shared" si="24"/>
        <v>0</v>
      </c>
      <c r="F45" s="244">
        <f t="shared" si="24"/>
        <v>41.725692062602825</v>
      </c>
      <c r="G45" s="8">
        <f t="shared" si="24"/>
        <v>0</v>
      </c>
      <c r="H45" s="245">
        <f t="shared" si="24"/>
        <v>0.33678655475030922</v>
      </c>
      <c r="I45" s="8">
        <f t="shared" si="24"/>
        <v>0</v>
      </c>
      <c r="J45" s="246">
        <f t="shared" si="24"/>
        <v>0.14703256311592069</v>
      </c>
      <c r="K45" s="244">
        <f t="shared" si="24"/>
        <v>0.36000000000000004</v>
      </c>
      <c r="L45" s="247">
        <f t="shared" si="24"/>
        <v>7458147.1605980825</v>
      </c>
      <c r="M45" s="247">
        <f t="shared" si="24"/>
        <v>1838662103.2450838</v>
      </c>
      <c r="N45" s="247">
        <f t="shared" si="24"/>
        <v>387698330.84698135</v>
      </c>
      <c r="O45" s="247">
        <f t="shared" si="24"/>
        <v>96158241.552807182</v>
      </c>
      <c r="P45" s="245">
        <f t="shared" si="24"/>
        <v>2.3013970027940061</v>
      </c>
      <c r="Q45" s="245">
        <f t="shared" si="24"/>
        <v>-4.9162814325628704E-2</v>
      </c>
      <c r="R45" s="263">
        <f t="shared" si="22"/>
        <v>3</v>
      </c>
      <c r="T45">
        <f t="shared" si="14"/>
        <v>460.44402023798045</v>
      </c>
    </row>
    <row r="46" spans="2:20">
      <c r="B46" s="242">
        <v>0.9</v>
      </c>
      <c r="C46" s="243">
        <f t="shared" si="15"/>
        <v>0.89473684210526305</v>
      </c>
      <c r="D46" s="244">
        <f>D$43+($B46-$B$43)*(D$48-D$43)/($B$48-$B$43)</f>
        <v>103.25453060255496</v>
      </c>
      <c r="E46" s="244">
        <f t="shared" si="24"/>
        <v>0</v>
      </c>
      <c r="F46" s="244">
        <f t="shared" si="24"/>
        <v>29.633534337287458</v>
      </c>
      <c r="G46" s="8">
        <f t="shared" si="24"/>
        <v>0</v>
      </c>
      <c r="H46" s="245">
        <f t="shared" si="24"/>
        <v>0.3584321676491351</v>
      </c>
      <c r="I46" s="8">
        <f t="shared" si="24"/>
        <v>0</v>
      </c>
      <c r="J46" s="246">
        <f t="shared" si="24"/>
        <v>0.15754855659764286</v>
      </c>
      <c r="K46" s="244">
        <f t="shared" si="24"/>
        <v>0.23999999999999994</v>
      </c>
      <c r="L46" s="247">
        <f t="shared" si="24"/>
        <v>5384603.6341748107</v>
      </c>
      <c r="M46" s="247">
        <f t="shared" si="24"/>
        <v>1304346063.3612461</v>
      </c>
      <c r="N46" s="247">
        <f t="shared" si="24"/>
        <v>276340343.78267783</v>
      </c>
      <c r="O46" s="247">
        <f t="shared" si="24"/>
        <v>64625419.547599107</v>
      </c>
      <c r="P46" s="245">
        <f t="shared" si="24"/>
        <v>2.086461772923546</v>
      </c>
      <c r="Q46" s="245">
        <f t="shared" si="24"/>
        <v>-3.2775209550419127E-2</v>
      </c>
      <c r="R46" s="263">
        <f>$R$23</f>
        <v>4</v>
      </c>
      <c r="T46">
        <f t="shared" si="14"/>
        <v>330.41449792817588</v>
      </c>
    </row>
    <row r="47" spans="2:20">
      <c r="B47" s="242">
        <v>0.95</v>
      </c>
      <c r="C47" s="243">
        <f t="shared" si="15"/>
        <v>0.94736842105263142</v>
      </c>
      <c r="D47" s="244">
        <f>D$43+($B47-$B$43)*(D$48-D$43)/($B$48-$B$43)</f>
        <v>62.620304880741116</v>
      </c>
      <c r="E47" s="244">
        <f t="shared" si="24"/>
        <v>0</v>
      </c>
      <c r="F47" s="244">
        <f t="shared" si="24"/>
        <v>17.541376611972126</v>
      </c>
      <c r="G47" s="8">
        <f t="shared" si="24"/>
        <v>0</v>
      </c>
      <c r="H47" s="245">
        <f t="shared" si="24"/>
        <v>0.38007778054796099</v>
      </c>
      <c r="I47" s="8">
        <f t="shared" si="24"/>
        <v>0</v>
      </c>
      <c r="J47" s="246">
        <f t="shared" si="24"/>
        <v>0.16806455007936499</v>
      </c>
      <c r="K47" s="244">
        <f t="shared" si="24"/>
        <v>0.12000000000000011</v>
      </c>
      <c r="L47" s="247">
        <f t="shared" si="24"/>
        <v>3311060.1077515446</v>
      </c>
      <c r="M47" s="247">
        <f t="shared" si="24"/>
        <v>770030023.47740936</v>
      </c>
      <c r="N47" s="247">
        <f t="shared" si="24"/>
        <v>164982356.71837449</v>
      </c>
      <c r="O47" s="247">
        <f t="shared" si="24"/>
        <v>33092597.542391106</v>
      </c>
      <c r="P47" s="245">
        <f t="shared" si="24"/>
        <v>1.8715265430530863</v>
      </c>
      <c r="Q47" s="245">
        <f t="shared" si="24"/>
        <v>-1.6387604775209577E-2</v>
      </c>
      <c r="R47" s="263">
        <f>$R$23</f>
        <v>4</v>
      </c>
      <c r="T47">
        <f t="shared" si="14"/>
        <v>200.38497561837153</v>
      </c>
    </row>
    <row r="48" spans="2:20">
      <c r="B48" s="248">
        <v>1</v>
      </c>
      <c r="C48" s="249">
        <f t="shared" si="15"/>
        <v>0.99999999999999989</v>
      </c>
      <c r="D48" s="250">
        <f>D23</f>
        <v>21.986079158927165</v>
      </c>
      <c r="E48" s="250">
        <f t="shared" ref="E48:Q48" si="25">E23</f>
        <v>0</v>
      </c>
      <c r="F48" s="250">
        <f t="shared" si="25"/>
        <v>5.4492188866567579</v>
      </c>
      <c r="G48" s="226">
        <f t="shared" si="25"/>
        <v>0</v>
      </c>
      <c r="H48" s="229">
        <f t="shared" si="25"/>
        <v>0.40172339344678687</v>
      </c>
      <c r="I48" s="226">
        <f t="shared" si="25"/>
        <v>0</v>
      </c>
      <c r="J48" s="251">
        <f t="shared" si="25"/>
        <v>0.17858054356108713</v>
      </c>
      <c r="K48" s="250">
        <f t="shared" si="25"/>
        <v>0</v>
      </c>
      <c r="L48" s="252">
        <f t="shared" si="25"/>
        <v>1237516.5813282721</v>
      </c>
      <c r="M48" s="252">
        <f t="shared" si="25"/>
        <v>235713983.59357151</v>
      </c>
      <c r="N48" s="252">
        <f t="shared" si="25"/>
        <v>53624369.654070929</v>
      </c>
      <c r="O48" s="252">
        <f t="shared" si="25"/>
        <v>1559775.5371830396</v>
      </c>
      <c r="P48" s="229">
        <f t="shared" si="25"/>
        <v>1.6565913131826264</v>
      </c>
      <c r="Q48" s="229">
        <f t="shared" si="25"/>
        <v>0</v>
      </c>
      <c r="R48" s="264">
        <f>$R$23</f>
        <v>4</v>
      </c>
      <c r="T48">
        <f>D48*(C48-C47)/2*(D$12-D$13)</f>
        <v>35.177726654283497</v>
      </c>
    </row>
    <row r="50" spans="20:20">
      <c r="T50">
        <f>SUM(T28:T49)</f>
        <v>27812.331748792705</v>
      </c>
    </row>
  </sheetData>
  <phoneticPr fontId="0" type="noConversion"/>
  <pageMargins left="0.75" right="0.75" top="1" bottom="1" header="0.5" footer="0.5"/>
  <pageSetup scale="75" orientation="landscape" horizontalDpi="0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topLeftCell="I1" workbookViewId="0">
      <selection activeCell="O26" sqref="O26"/>
    </sheetView>
  </sheetViews>
  <sheetFormatPr defaultRowHeight="11.25"/>
  <cols>
    <col min="2" max="2" width="12.1640625" customWidth="1"/>
    <col min="5" max="5" width="12.83203125" customWidth="1"/>
  </cols>
  <sheetData>
    <row r="1" spans="2:15">
      <c r="H1" t="s">
        <v>311</v>
      </c>
    </row>
    <row r="2" spans="2:15">
      <c r="H2" t="s">
        <v>312</v>
      </c>
    </row>
    <row r="3" spans="2:15">
      <c r="H3" t="s">
        <v>313</v>
      </c>
    </row>
    <row r="4" spans="2:15">
      <c r="H4" t="s">
        <v>314</v>
      </c>
    </row>
    <row r="5" spans="2:15">
      <c r="B5" t="s">
        <v>94</v>
      </c>
      <c r="C5" s="153">
        <f>'Main Page'!B9</f>
        <v>154</v>
      </c>
      <c r="D5" t="s">
        <v>85</v>
      </c>
      <c r="E5" t="s">
        <v>101</v>
      </c>
      <c r="F5" s="125">
        <v>7850</v>
      </c>
      <c r="G5" t="s">
        <v>102</v>
      </c>
    </row>
    <row r="6" spans="2:15">
      <c r="B6" t="s">
        <v>95</v>
      </c>
      <c r="C6" s="153">
        <f>C5-'Main Page'!B43</f>
        <v>151.072</v>
      </c>
      <c r="D6" t="s">
        <v>85</v>
      </c>
      <c r="E6" t="s">
        <v>103</v>
      </c>
      <c r="F6" s="152">
        <v>200000000000</v>
      </c>
      <c r="G6" t="s">
        <v>104</v>
      </c>
    </row>
    <row r="7" spans="2:15">
      <c r="B7" t="s">
        <v>96</v>
      </c>
      <c r="C7" s="154">
        <f>'Main Page'!B46</f>
        <v>10.17</v>
      </c>
      <c r="D7" t="s">
        <v>85</v>
      </c>
      <c r="E7" t="s">
        <v>105</v>
      </c>
      <c r="F7" s="152">
        <f>F6/2.6</f>
        <v>76923076923.07692</v>
      </c>
      <c r="G7" t="s">
        <v>104</v>
      </c>
    </row>
    <row r="8" spans="2:15">
      <c r="B8" t="s">
        <v>98</v>
      </c>
      <c r="C8" s="154">
        <f>'Main Page'!B44</f>
        <v>4.41</v>
      </c>
      <c r="D8" t="s">
        <v>85</v>
      </c>
    </row>
    <row r="9" spans="2:15">
      <c r="B9" t="s">
        <v>99</v>
      </c>
      <c r="C9" s="154">
        <f>'Main Page'!B47</f>
        <v>35.700000000000003</v>
      </c>
      <c r="D9" t="s">
        <v>97</v>
      </c>
    </row>
    <row r="10" spans="2:15">
      <c r="B10" t="s">
        <v>100</v>
      </c>
      <c r="C10" s="154">
        <f>'Main Page'!B45</f>
        <v>16</v>
      </c>
      <c r="D10" t="s">
        <v>97</v>
      </c>
    </row>
    <row r="11" spans="2:15">
      <c r="B11" t="s">
        <v>387</v>
      </c>
      <c r="C11" s="154">
        <f>'Main Page'!B48</f>
        <v>5</v>
      </c>
      <c r="D11" t="s">
        <v>388</v>
      </c>
    </row>
    <row r="13" spans="2:15">
      <c r="B13" t="s">
        <v>106</v>
      </c>
      <c r="C13" t="s">
        <v>107</v>
      </c>
      <c r="D13" t="s">
        <v>108</v>
      </c>
      <c r="E13" t="s">
        <v>109</v>
      </c>
      <c r="F13" t="s">
        <v>92</v>
      </c>
      <c r="G13" t="s">
        <v>115</v>
      </c>
      <c r="H13" t="s">
        <v>113</v>
      </c>
      <c r="I13" t="s">
        <v>17</v>
      </c>
      <c r="J13" t="s">
        <v>307</v>
      </c>
      <c r="K13" t="s">
        <v>112</v>
      </c>
      <c r="L13" t="s">
        <v>308</v>
      </c>
      <c r="M13" t="s">
        <v>309</v>
      </c>
      <c r="N13" t="s">
        <v>310</v>
      </c>
      <c r="O13" t="s">
        <v>383</v>
      </c>
    </row>
    <row r="14" spans="2:15">
      <c r="C14" t="s">
        <v>85</v>
      </c>
      <c r="D14" t="s">
        <v>85</v>
      </c>
      <c r="E14" t="s">
        <v>97</v>
      </c>
      <c r="F14" t="s">
        <v>93</v>
      </c>
      <c r="G14" t="s">
        <v>86</v>
      </c>
      <c r="H14" t="s">
        <v>114</v>
      </c>
      <c r="I14" t="s">
        <v>111</v>
      </c>
      <c r="J14" t="s">
        <v>110</v>
      </c>
      <c r="K14" t="s">
        <v>91</v>
      </c>
      <c r="L14" t="s">
        <v>111</v>
      </c>
      <c r="M14" t="s">
        <v>110</v>
      </c>
      <c r="N14" t="s">
        <v>91</v>
      </c>
      <c r="O14" t="s">
        <v>117</v>
      </c>
    </row>
    <row r="15" spans="2:15">
      <c r="B15">
        <v>0</v>
      </c>
      <c r="C15" s="154">
        <f>C$6/B$24*B15</f>
        <v>0</v>
      </c>
      <c r="D15" s="155">
        <f>C$7-(C$7-C$8)*C15/C$6</f>
        <v>10.17</v>
      </c>
      <c r="E15" s="156">
        <f>C$9-(C$9-C$10)*C15/C$6</f>
        <v>35.700000000000003</v>
      </c>
      <c r="F15" s="154">
        <f>PI()*D15*E15/1000</f>
        <v>1.1406149031461925</v>
      </c>
      <c r="G15" s="156">
        <f>F15*F$5*(C$11/100+1)</f>
        <v>9401.5183391824921</v>
      </c>
      <c r="H15" s="157">
        <f t="shared" ref="H15:H24" si="0">F15*F$6</f>
        <v>228122980629.23849</v>
      </c>
      <c r="I15" s="154">
        <f t="shared" ref="I15:I24" si="1">F15*D15^2/4</f>
        <v>29.493136189004307</v>
      </c>
      <c r="J15" s="156">
        <f t="shared" ref="J15:J24" si="2">I15*F$5</f>
        <v>231521.11908368382</v>
      </c>
      <c r="K15" s="157">
        <f t="shared" ref="K15:K24" si="3">I15*F$7</f>
        <v>2268702783769.562</v>
      </c>
      <c r="L15" s="154">
        <f>I15/2</f>
        <v>14.746568094502154</v>
      </c>
      <c r="M15" s="156">
        <f>J15/2</f>
        <v>115760.55954184191</v>
      </c>
      <c r="N15" s="157">
        <f t="shared" ref="N15:N24" si="4">L15*F$6</f>
        <v>2949313618900.4307</v>
      </c>
      <c r="O15" s="334">
        <f>G15*(C16-C15)/2</f>
        <v>78905.898807609861</v>
      </c>
    </row>
    <row r="16" spans="2:15">
      <c r="B16">
        <f>B15+1</f>
        <v>1</v>
      </c>
      <c r="C16" s="154">
        <f t="shared" ref="C16:C24" si="5">C$6/B$24*B16</f>
        <v>16.785777777777778</v>
      </c>
      <c r="D16" s="155">
        <f t="shared" ref="D16:D24" si="6">C$7-(C$7-C$8)*C16/C$6</f>
        <v>9.5299999999999994</v>
      </c>
      <c r="E16" s="156">
        <f t="shared" ref="E16:E24" si="7">C$9-(C$9-C$10)*C16/C$6</f>
        <v>33.511111111111113</v>
      </c>
      <c r="F16" s="154">
        <f t="shared" ref="F16:F24" si="8">PI()*D16*E16/1000</f>
        <v>1.0033018223772396</v>
      </c>
      <c r="G16" s="156">
        <f t="shared" ref="G16:G24" si="9">F16*F$5*(C$11/100+1)</f>
        <v>8269.7152709443981</v>
      </c>
      <c r="H16" s="157">
        <f t="shared" si="0"/>
        <v>200660364475.44794</v>
      </c>
      <c r="I16" s="154">
        <f t="shared" si="1"/>
        <v>22.780193619985258</v>
      </c>
      <c r="J16" s="156">
        <f t="shared" si="2"/>
        <v>178824.51991688428</v>
      </c>
      <c r="K16" s="157">
        <f t="shared" si="3"/>
        <v>1752322586152.7122</v>
      </c>
      <c r="L16" s="154">
        <f t="shared" ref="L16:L24" si="10">I16/2</f>
        <v>11.390096809992629</v>
      </c>
      <c r="M16" s="156">
        <f t="shared" ref="M16:M24" si="11">J16/2</f>
        <v>89412.25995844214</v>
      </c>
      <c r="N16" s="157">
        <f t="shared" si="4"/>
        <v>2278019361998.5259</v>
      </c>
      <c r="O16" s="334">
        <f>G16*(C17-C15)/2</f>
        <v>138813.60282356801</v>
      </c>
    </row>
    <row r="17" spans="2:15">
      <c r="B17">
        <f t="shared" ref="B17:B24" si="12">B16+1</f>
        <v>2</v>
      </c>
      <c r="C17" s="154">
        <f t="shared" si="5"/>
        <v>33.571555555555555</v>
      </c>
      <c r="D17" s="155">
        <f t="shared" si="6"/>
        <v>8.89</v>
      </c>
      <c r="E17" s="156">
        <f t="shared" si="7"/>
        <v>31.322222222222223</v>
      </c>
      <c r="F17" s="154">
        <f t="shared" si="8"/>
        <v>0.87479078609194427</v>
      </c>
      <c r="G17" s="156">
        <f t="shared" si="9"/>
        <v>7210.4630543628509</v>
      </c>
      <c r="H17" s="157">
        <f t="shared" si="0"/>
        <v>174958157218.38885</v>
      </c>
      <c r="I17" s="154">
        <f t="shared" si="1"/>
        <v>17.284138221374292</v>
      </c>
      <c r="J17" s="156">
        <f t="shared" si="2"/>
        <v>135680.4850377882</v>
      </c>
      <c r="K17" s="157">
        <f t="shared" si="3"/>
        <v>1329549093951.8687</v>
      </c>
      <c r="L17" s="154">
        <f t="shared" si="10"/>
        <v>8.6420691106871459</v>
      </c>
      <c r="M17" s="156">
        <f t="shared" si="11"/>
        <v>67840.242518894098</v>
      </c>
      <c r="N17" s="157">
        <f t="shared" si="4"/>
        <v>1728413822137.4292</v>
      </c>
      <c r="O17" s="334">
        <f t="shared" ref="O17:O23" si="13">G17*(C18-C16)/2</f>
        <v>121033.2305054116</v>
      </c>
    </row>
    <row r="18" spans="2:15">
      <c r="B18">
        <f t="shared" si="12"/>
        <v>3</v>
      </c>
      <c r="C18" s="154">
        <f t="shared" si="5"/>
        <v>50.35733333333333</v>
      </c>
      <c r="D18" s="155">
        <f t="shared" si="6"/>
        <v>8.25</v>
      </c>
      <c r="E18" s="156">
        <f t="shared" si="7"/>
        <v>29.133333333333336</v>
      </c>
      <c r="F18" s="154">
        <f t="shared" si="8"/>
        <v>0.75508179429030686</v>
      </c>
      <c r="G18" s="156">
        <f t="shared" si="9"/>
        <v>6223.7616894378543</v>
      </c>
      <c r="H18" s="157">
        <f t="shared" si="0"/>
        <v>151016358858.06137</v>
      </c>
      <c r="I18" s="154">
        <f t="shared" si="1"/>
        <v>12.848188655971002</v>
      </c>
      <c r="J18" s="156">
        <f t="shared" si="2"/>
        <v>100858.28094937236</v>
      </c>
      <c r="K18" s="157">
        <f t="shared" si="3"/>
        <v>988322204305.46167</v>
      </c>
      <c r="L18" s="154">
        <f t="shared" si="10"/>
        <v>6.4240943279855012</v>
      </c>
      <c r="M18" s="156">
        <f t="shared" si="11"/>
        <v>50429.140474686181</v>
      </c>
      <c r="N18" s="157">
        <f t="shared" si="4"/>
        <v>1284818865597.1003</v>
      </c>
      <c r="O18" s="334">
        <f t="shared" si="13"/>
        <v>104470.68066075062</v>
      </c>
    </row>
    <row r="19" spans="2:15">
      <c r="B19">
        <f t="shared" si="12"/>
        <v>4</v>
      </c>
      <c r="C19" s="154">
        <f t="shared" si="5"/>
        <v>67.143111111111111</v>
      </c>
      <c r="D19" s="155">
        <f t="shared" si="6"/>
        <v>7.61</v>
      </c>
      <c r="E19" s="156">
        <f t="shared" si="7"/>
        <v>26.944444444444446</v>
      </c>
      <c r="F19" s="154">
        <f t="shared" si="8"/>
        <v>0.64417484697232719</v>
      </c>
      <c r="G19" s="156">
        <f t="shared" si="9"/>
        <v>5309.6111761694065</v>
      </c>
      <c r="H19" s="157">
        <f t="shared" si="0"/>
        <v>128834969394.46544</v>
      </c>
      <c r="I19" s="154">
        <f t="shared" si="1"/>
        <v>9.3263795388365285</v>
      </c>
      <c r="J19" s="156">
        <f t="shared" si="2"/>
        <v>73212.079379866744</v>
      </c>
      <c r="K19" s="157">
        <f t="shared" si="3"/>
        <v>717413810679.73291</v>
      </c>
      <c r="L19" s="154">
        <f t="shared" si="10"/>
        <v>4.6631897694182642</v>
      </c>
      <c r="M19" s="156">
        <f t="shared" si="11"/>
        <v>36606.039689933372</v>
      </c>
      <c r="N19" s="157">
        <f t="shared" si="4"/>
        <v>932637953883.65283</v>
      </c>
      <c r="O19" s="334">
        <f t="shared" si="13"/>
        <v>89125.95328958497</v>
      </c>
    </row>
    <row r="20" spans="2:15">
      <c r="B20">
        <f t="shared" si="12"/>
        <v>5</v>
      </c>
      <c r="C20" s="154">
        <f t="shared" si="5"/>
        <v>83.928888888888892</v>
      </c>
      <c r="D20" s="155">
        <f t="shared" si="6"/>
        <v>6.97</v>
      </c>
      <c r="E20" s="156">
        <f t="shared" si="7"/>
        <v>24.755555555555556</v>
      </c>
      <c r="F20" s="154">
        <f t="shared" si="8"/>
        <v>0.54206994413800524</v>
      </c>
      <c r="G20" s="156">
        <f t="shared" si="9"/>
        <v>4468.0115145575082</v>
      </c>
      <c r="H20" s="157">
        <f t="shared" si="0"/>
        <v>108413988827.60104</v>
      </c>
      <c r="I20" s="154">
        <f t="shared" si="1"/>
        <v>6.583561437293505</v>
      </c>
      <c r="J20" s="156">
        <f t="shared" si="2"/>
        <v>51680.957282754011</v>
      </c>
      <c r="K20" s="157">
        <f t="shared" si="3"/>
        <v>506427802868.73114</v>
      </c>
      <c r="L20" s="154">
        <f t="shared" si="10"/>
        <v>3.2917807186467525</v>
      </c>
      <c r="M20" s="156">
        <f t="shared" si="11"/>
        <v>25840.478641377005</v>
      </c>
      <c r="N20" s="157">
        <f t="shared" si="4"/>
        <v>658356143729.35046</v>
      </c>
      <c r="O20" s="334">
        <f t="shared" si="13"/>
        <v>74999.048391914635</v>
      </c>
    </row>
    <row r="21" spans="2:15">
      <c r="B21">
        <f t="shared" si="12"/>
        <v>6</v>
      </c>
      <c r="C21" s="154">
        <f t="shared" si="5"/>
        <v>100.71466666666666</v>
      </c>
      <c r="D21" s="155">
        <f t="shared" si="6"/>
        <v>6.33</v>
      </c>
      <c r="E21" s="156">
        <f t="shared" si="7"/>
        <v>22.56666666666667</v>
      </c>
      <c r="F21" s="154">
        <f t="shared" si="8"/>
        <v>0.4487670857873412</v>
      </c>
      <c r="G21" s="156">
        <f t="shared" si="9"/>
        <v>3698.9627046021596</v>
      </c>
      <c r="H21" s="157">
        <f t="shared" si="0"/>
        <v>89753417157.468246</v>
      </c>
      <c r="I21" s="154">
        <f t="shared" si="1"/>
        <v>4.4954008709260993</v>
      </c>
      <c r="J21" s="156">
        <f t="shared" si="2"/>
        <v>35288.896836769876</v>
      </c>
      <c r="K21" s="157">
        <f t="shared" si="3"/>
        <v>345800066994.31531</v>
      </c>
      <c r="L21" s="154">
        <f t="shared" si="10"/>
        <v>2.2477004354630497</v>
      </c>
      <c r="M21" s="156">
        <f t="shared" si="11"/>
        <v>17644.448418384938</v>
      </c>
      <c r="N21" s="157">
        <f t="shared" si="4"/>
        <v>449540087092.60992</v>
      </c>
      <c r="O21" s="334">
        <f t="shared" si="13"/>
        <v>62089.965967739707</v>
      </c>
    </row>
    <row r="22" spans="2:15">
      <c r="B22">
        <f t="shared" si="12"/>
        <v>7</v>
      </c>
      <c r="C22" s="154">
        <f t="shared" si="5"/>
        <v>117.50044444444444</v>
      </c>
      <c r="D22" s="155">
        <f t="shared" si="6"/>
        <v>5.69</v>
      </c>
      <c r="E22" s="156">
        <f t="shared" si="7"/>
        <v>20.37777777777778</v>
      </c>
      <c r="F22" s="154">
        <f t="shared" si="8"/>
        <v>0.36426627192033501</v>
      </c>
      <c r="G22" s="156">
        <f t="shared" si="9"/>
        <v>3002.4647463033616</v>
      </c>
      <c r="H22" s="157">
        <f t="shared" si="0"/>
        <v>72853254384.067001</v>
      </c>
      <c r="I22" s="154">
        <f t="shared" si="1"/>
        <v>2.9483803115799896</v>
      </c>
      <c r="J22" s="156">
        <f t="shared" si="2"/>
        <v>23144.785445902919</v>
      </c>
      <c r="K22" s="157">
        <f t="shared" si="3"/>
        <v>226798485506.15305</v>
      </c>
      <c r="L22" s="154">
        <f t="shared" si="10"/>
        <v>1.4741901557899948</v>
      </c>
      <c r="M22" s="156">
        <f t="shared" si="11"/>
        <v>11572.392722951459</v>
      </c>
      <c r="N22" s="157">
        <f t="shared" si="4"/>
        <v>294838031157.99896</v>
      </c>
      <c r="O22" s="334">
        <f t="shared" si="13"/>
        <v>50398.706017060169</v>
      </c>
    </row>
    <row r="23" spans="2:15">
      <c r="B23">
        <f t="shared" si="12"/>
        <v>8</v>
      </c>
      <c r="C23" s="154">
        <f t="shared" si="5"/>
        <v>134.28622222222222</v>
      </c>
      <c r="D23" s="155">
        <f t="shared" si="6"/>
        <v>5.0500000000000007</v>
      </c>
      <c r="E23" s="156">
        <f t="shared" si="7"/>
        <v>18.18888888888889</v>
      </c>
      <c r="F23" s="154">
        <f t="shared" si="8"/>
        <v>0.28856750253698654</v>
      </c>
      <c r="G23" s="156">
        <f t="shared" si="9"/>
        <v>2378.5176396611114</v>
      </c>
      <c r="H23" s="157">
        <f t="shared" si="0"/>
        <v>57713500507.397308</v>
      </c>
      <c r="I23" s="154">
        <f t="shared" si="1"/>
        <v>1.8397981833623753</v>
      </c>
      <c r="J23" s="156">
        <f t="shared" si="2"/>
        <v>14442.415739394646</v>
      </c>
      <c r="K23" s="157">
        <f t="shared" si="3"/>
        <v>141522937181.72116</v>
      </c>
      <c r="L23" s="154">
        <f t="shared" si="10"/>
        <v>0.91989909168118766</v>
      </c>
      <c r="M23" s="156">
        <f t="shared" si="11"/>
        <v>7221.2078696973231</v>
      </c>
      <c r="N23" s="157">
        <f t="shared" si="4"/>
        <v>183979818336.23752</v>
      </c>
      <c r="O23" s="334">
        <f t="shared" si="13"/>
        <v>39925.268539875942</v>
      </c>
    </row>
    <row r="24" spans="2:15">
      <c r="B24">
        <f t="shared" si="12"/>
        <v>9</v>
      </c>
      <c r="C24" s="154">
        <f t="shared" si="5"/>
        <v>151.072</v>
      </c>
      <c r="D24" s="155">
        <f t="shared" si="6"/>
        <v>4.41</v>
      </c>
      <c r="E24" s="156">
        <f t="shared" si="7"/>
        <v>16</v>
      </c>
      <c r="F24" s="154">
        <f t="shared" si="8"/>
        <v>0.22167077763729581</v>
      </c>
      <c r="G24" s="156">
        <f t="shared" si="9"/>
        <v>1827.1213846754108</v>
      </c>
      <c r="H24" s="157">
        <f t="shared" si="0"/>
        <v>44334155527.45916</v>
      </c>
      <c r="I24" s="154">
        <f t="shared" si="1"/>
        <v>1.0777688626419732</v>
      </c>
      <c r="J24" s="156">
        <f t="shared" si="2"/>
        <v>8460.4855717394894</v>
      </c>
      <c r="K24" s="157">
        <f t="shared" si="3"/>
        <v>82905297126.305634</v>
      </c>
      <c r="L24" s="154">
        <f t="shared" si="10"/>
        <v>0.53888443132098662</v>
      </c>
      <c r="M24" s="156">
        <f t="shared" si="11"/>
        <v>4230.2427858697447</v>
      </c>
      <c r="N24" s="157">
        <f t="shared" si="4"/>
        <v>107776886264.19733</v>
      </c>
      <c r="O24" s="334">
        <f>G24*(C24-C23)/2</f>
        <v>15334.826768093541</v>
      </c>
    </row>
    <row r="25" spans="2:15">
      <c r="O25" s="334"/>
    </row>
    <row r="26" spans="2:15">
      <c r="O26" s="334">
        <f>SUM(O15:O25)</f>
        <v>775097.181771609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1"/>
  <sheetViews>
    <sheetView topLeftCell="B4" zoomScale="75" workbookViewId="0">
      <pane xSplit="1" ySplit="1" topLeftCell="C5" activePane="bottomRight" state="frozen"/>
      <selection activeCell="B4" sqref="B4"/>
      <selection pane="topRight" activeCell="C4" sqref="C4"/>
      <selection pane="bottomLeft" activeCell="B5" sqref="B5"/>
      <selection pane="bottomRight" activeCell="M6" sqref="M6"/>
    </sheetView>
  </sheetViews>
  <sheetFormatPr defaultRowHeight="11.25"/>
  <cols>
    <col min="1" max="1" width="16.5" customWidth="1"/>
    <col min="2" max="2" width="33.5" bestFit="1" customWidth="1"/>
    <col min="3" max="3" width="10.5" bestFit="1" customWidth="1"/>
    <col min="4" max="4" width="11.33203125" customWidth="1"/>
    <col min="5" max="5" width="11.5" customWidth="1"/>
    <col min="6" max="6" width="14.33203125" customWidth="1"/>
    <col min="7" max="7" width="14" customWidth="1"/>
    <col min="8" max="8" width="10" customWidth="1"/>
    <col min="10" max="11" width="9.6640625" customWidth="1"/>
    <col min="12" max="12" width="9.5" customWidth="1"/>
    <col min="13" max="13" width="13.33203125" bestFit="1" customWidth="1"/>
    <col min="14" max="14" width="11.33203125" customWidth="1"/>
    <col min="15" max="15" width="11.5" customWidth="1"/>
    <col min="17" max="17" width="10.6640625" bestFit="1" customWidth="1"/>
  </cols>
  <sheetData>
    <row r="1" spans="1:25" ht="12.75">
      <c r="A1" s="112"/>
      <c r="B1" s="112" t="s">
        <v>171</v>
      </c>
      <c r="C1" s="127">
        <f>'Main Page'!B13</f>
        <v>128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25" ht="12.75">
      <c r="A2" s="112"/>
      <c r="B2" s="113" t="s">
        <v>172</v>
      </c>
      <c r="C2" s="127">
        <f>'Main Page'!B85*'Main Page'!B86</f>
        <v>1800</v>
      </c>
      <c r="D2" s="114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</row>
    <row r="3" spans="1:25" ht="12.75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</row>
    <row r="4" spans="1:25" ht="38.25">
      <c r="A4" s="115"/>
      <c r="B4" s="163" t="s">
        <v>173</v>
      </c>
      <c r="C4" s="115" t="s">
        <v>174</v>
      </c>
      <c r="D4" s="115" t="s">
        <v>175</v>
      </c>
      <c r="E4" s="115" t="s">
        <v>176</v>
      </c>
      <c r="F4" s="115" t="s">
        <v>216</v>
      </c>
      <c r="G4" s="115"/>
      <c r="H4" s="115" t="s">
        <v>177</v>
      </c>
      <c r="I4" s="115" t="s">
        <v>178</v>
      </c>
      <c r="J4" s="115" t="s">
        <v>179</v>
      </c>
      <c r="K4" s="115" t="s">
        <v>180</v>
      </c>
      <c r="L4" s="115" t="s">
        <v>181</v>
      </c>
      <c r="M4" s="115" t="s">
        <v>182</v>
      </c>
      <c r="N4" s="115" t="s">
        <v>183</v>
      </c>
      <c r="O4" s="115" t="s">
        <v>184</v>
      </c>
      <c r="P4" s="115" t="s">
        <v>213</v>
      </c>
      <c r="Q4" s="115" t="s">
        <v>214</v>
      </c>
      <c r="R4" s="115" t="s">
        <v>215</v>
      </c>
      <c r="S4" s="115"/>
      <c r="T4" s="115"/>
      <c r="U4" s="116"/>
      <c r="V4" s="116"/>
      <c r="W4" s="115"/>
      <c r="X4" s="115"/>
      <c r="Y4" s="116"/>
    </row>
    <row r="5" spans="1:25" ht="12.75">
      <c r="A5" s="112"/>
      <c r="B5" s="164" t="s">
        <v>12</v>
      </c>
      <c r="C5" s="131"/>
      <c r="D5" s="131"/>
      <c r="E5" s="132">
        <f>'Main Page'!B53</f>
        <v>6.4</v>
      </c>
      <c r="F5" s="132">
        <f>'Main Page'!B56</f>
        <v>0.1</v>
      </c>
      <c r="G5" s="131"/>
      <c r="H5" s="135">
        <f>'Main Page'!B57</f>
        <v>7850</v>
      </c>
      <c r="I5" s="136">
        <f>H5*F5*PI()*E5^2</f>
        <v>101013.5135464648</v>
      </c>
      <c r="J5" s="132">
        <f>'Main Page'!B58</f>
        <v>-6</v>
      </c>
      <c r="K5" s="132">
        <f>'Main Page'!B59</f>
        <v>0</v>
      </c>
      <c r="L5" s="132">
        <f>'Main Page'!B60</f>
        <v>0</v>
      </c>
      <c r="M5" s="347">
        <f>0.4*I5*((E5/2)^5-(E5/2-F5)^5)/((E5/2)^3-(E5/2-F5)^3)</f>
        <v>668484.97012246738</v>
      </c>
      <c r="N5" s="160">
        <f>M5</f>
        <v>668484.97012246738</v>
      </c>
      <c r="O5" s="160">
        <f>M5</f>
        <v>668484.97012246738</v>
      </c>
      <c r="P5" s="160">
        <f>$I5*((K5-K$14)^2+(L5-L$14)^2)</f>
        <v>0</v>
      </c>
      <c r="Q5" s="160">
        <f>$I5*((L5-L$14)^2+(J5-J$14)^2)</f>
        <v>7.9685611735819164E-26</v>
      </c>
      <c r="R5" s="160">
        <f>$I5*((J5-J$14)^2+(K5-K$14)^2)</f>
        <v>7.9685611735819164E-26</v>
      </c>
      <c r="S5" s="112" t="s">
        <v>12</v>
      </c>
      <c r="T5" s="113"/>
      <c r="U5" s="112"/>
      <c r="V5" s="112"/>
      <c r="W5" s="112"/>
      <c r="X5" s="112"/>
      <c r="Y5" s="112"/>
    </row>
    <row r="6" spans="1:25" ht="12.75">
      <c r="A6" s="112"/>
      <c r="B6" s="164" t="s">
        <v>185</v>
      </c>
      <c r="C6" s="131"/>
      <c r="D6" s="131"/>
      <c r="E6" s="131"/>
      <c r="F6" s="131"/>
      <c r="G6" s="136"/>
      <c r="H6" s="134"/>
      <c r="I6" s="136">
        <f>0.0119*'Main Page'!B13^3</f>
        <v>24956.108800000002</v>
      </c>
      <c r="J6" s="132">
        <f>'Main Page'!B58</f>
        <v>-6</v>
      </c>
      <c r="K6" s="132">
        <f>'Main Page'!B59</f>
        <v>0</v>
      </c>
      <c r="L6" s="132">
        <f>'Main Page'!B60</f>
        <v>0</v>
      </c>
      <c r="M6" s="160">
        <f>I6*E5^2/4</f>
        <v>255550.55411200007</v>
      </c>
      <c r="N6" s="160">
        <f>M6</f>
        <v>255550.55411200007</v>
      </c>
      <c r="O6" s="160">
        <f>N6</f>
        <v>255550.55411200007</v>
      </c>
      <c r="P6" s="160">
        <f>$I6*((K6-K$14)^2+(L6-L$14)^2)</f>
        <v>0</v>
      </c>
      <c r="Q6" s="160">
        <f>$I6*((L6-L$14)^2+(J6-J$14)^2)</f>
        <v>1.968689857876206E-26</v>
      </c>
      <c r="R6" s="160">
        <f>$I6*((J6-J$14)^2+(K6-K$14)^2)</f>
        <v>1.968689857876206E-26</v>
      </c>
      <c r="S6" s="112" t="s">
        <v>12</v>
      </c>
      <c r="T6" s="113"/>
      <c r="U6" s="117"/>
      <c r="V6" s="117"/>
      <c r="W6" s="112"/>
      <c r="X6" s="112"/>
      <c r="Y6" s="112"/>
    </row>
    <row r="7" spans="1:25" ht="12.75">
      <c r="A7" s="112"/>
      <c r="B7" s="164" t="s">
        <v>138</v>
      </c>
      <c r="C7" s="132">
        <f>'Main Page'!B63</f>
        <v>3.6</v>
      </c>
      <c r="D7" s="132">
        <f>'Main Page'!B65</f>
        <v>0.52</v>
      </c>
      <c r="E7" s="132">
        <f>'Main Page'!B64</f>
        <v>1.04</v>
      </c>
      <c r="F7" s="131"/>
      <c r="G7" s="136"/>
      <c r="H7" s="135">
        <f>'Main Page'!B66</f>
        <v>7850</v>
      </c>
      <c r="I7" s="136">
        <f>0.25*PI()*(E7^2-D7^2)*H7*C7</f>
        <v>18004.869621582769</v>
      </c>
      <c r="J7" s="132">
        <f>0.5*('Main Page'!B71+'Main Page'!B74)</f>
        <v>-2.7</v>
      </c>
      <c r="K7" s="132">
        <f>'Main Page'!B67</f>
        <v>0</v>
      </c>
      <c r="L7" s="132">
        <f>'Main Page'!B68</f>
        <v>0</v>
      </c>
      <c r="M7" s="160">
        <f>I7*(E7^2+D7^2)/8</f>
        <v>3042.8229660474881</v>
      </c>
      <c r="N7" s="160">
        <f>I7*(E7^2+D7^2+4*C7^2/3)/16</f>
        <v>20966.670674333138</v>
      </c>
      <c r="O7" s="160">
        <f>I7*(E7^2+D7^2+4*C7^2/3)/16</f>
        <v>20966.670674333138</v>
      </c>
      <c r="P7" s="160">
        <f>$I7*((K7-K$15)^2+(L7-L$15)^2)</f>
        <v>0</v>
      </c>
      <c r="Q7" s="160">
        <f>$I7*((L7-L$15)^2+(J7-J$15)^2)</f>
        <v>22504.090170830928</v>
      </c>
      <c r="R7" s="160">
        <f>$I7*((J7-J$15)^2+(K7-K$15)^2)</f>
        <v>22504.090170830928</v>
      </c>
      <c r="S7" s="112" t="s">
        <v>210</v>
      </c>
      <c r="T7" s="112"/>
      <c r="U7" s="112"/>
      <c r="V7" s="112"/>
      <c r="W7" s="112"/>
      <c r="X7" s="112"/>
      <c r="Y7" s="112"/>
    </row>
    <row r="8" spans="1:25" ht="12.75">
      <c r="A8" s="112"/>
      <c r="B8" s="164" t="s">
        <v>186</v>
      </c>
      <c r="C8" s="131"/>
      <c r="D8" s="159">
        <f>E7</f>
        <v>1.04</v>
      </c>
      <c r="F8" s="131"/>
      <c r="G8" s="131"/>
      <c r="H8" s="138"/>
      <c r="I8" s="136">
        <f>0.00002613*(1000*E7)^2.77</f>
        <v>5947.3262023525358</v>
      </c>
      <c r="J8" s="132">
        <f>'Main Page'!B71</f>
        <v>-4.2</v>
      </c>
      <c r="K8" s="132">
        <f>'Main Page'!B72</f>
        <v>0</v>
      </c>
      <c r="L8" s="132">
        <f>'Main Page'!B73</f>
        <v>0</v>
      </c>
      <c r="M8" s="160">
        <f>I8*D8^2/4</f>
        <v>1608.1570051161259</v>
      </c>
      <c r="N8" s="160">
        <f>M8/2</f>
        <v>804.07850255806295</v>
      </c>
      <c r="O8" s="160">
        <f>M8/2</f>
        <v>804.07850255806295</v>
      </c>
      <c r="P8" s="160">
        <f>$I8*((K8-K$15)^2+(L8-L$15)^2)</f>
        <v>0</v>
      </c>
      <c r="Q8" s="160">
        <f>$I8*((L8-L$15)^2+(J8-J$15)^2)</f>
        <v>40762.035659007975</v>
      </c>
      <c r="R8" s="160">
        <f>$I8*((J8-J$15)^2+(K8-K$15)^2)</f>
        <v>40762.035659007975</v>
      </c>
      <c r="S8" s="112" t="s">
        <v>210</v>
      </c>
      <c r="T8" s="113"/>
      <c r="U8" s="117"/>
      <c r="V8" s="117"/>
      <c r="W8" s="112"/>
      <c r="X8" s="112"/>
      <c r="Y8" s="118"/>
    </row>
    <row r="9" spans="1:25" ht="12.75">
      <c r="A9" s="112"/>
      <c r="B9" s="164" t="s">
        <v>187</v>
      </c>
      <c r="C9" s="131"/>
      <c r="D9" s="159">
        <f>E7</f>
        <v>1.04</v>
      </c>
      <c r="F9" s="131"/>
      <c r="G9" s="131"/>
      <c r="H9" s="138"/>
      <c r="I9" s="136">
        <f>0.00002613*(1000*E7)^2.77</f>
        <v>5947.3262023525358</v>
      </c>
      <c r="J9" s="132">
        <f>'Main Page'!B74</f>
        <v>-1.2</v>
      </c>
      <c r="K9" s="132">
        <f>'Main Page'!B75</f>
        <v>0</v>
      </c>
      <c r="L9" s="132">
        <f>'Main Page'!B76</f>
        <v>0</v>
      </c>
      <c r="M9" s="160">
        <f>I9*D9^2/4</f>
        <v>1608.1570051161259</v>
      </c>
      <c r="N9" s="160">
        <f>M9/2</f>
        <v>804.07850255806295</v>
      </c>
      <c r="O9" s="160">
        <f>M9/2</f>
        <v>804.07850255806295</v>
      </c>
      <c r="P9" s="160">
        <f>$I9*((K9-K$15)^2+(L9-L$15)^2)</f>
        <v>0</v>
      </c>
      <c r="Q9" s="160">
        <f>$I9*((L9-L$15)^2+(J9-J$15)^2)</f>
        <v>867.92856380403782</v>
      </c>
      <c r="R9" s="160">
        <f>$I9*((J9-J$15)^2+(K9-K$15)^2)</f>
        <v>867.92856380403782</v>
      </c>
      <c r="S9" s="112" t="s">
        <v>210</v>
      </c>
      <c r="T9" s="113"/>
      <c r="U9" s="119"/>
      <c r="V9" s="119"/>
      <c r="W9" s="112"/>
      <c r="X9" s="112"/>
      <c r="Y9" s="112"/>
    </row>
    <row r="10" spans="1:25" ht="12.75">
      <c r="A10" s="112"/>
      <c r="B10" s="164" t="s">
        <v>188</v>
      </c>
      <c r="C10" s="131">
        <f>C24</f>
        <v>1.536</v>
      </c>
      <c r="D10" s="131"/>
      <c r="E10" s="131">
        <f>D24</f>
        <v>1.44</v>
      </c>
      <c r="F10" s="128"/>
      <c r="G10" s="128"/>
      <c r="H10" s="137"/>
      <c r="I10" s="136">
        <f>'Main Page'!B79/2</f>
        <v>21129.5</v>
      </c>
      <c r="J10" s="132">
        <f>'Main Page'!B80</f>
        <v>0</v>
      </c>
      <c r="K10" s="132">
        <f>'Main Page'!B81</f>
        <v>0</v>
      </c>
      <c r="L10" s="132">
        <f>'Main Page'!B82</f>
        <v>0</v>
      </c>
      <c r="M10" s="160">
        <f>I10*E10^2/8</f>
        <v>5476.7663999999995</v>
      </c>
      <c r="N10" s="160">
        <f>I10*(3*E10^2/4+C10^2)/12</f>
        <v>6892.6119360000002</v>
      </c>
      <c r="O10" s="160">
        <f>I10*(3*E10^2/4+C10^2)/12</f>
        <v>6892.6119360000002</v>
      </c>
      <c r="P10" s="160">
        <f>$I10*((K10-K$15)^2+(L10-L$15)^2)</f>
        <v>0</v>
      </c>
      <c r="Q10" s="160">
        <f>$I10*((L10-L$15)^2+(J10-J$15)^2)</f>
        <v>52882.350431692983</v>
      </c>
      <c r="R10" s="160">
        <f>$I10*((J10-J$15)^2+(K10-K$15)^2)</f>
        <v>52882.350431692983</v>
      </c>
      <c r="S10" s="112" t="s">
        <v>210</v>
      </c>
      <c r="T10" s="113"/>
      <c r="U10" s="112"/>
      <c r="V10" s="112"/>
      <c r="W10" s="112"/>
      <c r="X10" s="112"/>
      <c r="Y10" s="112"/>
    </row>
    <row r="11" spans="1:25" ht="13.15" customHeight="1">
      <c r="A11" s="112"/>
      <c r="B11" s="164" t="s">
        <v>189</v>
      </c>
      <c r="C11" s="131">
        <f>1.6*0.015*C1</f>
        <v>3.0720000000000001</v>
      </c>
      <c r="D11" s="128"/>
      <c r="E11" s="128"/>
      <c r="F11" s="128"/>
      <c r="G11" s="128"/>
      <c r="H11" s="137"/>
      <c r="I11" s="139">
        <f>(3.3*'Main Page'!B89+471)/3</f>
        <v>5657</v>
      </c>
      <c r="J11" s="132">
        <f>'Main Page'!B90</f>
        <v>1.5</v>
      </c>
      <c r="K11" s="132">
        <f>'Main Page'!B91</f>
        <v>0</v>
      </c>
      <c r="L11" s="132">
        <f>'Main Page'!B92</f>
        <v>0</v>
      </c>
      <c r="M11" s="160">
        <f>0.0000486*C1^5.333</f>
        <v>8402084.3541007079</v>
      </c>
      <c r="N11" s="160">
        <f>M11/2/('Main Page'!B85^2)+I11*C11^2/12</f>
        <v>4611.2201548678149</v>
      </c>
      <c r="O11" s="160">
        <f>N11</f>
        <v>4611.2201548678149</v>
      </c>
      <c r="P11" s="160">
        <f>$I11*((K11-K$16)^2+(L11-L$16)^2)</f>
        <v>0</v>
      </c>
      <c r="Q11" s="160">
        <f>$I11*((L11-L$16)^2+(J11-J$16)^2)</f>
        <v>71.16059432727522</v>
      </c>
      <c r="R11" s="160">
        <f>$I11*((J11-J$16)^2+(K11-K$16)^2)</f>
        <v>71.16059432727522</v>
      </c>
      <c r="S11" s="112" t="s">
        <v>211</v>
      </c>
      <c r="T11" s="113"/>
      <c r="V11" s="119"/>
      <c r="W11" s="115"/>
      <c r="X11" s="112"/>
      <c r="Y11" s="118"/>
    </row>
    <row r="12" spans="1:25" ht="12.75">
      <c r="A12" s="112"/>
      <c r="B12" s="164" t="s">
        <v>256</v>
      </c>
      <c r="C12" s="131">
        <v>2.5000000000000001E-2</v>
      </c>
      <c r="D12" s="131"/>
      <c r="E12" s="131">
        <f>1.5*E7</f>
        <v>1.56</v>
      </c>
      <c r="F12" s="131"/>
      <c r="G12" s="131"/>
      <c r="H12" s="169">
        <v>7850</v>
      </c>
      <c r="I12" s="139">
        <f>1.5*0.025*1000*'Main Page'!B89/0.10472/C2</f>
        <v>994.71606824548019</v>
      </c>
      <c r="J12" s="132">
        <f>0.5*(J10+J11)</f>
        <v>0.75</v>
      </c>
      <c r="K12" s="132">
        <f>0.5*(K10+K11)</f>
        <v>0</v>
      </c>
      <c r="L12" s="132">
        <f>0.5*(L10+L11)</f>
        <v>0</v>
      </c>
      <c r="M12" s="160">
        <f>0.25*C12*PI()*H12*E12^2*'Main Page'!B85^2*E12^2/8</f>
        <v>2952212.5393859111</v>
      </c>
      <c r="N12" s="160">
        <f>I12*(3*E12^2/4+C12^2)/12</f>
        <v>151.34812210869202</v>
      </c>
      <c r="O12" s="160">
        <f>I12*(3*E12^2/4+C12^2)/12</f>
        <v>151.34812210869202</v>
      </c>
      <c r="P12" s="160">
        <f>$I12*((K12-K$16)^2+(L12-L$16)^2)</f>
        <v>0</v>
      </c>
      <c r="Q12" s="160">
        <f>$I12*((L12-L$16)^2+(J12-J$16)^2)</f>
        <v>404.69385683036109</v>
      </c>
      <c r="R12" s="160">
        <f>$I12*((J12-J$16)^2+(K12-K$16)^2)</f>
        <v>404.69385683036109</v>
      </c>
      <c r="S12" s="112" t="s">
        <v>211</v>
      </c>
      <c r="T12" s="113"/>
      <c r="V12" s="119"/>
      <c r="W12" s="112"/>
      <c r="X12" s="112"/>
      <c r="Y12" s="118"/>
    </row>
    <row r="13" spans="1:25" ht="12.75">
      <c r="A13" s="112"/>
      <c r="B13" s="164"/>
      <c r="C13" s="131"/>
      <c r="D13" s="131"/>
      <c r="E13" s="131"/>
      <c r="F13" s="131"/>
      <c r="G13" s="131"/>
      <c r="H13" s="138"/>
      <c r="I13" s="139"/>
      <c r="J13" s="132"/>
      <c r="K13" s="132"/>
      <c r="L13" s="132"/>
      <c r="M13" s="158" t="s">
        <v>208</v>
      </c>
      <c r="N13" s="158" t="s">
        <v>209</v>
      </c>
      <c r="O13" s="158" t="s">
        <v>212</v>
      </c>
      <c r="P13" s="158"/>
      <c r="Q13" s="158"/>
      <c r="R13" s="158"/>
      <c r="S13" s="112"/>
      <c r="T13" s="113"/>
      <c r="V13" s="119"/>
      <c r="W13" s="112"/>
      <c r="X13" s="112"/>
      <c r="Y13" s="118"/>
    </row>
    <row r="14" spans="1:25" ht="12.75">
      <c r="A14" s="112"/>
      <c r="B14" s="164"/>
      <c r="C14" s="131"/>
      <c r="D14" s="131"/>
      <c r="E14" s="131"/>
      <c r="F14" s="131"/>
      <c r="G14" s="131"/>
      <c r="H14" s="141" t="s">
        <v>205</v>
      </c>
      <c r="I14" s="136">
        <f>I5+I6</f>
        <v>125969.62234646481</v>
      </c>
      <c r="J14" s="132">
        <f>SUMPRODUCT($I5:$I6,J5:J6)/SUM($I5:$I6)</f>
        <v>-6.0000000000000009</v>
      </c>
      <c r="K14" s="132">
        <f>SUMPRODUCT($I5:$I6,K5:K6)/SUM($I5:$I6)</f>
        <v>0</v>
      </c>
      <c r="L14" s="132">
        <f>SUMPRODUCT($I5:$I6,L5:L6)/SUM($I5:$I6)</f>
        <v>0</v>
      </c>
      <c r="M14" s="161">
        <f>M5+M6+P5+P6</f>
        <v>924035.52423446742</v>
      </c>
      <c r="N14" s="161">
        <f>N5+N6+Q5+Q6</f>
        <v>924035.52423446742</v>
      </c>
      <c r="O14" s="161">
        <f>O5+O6+R5+R6</f>
        <v>924035.52423446742</v>
      </c>
      <c r="P14" s="112"/>
      <c r="Q14" s="112"/>
      <c r="R14" s="112"/>
      <c r="S14" s="112"/>
      <c r="T14" s="113"/>
      <c r="V14" s="119"/>
      <c r="W14" s="112"/>
      <c r="X14" s="112"/>
      <c r="Y14" s="118"/>
    </row>
    <row r="15" spans="1:25" ht="12.75">
      <c r="A15" s="112"/>
      <c r="B15" s="164"/>
      <c r="C15" s="131"/>
      <c r="D15" s="131"/>
      <c r="E15" s="131"/>
      <c r="F15" s="131"/>
      <c r="G15" s="131"/>
      <c r="H15" s="113" t="s">
        <v>203</v>
      </c>
      <c r="I15" s="142">
        <f>SUM(I7:I10)</f>
        <v>51029.022026287843</v>
      </c>
      <c r="J15" s="132">
        <f>SUMPRODUCT($I7:$I10,J7:J10)/SUM($I7:$I10)</f>
        <v>-1.582015611221971</v>
      </c>
      <c r="K15" s="132">
        <f>SUMPRODUCT($I7:$I10,K7:K10)/SUM($I7:$I10)</f>
        <v>0</v>
      </c>
      <c r="L15" s="132">
        <f>SUMPRODUCT($I7:$I10,L7:L10)/SUM($I7:$I10)</f>
        <v>0</v>
      </c>
      <c r="M15" s="160">
        <f>SUM(M7:M10,P7:P10)</f>
        <v>11735.903376279741</v>
      </c>
      <c r="N15" s="160">
        <f>SUM(N7:N10,Q7:Q10)</f>
        <v>146483.84444078518</v>
      </c>
      <c r="O15" s="160">
        <f>SUM(O7:O10,R7:R10)</f>
        <v>146483.84444078518</v>
      </c>
      <c r="P15" s="112"/>
      <c r="Q15" s="112"/>
      <c r="R15" s="112"/>
      <c r="S15" s="112"/>
      <c r="T15" s="113"/>
      <c r="V15" s="119"/>
      <c r="W15" s="112"/>
      <c r="X15" s="112"/>
      <c r="Y15" s="118"/>
    </row>
    <row r="16" spans="1:25" ht="12.75">
      <c r="A16" s="112"/>
      <c r="B16" s="165"/>
      <c r="C16" s="112"/>
      <c r="D16" s="112"/>
      <c r="E16" s="112"/>
      <c r="F16" s="112"/>
      <c r="G16" s="120"/>
      <c r="H16" s="113" t="s">
        <v>204</v>
      </c>
      <c r="I16" s="136">
        <f>SUM(I11:I12)</f>
        <v>6651.7160682454805</v>
      </c>
      <c r="J16" s="132">
        <f>SUMPRODUCT($I11:$I12,J11:J12)/SUM($I11:$I12)</f>
        <v>1.3878429200029141</v>
      </c>
      <c r="K16" s="132">
        <f>SUMPRODUCT($I11:$I12,K11:K12)/SUM($I11:$I12)</f>
        <v>0</v>
      </c>
      <c r="L16" s="132">
        <f>SUMPRODUCT($I11:$I12,L11:L12)/SUM($I11:$I12)</f>
        <v>0</v>
      </c>
      <c r="M16" s="160">
        <f>SUM(M11:M12,P11:P12)</f>
        <v>11354296.893486619</v>
      </c>
      <c r="N16" s="160">
        <f>SUM(N11:N12,Q11:Q12)</f>
        <v>5238.4227281341437</v>
      </c>
      <c r="O16" s="160">
        <f>SUM(O11:O12,R11:R12)</f>
        <v>5238.4227281341437</v>
      </c>
      <c r="P16" s="112"/>
      <c r="Q16" s="112"/>
      <c r="R16" s="112"/>
      <c r="S16" s="112"/>
      <c r="T16" s="113"/>
      <c r="U16" s="119"/>
      <c r="V16" s="119"/>
      <c r="W16" s="112"/>
      <c r="X16" s="112"/>
      <c r="Y16" s="112"/>
    </row>
    <row r="17" spans="1:25" ht="12.75">
      <c r="A17" s="112"/>
      <c r="B17" s="165"/>
      <c r="C17" s="112"/>
      <c r="D17" s="112"/>
      <c r="E17" s="112"/>
      <c r="F17" s="112"/>
      <c r="G17" s="120"/>
      <c r="H17" s="113" t="s">
        <v>202</v>
      </c>
      <c r="I17" s="136">
        <f>SUM(I14:I16)</f>
        <v>183650.36044099811</v>
      </c>
      <c r="J17" s="132">
        <f>SUMPRODUCT($I14:$I16,J14:J16)/SUM($I14:$I16)</f>
        <v>-4.5048368242346895</v>
      </c>
      <c r="K17" s="132">
        <f>SUMPRODUCT($I14:$I16,K14:K16)/SUM($I14:$I16)</f>
        <v>0</v>
      </c>
      <c r="L17" s="132">
        <f>SUMPRODUCT($I14:$I16,L14:L16)/SUM($I14:$I16)</f>
        <v>0</v>
      </c>
      <c r="M17" s="112"/>
      <c r="N17" s="112"/>
      <c r="O17" s="112"/>
      <c r="P17" s="112"/>
      <c r="Q17" s="112"/>
      <c r="R17" s="112"/>
      <c r="S17" s="112"/>
      <c r="T17" s="113"/>
      <c r="U17" s="119"/>
      <c r="V17" s="119"/>
      <c r="W17" s="112"/>
      <c r="X17" s="112"/>
      <c r="Y17" s="112"/>
    </row>
    <row r="18" spans="1:25" ht="12.75">
      <c r="A18" s="112"/>
      <c r="B18" s="165"/>
      <c r="C18" s="112"/>
      <c r="D18" s="112"/>
      <c r="E18" s="112"/>
      <c r="F18" s="112"/>
      <c r="G18" s="120"/>
      <c r="H18" s="113"/>
      <c r="I18" s="136"/>
      <c r="J18" s="132"/>
      <c r="K18" s="132"/>
      <c r="L18" s="132"/>
      <c r="M18" s="112"/>
      <c r="N18" s="112"/>
      <c r="O18" s="112"/>
      <c r="P18" s="112"/>
      <c r="Q18" s="112"/>
      <c r="R18" s="112"/>
      <c r="S18" s="112"/>
      <c r="T18" s="113"/>
      <c r="U18" s="119"/>
      <c r="V18" s="119"/>
      <c r="W18" s="112"/>
      <c r="X18" s="112"/>
      <c r="Y18" s="112"/>
    </row>
    <row r="19" spans="1:25" ht="12.75">
      <c r="A19" s="112"/>
      <c r="B19" s="165"/>
      <c r="C19" s="112"/>
      <c r="D19" s="396" t="s">
        <v>240</v>
      </c>
      <c r="E19" s="396"/>
      <c r="F19" s="396"/>
      <c r="G19" s="396"/>
      <c r="H19" s="112"/>
      <c r="I19" s="112"/>
      <c r="J19" s="121"/>
      <c r="K19" s="121"/>
      <c r="L19" s="121"/>
      <c r="M19" s="112"/>
      <c r="N19" s="112"/>
      <c r="O19" s="112"/>
      <c r="P19" s="112"/>
      <c r="Q19" s="112"/>
      <c r="R19" s="112"/>
      <c r="S19" s="112"/>
      <c r="T19" s="113"/>
      <c r="U19" s="112"/>
      <c r="V19" s="112"/>
      <c r="W19" s="112"/>
      <c r="X19" s="112"/>
      <c r="Y19" s="112"/>
    </row>
    <row r="20" spans="1:25" ht="38.25">
      <c r="A20" s="115"/>
      <c r="B20" s="163" t="s">
        <v>190</v>
      </c>
      <c r="C20" s="115" t="s">
        <v>174</v>
      </c>
      <c r="D20" s="115" t="s">
        <v>191</v>
      </c>
      <c r="E20" s="115" t="s">
        <v>192</v>
      </c>
      <c r="F20" s="115" t="s">
        <v>194</v>
      </c>
      <c r="G20" s="115" t="s">
        <v>193</v>
      </c>
      <c r="H20" s="115"/>
      <c r="I20" s="115"/>
      <c r="J20" s="122"/>
      <c r="K20" s="122"/>
      <c r="L20" s="122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</row>
    <row r="21" spans="1:25" ht="12.75">
      <c r="A21" s="112"/>
      <c r="B21" s="164" t="s">
        <v>163</v>
      </c>
      <c r="C21" s="132">
        <f>'Main Page'!B95</f>
        <v>4.2</v>
      </c>
      <c r="D21" s="132">
        <f>'Main Page'!B96</f>
        <v>4.5</v>
      </c>
      <c r="E21" s="132">
        <f>'Main Page'!B97</f>
        <v>2.2080000000000002</v>
      </c>
      <c r="F21" s="132">
        <f>'Main Page'!B98</f>
        <v>0.39100000000000001</v>
      </c>
      <c r="G21" s="132">
        <f>'Main Page'!B99</f>
        <v>0.35299999999999998</v>
      </c>
      <c r="H21" s="136">
        <f>'Main Page'!B100</f>
        <v>7850</v>
      </c>
      <c r="I21" s="139">
        <f>1.5*H21*(0.00000042875*C1^3-(0.00030625*F21+0.00003675*D21+0.0000735*E21)*C1^2+(0.035*F21*D21+0.07*E21*F21)*C1)</f>
        <v>108174.81265920002</v>
      </c>
      <c r="J21" s="132">
        <f>'Main Page'!B101</f>
        <v>0</v>
      </c>
      <c r="K21" s="132">
        <f>'Main Page'!B102</f>
        <v>0</v>
      </c>
      <c r="L21" s="132">
        <f>'Main Page'!B103</f>
        <v>-1.464</v>
      </c>
      <c r="M21" s="160">
        <f>I21*(E21^2+D21^2)/8</f>
        <v>339740.09077661781</v>
      </c>
      <c r="N21" s="160">
        <f>I21*(E21^2+D21^2+4*C21^2/3)/16</f>
        <v>328887.01999733294</v>
      </c>
      <c r="O21" s="160">
        <f>I21*(E21^2+D21^2+4*C21^2/3)/16</f>
        <v>328887.01999733294</v>
      </c>
      <c r="P21" s="160">
        <f>$I21*((K21-K$30)^2+(L21-L$30)^2)</f>
        <v>56147.415256523891</v>
      </c>
      <c r="Q21" s="160">
        <f>$I21*((L21-L$30)^2+(J21-J$30)^2)</f>
        <v>56806.446527262298</v>
      </c>
      <c r="R21" s="160">
        <f>$I21*((J21-J$30)^2+(K21-K$30)^2)</f>
        <v>659.03127073841347</v>
      </c>
      <c r="S21" s="112"/>
      <c r="T21" s="113"/>
      <c r="V21" s="117"/>
      <c r="W21" s="112"/>
      <c r="X21" s="112"/>
      <c r="Y21" s="112"/>
    </row>
    <row r="22" spans="1:25" ht="12.75">
      <c r="A22" s="112"/>
      <c r="B22" s="164" t="s">
        <v>195</v>
      </c>
      <c r="C22" s="132"/>
      <c r="E22" s="133">
        <f>1.5*D8</f>
        <v>1.56</v>
      </c>
      <c r="F22" s="133"/>
      <c r="G22" s="136"/>
      <c r="H22" s="133"/>
      <c r="I22" s="140">
        <f>0.00006744*(1000*E7)^2.64</f>
        <v>6221.3635064605432</v>
      </c>
      <c r="J22" s="132">
        <f t="shared" ref="J22:L25" si="0">J8</f>
        <v>-4.2</v>
      </c>
      <c r="K22" s="132">
        <f t="shared" si="0"/>
        <v>0</v>
      </c>
      <c r="L22" s="132">
        <f t="shared" si="0"/>
        <v>0</v>
      </c>
      <c r="M22" s="160">
        <f>I22*E22^2/4</f>
        <v>3785.077557330595</v>
      </c>
      <c r="N22" s="160">
        <f>M22/2</f>
        <v>1892.5387786652975</v>
      </c>
      <c r="O22" s="160">
        <f>M22/2</f>
        <v>1892.5387786652975</v>
      </c>
      <c r="P22" s="160">
        <f t="shared" ref="P22:P28" si="1">$I22*((K22-K$30)^2+(L22-L$30)^2)</f>
        <v>3439.6153742950701</v>
      </c>
      <c r="Q22" s="160">
        <f t="shared" ref="Q22:Q28" si="2">$I22*((L22-L$30)^2+(J22-J$30)^2)</f>
        <v>109143.35964932413</v>
      </c>
      <c r="R22" s="160">
        <f t="shared" ref="R22:R28" si="3">$I22*((J22-J$30)^2+(K22-K$30)^2)</f>
        <v>105703.74427502906</v>
      </c>
      <c r="S22" s="112"/>
      <c r="T22" s="113"/>
      <c r="V22" s="117"/>
      <c r="W22" s="112"/>
      <c r="X22" s="112"/>
      <c r="Y22" s="118"/>
    </row>
    <row r="23" spans="1:25" ht="12.75">
      <c r="A23" s="112"/>
      <c r="B23" s="164" t="s">
        <v>196</v>
      </c>
      <c r="C23" s="132"/>
      <c r="E23" s="133">
        <f>1.5*D9</f>
        <v>1.56</v>
      </c>
      <c r="F23" s="133"/>
      <c r="G23" s="136"/>
      <c r="H23" s="133"/>
      <c r="I23" s="140">
        <f>0.00006744*(1000*E7)^2.64</f>
        <v>6221.3635064605432</v>
      </c>
      <c r="J23" s="132">
        <f t="shared" si="0"/>
        <v>-1.2</v>
      </c>
      <c r="K23" s="132">
        <f t="shared" si="0"/>
        <v>0</v>
      </c>
      <c r="L23" s="132">
        <f t="shared" si="0"/>
        <v>0</v>
      </c>
      <c r="M23" s="160">
        <f>I23*E23^2/4</f>
        <v>3785.077557330595</v>
      </c>
      <c r="N23" s="160">
        <f>M23/2</f>
        <v>1892.5387786652975</v>
      </c>
      <c r="O23" s="160">
        <f>M23/2</f>
        <v>1892.5387786652975</v>
      </c>
      <c r="P23" s="160">
        <f t="shared" si="1"/>
        <v>3439.6153742950701</v>
      </c>
      <c r="Q23" s="160">
        <f t="shared" si="2"/>
        <v>11270.849608038283</v>
      </c>
      <c r="R23" s="160">
        <f t="shared" si="3"/>
        <v>7831.2342337432128</v>
      </c>
      <c r="S23" s="112"/>
      <c r="T23" s="112"/>
      <c r="U23" s="112"/>
      <c r="V23" s="112"/>
      <c r="W23" s="112"/>
      <c r="X23" s="112"/>
      <c r="Y23" s="112"/>
    </row>
    <row r="24" spans="1:25" ht="12.75">
      <c r="A24" s="112"/>
      <c r="B24" s="164" t="s">
        <v>197</v>
      </c>
      <c r="C24" s="132">
        <f>0.012*C1</f>
        <v>1.536</v>
      </c>
      <c r="D24" s="132">
        <f>0.75*E24</f>
        <v>1.44</v>
      </c>
      <c r="E24" s="132">
        <f>0.015*C1</f>
        <v>1.92</v>
      </c>
      <c r="F24" s="129"/>
      <c r="G24" s="130"/>
      <c r="H24" s="129"/>
      <c r="I24" s="140">
        <f>'Main Page'!B79/2</f>
        <v>21129.5</v>
      </c>
      <c r="J24" s="132">
        <f t="shared" si="0"/>
        <v>0</v>
      </c>
      <c r="K24" s="132">
        <f t="shared" si="0"/>
        <v>0</v>
      </c>
      <c r="L24" s="132">
        <f t="shared" si="0"/>
        <v>0</v>
      </c>
      <c r="M24" s="160">
        <f>I24*(D24^2+E24^2)/8</f>
        <v>15213.24</v>
      </c>
      <c r="N24" s="160">
        <f>I24*(D24^2+E24^2+4*C24^2/3)/16</f>
        <v>11760.848736</v>
      </c>
      <c r="O24" s="160">
        <f>I24*(E24^2+D24^2+4*C24^2/3)/16</f>
        <v>11760.848736</v>
      </c>
      <c r="P24" s="160">
        <f t="shared" si="1"/>
        <v>11681.901077745459</v>
      </c>
      <c r="Q24" s="160">
        <f t="shared" si="2"/>
        <v>11810.62791251186</v>
      </c>
      <c r="R24" s="160">
        <f t="shared" si="3"/>
        <v>128.72683476640177</v>
      </c>
      <c r="S24" s="112"/>
      <c r="T24" s="112"/>
      <c r="U24" s="112"/>
      <c r="V24" s="112"/>
      <c r="W24" s="112"/>
      <c r="X24" s="112"/>
      <c r="Y24" s="112"/>
    </row>
    <row r="25" spans="1:25" ht="12.75">
      <c r="A25" s="112"/>
      <c r="B25" s="164" t="s">
        <v>198</v>
      </c>
      <c r="C25" s="132">
        <f>C11</f>
        <v>3.0720000000000001</v>
      </c>
      <c r="D25" s="132">
        <f>0.5*E25</f>
        <v>0.96</v>
      </c>
      <c r="E25" s="132">
        <f>0.015*C1</f>
        <v>1.92</v>
      </c>
      <c r="F25" s="129"/>
      <c r="G25" s="130"/>
      <c r="H25" s="129"/>
      <c r="I25" s="139">
        <f>2*(3.3*'Main Page'!B89+471)/3</f>
        <v>11314</v>
      </c>
      <c r="J25" s="132">
        <f t="shared" si="0"/>
        <v>1.5</v>
      </c>
      <c r="K25" s="132">
        <f t="shared" si="0"/>
        <v>0</v>
      </c>
      <c r="L25" s="132">
        <f t="shared" si="0"/>
        <v>0</v>
      </c>
      <c r="M25" s="160">
        <f>I25*(D25^2+E25^2)/8</f>
        <v>6516.8639999999996</v>
      </c>
      <c r="N25" s="160">
        <f>I25*(D25^2+E25^2+4*C25^2/3)/16</f>
        <v>12156.123648000001</v>
      </c>
      <c r="O25" s="160">
        <f>I25*(E25^2+D25^2+4*C25^2/3)/16</f>
        <v>12156.123648000001</v>
      </c>
      <c r="P25" s="160">
        <f t="shared" si="1"/>
        <v>6255.1896066453119</v>
      </c>
      <c r="Q25" s="160">
        <f t="shared" si="2"/>
        <v>34429.894635741424</v>
      </c>
      <c r="R25" s="160">
        <f t="shared" si="3"/>
        <v>28174.705029096112</v>
      </c>
      <c r="S25" s="112"/>
      <c r="T25" s="112"/>
      <c r="U25" s="112"/>
      <c r="V25" s="112"/>
      <c r="W25" s="112"/>
      <c r="X25" s="112"/>
      <c r="Y25" s="112"/>
    </row>
    <row r="26" spans="1:25" ht="12.75">
      <c r="A26" s="112"/>
      <c r="B26" s="164" t="s">
        <v>199</v>
      </c>
      <c r="C26" s="132">
        <f>2*C21</f>
        <v>8.4</v>
      </c>
      <c r="D26" s="132">
        <f>E21</f>
        <v>2.2080000000000002</v>
      </c>
      <c r="E26" s="132">
        <f>D21</f>
        <v>4.5</v>
      </c>
      <c r="F26" s="133"/>
      <c r="G26" s="136"/>
      <c r="H26" s="133"/>
      <c r="I26" s="140">
        <f>84.1*2*C26^2</f>
        <v>11868.191999999999</v>
      </c>
      <c r="J26" s="132">
        <f>J21</f>
        <v>0</v>
      </c>
      <c r="K26" s="132">
        <f>K21</f>
        <v>0</v>
      </c>
      <c r="L26" s="132">
        <v>0</v>
      </c>
      <c r="M26" s="160">
        <f>I26*(E26^2+D26^2)/8</f>
        <v>37273.932150335997</v>
      </c>
      <c r="N26" s="160">
        <f>I26*(E26^2+D26^2+4*C26^2/3)/16</f>
        <v>88421.93503516799</v>
      </c>
      <c r="O26" s="160">
        <f>I26*(E26^2+D26^2+4*C26^2/3)/16</f>
        <v>88421.93503516799</v>
      </c>
      <c r="P26" s="160">
        <f t="shared" si="1"/>
        <v>6561.5866402749716</v>
      </c>
      <c r="Q26" s="160">
        <f t="shared" si="2"/>
        <v>6633.8909915639242</v>
      </c>
      <c r="R26" s="160">
        <f t="shared" si="3"/>
        <v>72.304351288952944</v>
      </c>
      <c r="S26" s="112"/>
      <c r="T26" s="113"/>
      <c r="V26" s="117"/>
      <c r="W26" s="112"/>
      <c r="X26" s="112"/>
      <c r="Y26" s="112"/>
    </row>
    <row r="27" spans="1:25" ht="12.75">
      <c r="A27" s="112"/>
      <c r="B27" s="164" t="s">
        <v>200</v>
      </c>
      <c r="C27" s="129"/>
      <c r="D27" s="129"/>
      <c r="E27" s="129"/>
      <c r="F27" s="129"/>
      <c r="G27" s="129"/>
      <c r="H27" s="129"/>
      <c r="I27" s="139">
        <f>2.6*'Main Page'!B89+0.002168*C1^3.4</f>
        <v>44664.539371690742</v>
      </c>
      <c r="J27" s="132">
        <v>0</v>
      </c>
      <c r="K27" s="132">
        <v>0</v>
      </c>
      <c r="L27" s="132">
        <v>0</v>
      </c>
      <c r="M27" s="160">
        <v>0</v>
      </c>
      <c r="N27" s="160">
        <v>0</v>
      </c>
      <c r="O27" s="160">
        <v>0</v>
      </c>
      <c r="P27" s="160">
        <f t="shared" si="1"/>
        <v>24693.756625720369</v>
      </c>
      <c r="Q27" s="160">
        <f t="shared" si="2"/>
        <v>24965.865515169578</v>
      </c>
      <c r="R27" s="160">
        <f t="shared" si="3"/>
        <v>272.10888944920987</v>
      </c>
      <c r="S27" s="112"/>
      <c r="T27" s="113"/>
      <c r="V27" s="117"/>
      <c r="W27" s="112"/>
      <c r="X27" s="112"/>
      <c r="Y27" s="112"/>
    </row>
    <row r="28" spans="1:25" ht="12.75">
      <c r="A28" s="112"/>
      <c r="B28" s="164" t="s">
        <v>201</v>
      </c>
      <c r="C28" s="129"/>
      <c r="D28" s="129"/>
      <c r="E28" s="129"/>
      <c r="F28" s="129"/>
      <c r="G28" s="129"/>
      <c r="H28" s="129"/>
      <c r="I28" s="139">
        <f>0.2*(I11+I25)</f>
        <v>3394.2000000000003</v>
      </c>
      <c r="J28" s="132">
        <v>0</v>
      </c>
      <c r="K28" s="132">
        <v>0</v>
      </c>
      <c r="L28" s="132">
        <v>0</v>
      </c>
      <c r="M28" s="160">
        <v>0</v>
      </c>
      <c r="N28" s="160">
        <v>0</v>
      </c>
      <c r="O28" s="160">
        <v>0</v>
      </c>
      <c r="P28" s="160">
        <f t="shared" si="1"/>
        <v>1876.5568819935936</v>
      </c>
      <c r="Q28" s="160">
        <f t="shared" si="2"/>
        <v>1897.2352994934929</v>
      </c>
      <c r="R28" s="160">
        <f t="shared" si="3"/>
        <v>20.678417499899236</v>
      </c>
      <c r="S28" s="112"/>
      <c r="T28" s="113"/>
      <c r="V28" s="117"/>
      <c r="W28" s="112"/>
      <c r="X28" s="112"/>
      <c r="Y28" s="112"/>
    </row>
    <row r="29" spans="1:25" ht="12.75">
      <c r="A29" s="112"/>
      <c r="B29" s="165"/>
      <c r="C29" s="112"/>
      <c r="D29" s="112"/>
      <c r="E29" s="112"/>
      <c r="F29" s="112"/>
      <c r="G29" s="112"/>
      <c r="H29" s="112"/>
      <c r="I29" s="112"/>
      <c r="J29" s="121"/>
      <c r="K29" s="121"/>
      <c r="L29" s="121"/>
      <c r="M29" s="158" t="s">
        <v>208</v>
      </c>
      <c r="N29" s="158" t="s">
        <v>209</v>
      </c>
      <c r="O29" s="158" t="s">
        <v>212</v>
      </c>
      <c r="P29" s="112"/>
      <c r="Q29" s="112"/>
      <c r="R29" s="112"/>
      <c r="S29" s="112"/>
      <c r="T29" s="112"/>
      <c r="U29" s="112"/>
      <c r="V29" s="112"/>
      <c r="W29" s="112"/>
      <c r="X29" s="112"/>
      <c r="Y29" s="112"/>
    </row>
    <row r="30" spans="1:25" ht="12.75">
      <c r="A30" s="112"/>
      <c r="B30" s="164"/>
      <c r="C30" s="112"/>
      <c r="D30" s="112"/>
      <c r="E30" s="112"/>
      <c r="F30" s="112"/>
      <c r="G30" s="112"/>
      <c r="H30" s="113" t="s">
        <v>206</v>
      </c>
      <c r="I30" s="136">
        <f>SUM(I21:I28)</f>
        <v>212987.97104381188</v>
      </c>
      <c r="J30" s="132">
        <f>SUMPRODUCT($I21:$I28,J21:J28)/SUM($I21:$I28)</f>
        <v>-7.8053060242858907E-2</v>
      </c>
      <c r="K30" s="132">
        <f>SUMPRODUCT($I21:$I28,K21:K28)/SUM($I21:$I28)</f>
        <v>0</v>
      </c>
      <c r="L30" s="132">
        <f>SUMPRODUCT($I21:$I28,L21:L28)/SUM($I21:$I28)</f>
        <v>-0.74355337983144754</v>
      </c>
      <c r="M30" s="160">
        <f>SUM(M21:M28,P21:P28)</f>
        <v>520409.91887910868</v>
      </c>
      <c r="N30" s="160">
        <f>SUM(N21:N28,Q21:Q28)</f>
        <v>701969.17511293665</v>
      </c>
      <c r="O30" s="160">
        <f>SUM(O21:O28,R21:R28)</f>
        <v>587873.53827544278</v>
      </c>
      <c r="P30" s="112"/>
      <c r="Q30" s="112"/>
      <c r="R30" s="112"/>
      <c r="S30" s="112"/>
      <c r="T30" s="112"/>
      <c r="U30" s="112"/>
      <c r="V30" s="112"/>
      <c r="W30" s="112"/>
      <c r="X30" s="112"/>
      <c r="Y30" s="112"/>
    </row>
    <row r="31" spans="1:25" ht="12.75">
      <c r="A31" s="112"/>
      <c r="B31" s="164"/>
      <c r="C31" s="112"/>
      <c r="D31" s="112"/>
      <c r="E31" s="112"/>
      <c r="F31" s="112"/>
      <c r="G31" s="112"/>
      <c r="H31" s="113" t="s">
        <v>306</v>
      </c>
      <c r="I31" s="136">
        <f>SUM(I17,I30)</f>
        <v>396638.33148480998</v>
      </c>
      <c r="J31" s="132">
        <f>($I17*J17+$I30*J30)/($I17+$I30)</f>
        <v>-2.1277299807968491</v>
      </c>
      <c r="K31" s="132">
        <f>($I17*K17+$I30*K30)/($I17+$I30)</f>
        <v>0</v>
      </c>
      <c r="L31" s="132">
        <f>($I17*L17+$I30*L30)/($I17+$I30)</f>
        <v>-0.39927539312758986</v>
      </c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</row>
    <row r="32" spans="1:25" ht="12.75">
      <c r="A32" s="112"/>
      <c r="B32" s="164"/>
      <c r="C32" s="112"/>
      <c r="D32" s="112"/>
      <c r="E32" s="112"/>
      <c r="F32" s="112"/>
      <c r="G32" s="112"/>
      <c r="H32" s="113"/>
      <c r="I32" s="136"/>
      <c r="J32" s="132"/>
      <c r="K32" s="132"/>
      <c r="L32" s="13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</row>
    <row r="33" spans="1:25" ht="12.75">
      <c r="A33" s="112"/>
      <c r="B33" s="164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</row>
    <row r="34" spans="1:25" s="112" customFormat="1" ht="12.75">
      <c r="B34" s="165"/>
    </row>
    <row r="35" spans="1:25" s="112" customFormat="1" ht="12.75">
      <c r="B35" s="164" t="s">
        <v>217</v>
      </c>
    </row>
    <row r="36" spans="1:25" s="112" customFormat="1" ht="12.75">
      <c r="B36" s="164" t="s">
        <v>218</v>
      </c>
      <c r="C36" s="151" t="s">
        <v>219</v>
      </c>
    </row>
    <row r="37" spans="1:25" s="112" customFormat="1" ht="12.75">
      <c r="B37" s="164" t="s">
        <v>220</v>
      </c>
      <c r="C37" s="112" t="s">
        <v>221</v>
      </c>
    </row>
    <row r="38" spans="1:25" s="112" customFormat="1" ht="12.75">
      <c r="B38" s="165"/>
    </row>
    <row r="39" spans="1:25" s="112" customFormat="1" ht="12.75">
      <c r="B39" s="164" t="s">
        <v>227</v>
      </c>
      <c r="C39" s="112" t="s">
        <v>228</v>
      </c>
    </row>
    <row r="40" spans="1:25" s="112" customFormat="1" ht="12.75">
      <c r="B40" s="164" t="s">
        <v>224</v>
      </c>
      <c r="C40" s="112" t="s">
        <v>225</v>
      </c>
    </row>
    <row r="41" spans="1:25" s="112" customFormat="1" ht="12.75">
      <c r="B41" s="164" t="s">
        <v>226</v>
      </c>
      <c r="C41" s="112" t="s">
        <v>229</v>
      </c>
    </row>
    <row r="42" spans="1:25" s="112" customFormat="1" ht="12.75">
      <c r="B42" s="166"/>
    </row>
    <row r="43" spans="1:25" s="112" customFormat="1" ht="12.75">
      <c r="B43" s="164" t="s">
        <v>230</v>
      </c>
      <c r="C43" s="112" t="s">
        <v>231</v>
      </c>
    </row>
    <row r="44" spans="1:25" s="112" customFormat="1" ht="12.75">
      <c r="B44" s="164" t="s">
        <v>232</v>
      </c>
      <c r="C44" s="112" t="s">
        <v>233</v>
      </c>
    </row>
    <row r="45" spans="1:25" s="112" customFormat="1" ht="12.75">
      <c r="B45" s="164" t="s">
        <v>276</v>
      </c>
      <c r="C45" s="112" t="s">
        <v>277</v>
      </c>
    </row>
    <row r="46" spans="1:25" s="112" customFormat="1" ht="12.75">
      <c r="B46" s="166"/>
    </row>
    <row r="47" spans="1:25" s="112" customFormat="1" ht="12.75">
      <c r="B47" s="164" t="s">
        <v>235</v>
      </c>
      <c r="C47" s="114" t="s">
        <v>236</v>
      </c>
    </row>
    <row r="48" spans="1:25" s="112" customFormat="1" ht="12.75">
      <c r="B48" s="164" t="s">
        <v>234</v>
      </c>
      <c r="C48" s="112" t="s">
        <v>237</v>
      </c>
    </row>
    <row r="49" spans="2:3" s="112" customFormat="1" ht="12.75">
      <c r="B49" s="164" t="s">
        <v>278</v>
      </c>
      <c r="C49" s="112" t="s">
        <v>279</v>
      </c>
    </row>
    <row r="50" spans="2:3" s="112" customFormat="1" ht="12.75">
      <c r="B50" s="164"/>
    </row>
    <row r="51" spans="2:3" s="112" customFormat="1" ht="12.75">
      <c r="B51" s="164"/>
    </row>
    <row r="52" spans="2:3" s="112" customFormat="1" ht="12.75">
      <c r="B52" s="164" t="s">
        <v>238</v>
      </c>
      <c r="C52" s="112" t="s">
        <v>242</v>
      </c>
    </row>
    <row r="53" spans="2:3" s="112" customFormat="1" ht="12.75">
      <c r="B53" s="164" t="s">
        <v>239</v>
      </c>
      <c r="C53" s="112" t="s">
        <v>243</v>
      </c>
    </row>
    <row r="54" spans="2:3" s="112" customFormat="1" ht="12.75">
      <c r="B54" s="164" t="s">
        <v>244</v>
      </c>
      <c r="C54" s="112" t="s">
        <v>245</v>
      </c>
    </row>
    <row r="55" spans="2:3" s="112" customFormat="1" ht="12.75">
      <c r="B55" s="164" t="s">
        <v>246</v>
      </c>
      <c r="C55" s="112" t="s">
        <v>247</v>
      </c>
    </row>
    <row r="56" spans="2:3" s="112" customFormat="1" ht="12.75">
      <c r="B56" s="164"/>
    </row>
    <row r="57" spans="2:3" s="112" customFormat="1" ht="12.75">
      <c r="B57" s="164" t="s">
        <v>253</v>
      </c>
      <c r="C57" s="112" t="s">
        <v>254</v>
      </c>
    </row>
    <row r="58" spans="2:3" s="112" customFormat="1" ht="12.75">
      <c r="B58" s="164" t="s">
        <v>248</v>
      </c>
      <c r="C58" s="112" t="s">
        <v>249</v>
      </c>
    </row>
    <row r="59" spans="2:3" s="112" customFormat="1" ht="12.75">
      <c r="B59" s="164" t="s">
        <v>250</v>
      </c>
      <c r="C59" s="112" t="s">
        <v>252</v>
      </c>
    </row>
    <row r="60" spans="2:3" s="112" customFormat="1" ht="12.75">
      <c r="B60" s="164" t="s">
        <v>251</v>
      </c>
      <c r="C60" s="112" t="s">
        <v>255</v>
      </c>
    </row>
    <row r="61" spans="2:3" s="112" customFormat="1" ht="12.75">
      <c r="B61" s="164"/>
    </row>
    <row r="62" spans="2:3" s="112" customFormat="1" ht="12.75">
      <c r="B62" s="164" t="s">
        <v>257</v>
      </c>
      <c r="C62" s="112" t="s">
        <v>262</v>
      </c>
    </row>
    <row r="63" spans="2:3" s="112" customFormat="1" ht="12.75">
      <c r="B63" s="164" t="s">
        <v>258</v>
      </c>
      <c r="C63" s="112" t="s">
        <v>263</v>
      </c>
    </row>
    <row r="64" spans="2:3" s="112" customFormat="1" ht="12.75">
      <c r="B64" s="164" t="s">
        <v>259</v>
      </c>
      <c r="C64" s="112" t="s">
        <v>264</v>
      </c>
    </row>
    <row r="65" spans="2:3" s="112" customFormat="1" ht="12.75">
      <c r="B65" s="164" t="s">
        <v>260</v>
      </c>
      <c r="C65" s="112" t="s">
        <v>265</v>
      </c>
    </row>
    <row r="66" spans="2:3" s="112" customFormat="1" ht="12.75">
      <c r="B66" s="164" t="s">
        <v>261</v>
      </c>
      <c r="C66" s="112" t="s">
        <v>266</v>
      </c>
    </row>
    <row r="67" spans="2:3" s="112" customFormat="1" ht="12.75">
      <c r="B67" s="164"/>
    </row>
    <row r="68" spans="2:3" s="112" customFormat="1" ht="12.75">
      <c r="B68" s="164" t="s">
        <v>267</v>
      </c>
      <c r="C68" s="112" t="s">
        <v>268</v>
      </c>
    </row>
    <row r="69" spans="2:3" s="112" customFormat="1" ht="12.75">
      <c r="B69" s="164" t="s">
        <v>269</v>
      </c>
      <c r="C69" s="112" t="s">
        <v>270</v>
      </c>
    </row>
    <row r="70" spans="2:3" s="112" customFormat="1" ht="12.75">
      <c r="B70" s="164"/>
    </row>
    <row r="71" spans="2:3" s="112" customFormat="1" ht="12.75">
      <c r="B71" s="164" t="s">
        <v>273</v>
      </c>
      <c r="C71" s="112" t="s">
        <v>274</v>
      </c>
    </row>
    <row r="72" spans="2:3" s="112" customFormat="1" ht="12.75">
      <c r="B72" s="164" t="s">
        <v>271</v>
      </c>
      <c r="C72" s="112" t="s">
        <v>272</v>
      </c>
    </row>
    <row r="73" spans="2:3" s="112" customFormat="1" ht="12.75">
      <c r="B73" s="164" t="s">
        <v>275</v>
      </c>
      <c r="C73" s="112" t="s">
        <v>280</v>
      </c>
    </row>
    <row r="74" spans="2:3" s="112" customFormat="1" ht="12.75">
      <c r="B74" s="164"/>
    </row>
    <row r="75" spans="2:3" s="112" customFormat="1" ht="12.75">
      <c r="B75" s="164" t="s">
        <v>282</v>
      </c>
      <c r="C75" s="112" t="s">
        <v>242</v>
      </c>
    </row>
    <row r="76" spans="2:3" s="112" customFormat="1" ht="12.75">
      <c r="B76" s="164" t="s">
        <v>281</v>
      </c>
      <c r="C76" s="112" t="s">
        <v>241</v>
      </c>
    </row>
    <row r="77" spans="2:3" s="112" customFormat="1" ht="12.75">
      <c r="B77" s="164" t="s">
        <v>283</v>
      </c>
      <c r="C77" s="112" t="s">
        <v>284</v>
      </c>
    </row>
    <row r="78" spans="2:3" s="112" customFormat="1" ht="12.75">
      <c r="B78" s="164" t="s">
        <v>285</v>
      </c>
      <c r="C78" s="112" t="s">
        <v>245</v>
      </c>
    </row>
    <row r="79" spans="2:3" s="112" customFormat="1" ht="12.75">
      <c r="B79" s="164" t="s">
        <v>286</v>
      </c>
      <c r="C79" s="112" t="s">
        <v>287</v>
      </c>
    </row>
    <row r="80" spans="2:3" s="112" customFormat="1" ht="12.75">
      <c r="B80" s="164"/>
    </row>
    <row r="81" spans="2:3" s="112" customFormat="1" ht="12.75">
      <c r="B81" s="164" t="s">
        <v>288</v>
      </c>
      <c r="C81" s="112" t="s">
        <v>254</v>
      </c>
    </row>
    <row r="82" spans="2:3" s="112" customFormat="1" ht="12.75">
      <c r="B82" s="164" t="s">
        <v>289</v>
      </c>
      <c r="C82" s="112" t="s">
        <v>241</v>
      </c>
    </row>
    <row r="83" spans="2:3" s="112" customFormat="1" ht="12.75">
      <c r="B83" s="164" t="s">
        <v>290</v>
      </c>
      <c r="C83" s="112" t="s">
        <v>293</v>
      </c>
    </row>
    <row r="84" spans="2:3" s="112" customFormat="1" ht="12.75">
      <c r="B84" s="164" t="s">
        <v>291</v>
      </c>
      <c r="C84" s="112" t="s">
        <v>294</v>
      </c>
    </row>
    <row r="85" spans="2:3" s="112" customFormat="1" ht="12.75">
      <c r="B85" s="164" t="s">
        <v>292</v>
      </c>
      <c r="C85" s="112" t="s">
        <v>287</v>
      </c>
    </row>
    <row r="86" spans="2:3" s="112" customFormat="1" ht="12.75">
      <c r="B86" s="164"/>
    </row>
    <row r="87" spans="2:3" s="112" customFormat="1" ht="12.75">
      <c r="B87" s="164" t="s">
        <v>295</v>
      </c>
      <c r="C87" s="112" t="s">
        <v>296</v>
      </c>
    </row>
    <row r="88" spans="2:3" s="112" customFormat="1" ht="12.75">
      <c r="B88" s="164" t="s">
        <v>297</v>
      </c>
      <c r="C88" s="112" t="s">
        <v>299</v>
      </c>
    </row>
    <row r="89" spans="2:3" s="112" customFormat="1" ht="12.75">
      <c r="B89" s="164" t="s">
        <v>298</v>
      </c>
      <c r="C89" s="112" t="s">
        <v>300</v>
      </c>
    </row>
    <row r="90" spans="2:3" s="112" customFormat="1" ht="12.75">
      <c r="B90" s="164" t="s">
        <v>301</v>
      </c>
      <c r="C90" s="112" t="s">
        <v>302</v>
      </c>
    </row>
    <row r="91" spans="2:3" s="112" customFormat="1" ht="12.75">
      <c r="B91" s="164" t="s">
        <v>303</v>
      </c>
      <c r="C91" s="112" t="s">
        <v>287</v>
      </c>
    </row>
    <row r="92" spans="2:3" s="112" customFormat="1" ht="12.75"/>
    <row r="93" spans="2:3" s="112" customFormat="1" ht="12.75">
      <c r="B93" s="164" t="s">
        <v>200</v>
      </c>
      <c r="C93" s="112" t="s">
        <v>305</v>
      </c>
    </row>
    <row r="94" spans="2:3" s="112" customFormat="1" ht="12.75">
      <c r="B94" s="164" t="s">
        <v>201</v>
      </c>
      <c r="C94" s="112" t="s">
        <v>304</v>
      </c>
    </row>
    <row r="95" spans="2:3" s="112" customFormat="1" ht="12.75">
      <c r="B95" s="165"/>
    </row>
    <row r="96" spans="2:3" ht="12.75">
      <c r="B96" s="164" t="s">
        <v>222</v>
      </c>
      <c r="C96" s="112" t="s">
        <v>223</v>
      </c>
    </row>
    <row r="97" spans="2:2">
      <c r="B97" s="168"/>
    </row>
    <row r="98" spans="2:2">
      <c r="B98" s="168"/>
    </row>
    <row r="99" spans="2:2">
      <c r="B99" s="168"/>
    </row>
    <row r="100" spans="2:2">
      <c r="B100" s="168"/>
    </row>
    <row r="101" spans="2:2">
      <c r="B101" s="168"/>
    </row>
    <row r="102" spans="2:2">
      <c r="B102" s="168"/>
    </row>
    <row r="103" spans="2:2">
      <c r="B103" s="168"/>
    </row>
    <row r="104" spans="2:2">
      <c r="B104" s="168"/>
    </row>
    <row r="105" spans="2:2">
      <c r="B105" s="168"/>
    </row>
    <row r="106" spans="2:2">
      <c r="B106" s="168"/>
    </row>
    <row r="107" spans="2:2">
      <c r="B107" s="168"/>
    </row>
    <row r="108" spans="2:2">
      <c r="B108" s="168"/>
    </row>
    <row r="109" spans="2:2">
      <c r="B109" s="167"/>
    </row>
    <row r="110" spans="2:2">
      <c r="B110" s="167"/>
    </row>
    <row r="111" spans="2:2">
      <c r="B111" s="162"/>
    </row>
    <row r="112" spans="2:2">
      <c r="B112" s="162"/>
    </row>
    <row r="113" spans="2:2">
      <c r="B113" s="162"/>
    </row>
    <row r="114" spans="2:2">
      <c r="B114" s="162"/>
    </row>
    <row r="115" spans="2:2">
      <c r="B115" s="162"/>
    </row>
    <row r="116" spans="2:2">
      <c r="B116" s="162"/>
    </row>
    <row r="117" spans="2:2">
      <c r="B117" s="162"/>
    </row>
    <row r="118" spans="2:2">
      <c r="B118" s="162"/>
    </row>
    <row r="119" spans="2:2">
      <c r="B119" s="162"/>
    </row>
    <row r="120" spans="2:2">
      <c r="B120" s="162"/>
    </row>
    <row r="121" spans="2:2">
      <c r="B121" s="162"/>
    </row>
    <row r="122" spans="2:2">
      <c r="B122" s="162"/>
    </row>
    <row r="123" spans="2:2">
      <c r="B123" s="162"/>
    </row>
    <row r="124" spans="2:2">
      <c r="B124" s="162"/>
    </row>
    <row r="125" spans="2:2">
      <c r="B125" s="162"/>
    </row>
    <row r="126" spans="2:2">
      <c r="B126" s="162"/>
    </row>
    <row r="127" spans="2:2">
      <c r="B127" s="162"/>
    </row>
    <row r="128" spans="2:2">
      <c r="B128" s="162"/>
    </row>
    <row r="129" spans="2:2">
      <c r="B129" s="162"/>
    </row>
    <row r="130" spans="2:2">
      <c r="B130" s="162"/>
    </row>
    <row r="131" spans="2:2">
      <c r="B131" s="162"/>
    </row>
  </sheetData>
  <mergeCells count="1">
    <mergeCell ref="D19:G19"/>
  </mergeCells>
  <phoneticPr fontId="0" type="noConversion"/>
  <pageMargins left="0.75" right="0.75" top="1" bottom="1" header="0.5" footer="0.5"/>
  <pageSetup scale="48"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Main Page</vt:lpstr>
      <vt:lpstr>Rotor_JR</vt:lpstr>
      <vt:lpstr>Nacelle_JR</vt:lpstr>
      <vt:lpstr>Tower_JR</vt:lpstr>
      <vt:lpstr>Tower Data</vt:lpstr>
      <vt:lpstr>Blade Data</vt:lpstr>
      <vt:lpstr>GECbladedata</vt:lpstr>
      <vt:lpstr>GECtwrdata</vt:lpstr>
      <vt:lpstr>GECdrivetrain</vt:lpstr>
      <vt:lpstr>'Blade Data'!Print_Area</vt:lpstr>
    </vt:vector>
  </TitlesOfParts>
  <Company>Windward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Minnema</dc:creator>
  <cp:lastModifiedBy>Editor</cp:lastModifiedBy>
  <cp:lastPrinted>2000-09-27T19:31:00Z</cp:lastPrinted>
  <dcterms:created xsi:type="dcterms:W3CDTF">2000-07-28T21:17:55Z</dcterms:created>
  <dcterms:modified xsi:type="dcterms:W3CDTF">2015-10-27T19:05:00Z</dcterms:modified>
</cp:coreProperties>
</file>