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 activeTab="2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J27" i="9" l="1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B89" i="5" l="1"/>
  <c r="C16" i="13"/>
  <c r="D17" i="13"/>
  <c r="C17" i="13"/>
  <c r="C16" i="10" l="1"/>
  <c r="C15" i="13" l="1"/>
  <c r="C13" i="13"/>
  <c r="C12" i="13"/>
  <c r="C11" i="13"/>
  <c r="C10" i="13"/>
  <c r="C9" i="13"/>
  <c r="C8" i="13"/>
  <c r="C6" i="13"/>
  <c r="C5" i="13"/>
  <c r="C4" i="13"/>
  <c r="C14" i="13"/>
  <c r="H14" i="11" l="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20" i="10"/>
  <c r="C18" i="10"/>
  <c r="C17" i="10"/>
  <c r="C15" i="10"/>
  <c r="C14" i="10"/>
  <c r="C13" i="10"/>
  <c r="C12" i="10"/>
  <c r="C11" i="10"/>
  <c r="C4" i="10" s="1"/>
  <c r="C10" i="10"/>
  <c r="C9" i="10"/>
  <c r="C8" i="10"/>
  <c r="C7" i="10"/>
  <c r="C6" i="10"/>
  <c r="C5" i="10"/>
  <c r="C3" i="10"/>
  <c r="G42" i="12"/>
  <c r="F42" i="12"/>
  <c r="E42" i="12"/>
  <c r="D42" i="12"/>
  <c r="D20" i="12" s="1"/>
  <c r="G41" i="12"/>
  <c r="F41" i="12"/>
  <c r="E41" i="12"/>
  <c r="D41" i="12"/>
  <c r="D16" i="12" s="1"/>
  <c r="G40" i="12"/>
  <c r="F40" i="12"/>
  <c r="E40" i="12"/>
  <c r="D40" i="12"/>
  <c r="D13" i="12" s="1"/>
  <c r="G39" i="12"/>
  <c r="F39" i="12"/>
  <c r="E39" i="12"/>
  <c r="D39" i="12"/>
  <c r="F8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B43" i="5"/>
  <c r="C19" i="10" l="1"/>
  <c r="D9" i="12"/>
  <c r="D17" i="12"/>
  <c r="G9" i="12"/>
  <c r="G13" i="12"/>
  <c r="F15" i="12"/>
  <c r="G10" i="12"/>
  <c r="G18" i="12"/>
  <c r="F14" i="12"/>
  <c r="F22" i="12"/>
  <c r="F16" i="12"/>
  <c r="D21" i="12"/>
  <c r="F11" i="12"/>
  <c r="F19" i="12"/>
  <c r="G19" i="12"/>
  <c r="D8" i="12"/>
  <c r="F12" i="12"/>
  <c r="D14" i="12"/>
  <c r="G15" i="12"/>
  <c r="D1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0" i="12"/>
  <c r="D12" i="12"/>
  <c r="G17" i="12"/>
  <c r="I11" i="8" l="1"/>
  <c r="B31" i="5" l="1"/>
  <c r="B88" i="5" l="1"/>
  <c r="B29" i="5"/>
  <c r="H74" i="5" l="1"/>
  <c r="H73" i="5"/>
  <c r="H72" i="5"/>
  <c r="I73" i="5" l="1"/>
  <c r="J73" i="5" s="1"/>
  <c r="B5" i="6" l="1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K6" i="6"/>
  <c r="N19" i="6" s="1"/>
  <c r="N29" i="6" s="1"/>
  <c r="L6" i="6"/>
  <c r="M19" i="6" s="1"/>
  <c r="M29" i="6" s="1"/>
  <c r="M6" i="6"/>
  <c r="L19" i="6" s="1"/>
  <c r="L29" i="6" s="1"/>
  <c r="N6" i="6"/>
  <c r="E19" i="6" s="1"/>
  <c r="E29" i="6" s="1"/>
  <c r="B7" i="6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N7" i="6"/>
  <c r="E20" i="6" s="1"/>
  <c r="F20" i="6" s="1"/>
  <c r="F33" i="6" s="1"/>
  <c r="E15" i="3" s="1"/>
  <c r="B8" i="6"/>
  <c r="C8" i="6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E22" i="6" s="1"/>
  <c r="E43" i="6" s="1"/>
  <c r="D25" i="3" s="1"/>
  <c r="B10" i="6"/>
  <c r="C10" i="6"/>
  <c r="D10" i="6"/>
  <c r="E10" i="6"/>
  <c r="F10" i="6"/>
  <c r="G10" i="6"/>
  <c r="H10" i="6"/>
  <c r="I10" i="6"/>
  <c r="D23" i="6" s="1"/>
  <c r="D48" i="6" s="1"/>
  <c r="J10" i="6"/>
  <c r="O23" i="6" s="1"/>
  <c r="O48" i="6" s="1"/>
  <c r="K10" i="6"/>
  <c r="N23" i="6" s="1"/>
  <c r="N48" i="6" s="1"/>
  <c r="L10" i="6"/>
  <c r="M23" i="6" s="1"/>
  <c r="M48" i="6" s="1"/>
  <c r="M10" i="6"/>
  <c r="L23" i="6" s="1"/>
  <c r="L48" i="6" s="1"/>
  <c r="N10" i="6"/>
  <c r="E23" i="6" s="1"/>
  <c r="E48" i="6" s="1"/>
  <c r="D30" i="3" s="1"/>
  <c r="D12" i="6"/>
  <c r="D13" i="6"/>
  <c r="B3" i="3" s="1"/>
  <c r="K18" i="6"/>
  <c r="K28" i="6" s="1"/>
  <c r="R18" i="6"/>
  <c r="R29" i="6" s="1"/>
  <c r="Q11" i="3" s="1"/>
  <c r="K19" i="6"/>
  <c r="K29" i="6" s="1"/>
  <c r="R19" i="6"/>
  <c r="K20" i="6"/>
  <c r="K33" i="6" s="1"/>
  <c r="R20" i="6"/>
  <c r="R32" i="6" s="1"/>
  <c r="Q14" i="3" s="1"/>
  <c r="K21" i="6"/>
  <c r="K38" i="6" s="1"/>
  <c r="K22" i="6"/>
  <c r="K43" i="6" s="1"/>
  <c r="R22" i="6"/>
  <c r="R39" i="6" s="1"/>
  <c r="Q21" i="3" s="1"/>
  <c r="K23" i="6"/>
  <c r="K48" i="6" s="1"/>
  <c r="R23" i="6"/>
  <c r="G28" i="6"/>
  <c r="F10" i="3" s="1"/>
  <c r="I28" i="6"/>
  <c r="H10" i="3"/>
  <c r="Q28" i="6"/>
  <c r="P10" i="3" s="1"/>
  <c r="G29" i="6"/>
  <c r="F11" i="3"/>
  <c r="I29" i="6"/>
  <c r="H11" i="3" s="1"/>
  <c r="Q29" i="6"/>
  <c r="P11" i="3"/>
  <c r="G33" i="6"/>
  <c r="F15" i="3" s="1"/>
  <c r="I33" i="6"/>
  <c r="I37" i="6"/>
  <c r="H19" i="3"/>
  <c r="G38" i="6"/>
  <c r="I38" i="6"/>
  <c r="I35" i="6" s="1"/>
  <c r="H17" i="3" s="1"/>
  <c r="H20" i="3"/>
  <c r="G40" i="6"/>
  <c r="F22" i="3" s="1"/>
  <c r="G42" i="6"/>
  <c r="F24" i="3" s="1"/>
  <c r="G43" i="6"/>
  <c r="F25" i="3"/>
  <c r="I43" i="6"/>
  <c r="I45" i="6" s="1"/>
  <c r="H27" i="3" s="1"/>
  <c r="G48" i="6"/>
  <c r="G47" i="6"/>
  <c r="F29" i="3"/>
  <c r="I48" i="6"/>
  <c r="H30" i="3" s="1"/>
  <c r="C1" i="8"/>
  <c r="C24" i="8" s="1"/>
  <c r="C10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I8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K23" i="8" s="1"/>
  <c r="L9" i="8"/>
  <c r="L23" i="8" s="1"/>
  <c r="I10" i="8"/>
  <c r="J10" i="8"/>
  <c r="K10" i="8"/>
  <c r="K24" i="8" s="1"/>
  <c r="L10" i="8"/>
  <c r="J11" i="8"/>
  <c r="J25" i="8" s="1"/>
  <c r="K11" i="8"/>
  <c r="K25" i="8" s="1"/>
  <c r="L11" i="8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4" i="5"/>
  <c r="B26" i="5"/>
  <c r="C2" i="8"/>
  <c r="I12" i="8" s="1"/>
  <c r="I16" i="8" s="1"/>
  <c r="A136" i="5"/>
  <c r="A137" i="5"/>
  <c r="A138" i="5"/>
  <c r="A139" i="5"/>
  <c r="A140" i="5"/>
  <c r="A141" i="5"/>
  <c r="G46" i="6"/>
  <c r="F28" i="3"/>
  <c r="G44" i="6"/>
  <c r="F26" i="3"/>
  <c r="B30" i="5"/>
  <c r="F20" i="3"/>
  <c r="G39" i="6"/>
  <c r="F21" i="3" s="1"/>
  <c r="G41" i="6"/>
  <c r="F23" i="3"/>
  <c r="F30" i="3"/>
  <c r="G45" i="6"/>
  <c r="F27" i="3" s="1"/>
  <c r="H15" i="3"/>
  <c r="I34" i="6"/>
  <c r="H16" i="3" s="1"/>
  <c r="I36" i="6"/>
  <c r="H18" i="3"/>
  <c r="B20" i="6" l="1"/>
  <c r="M11" i="3"/>
  <c r="P19" i="6"/>
  <c r="P29" i="6" s="1"/>
  <c r="L10" i="3"/>
  <c r="K25" i="3"/>
  <c r="M15" i="3"/>
  <c r="C10" i="3"/>
  <c r="J20" i="3"/>
  <c r="J30" i="3"/>
  <c r="N30" i="3"/>
  <c r="B23" i="6"/>
  <c r="P22" i="6"/>
  <c r="P43" i="6" s="1"/>
  <c r="O25" i="3" s="1"/>
  <c r="N11" i="3"/>
  <c r="B19" i="6"/>
  <c r="B29" i="6" s="1"/>
  <c r="N30" i="6" s="1"/>
  <c r="M10" i="3"/>
  <c r="B21" i="6"/>
  <c r="K10" i="3"/>
  <c r="M30" i="3"/>
  <c r="J15" i="3"/>
  <c r="J10" i="3"/>
  <c r="B22" i="6"/>
  <c r="K11" i="3"/>
  <c r="C11" i="3"/>
  <c r="N10" i="3"/>
  <c r="B18" i="6"/>
  <c r="C33" i="6" s="1"/>
  <c r="C22" i="7"/>
  <c r="I44" i="6"/>
  <c r="H26" i="3" s="1"/>
  <c r="I47" i="6"/>
  <c r="H29" i="3" s="1"/>
  <c r="G34" i="6"/>
  <c r="F16" i="3" s="1"/>
  <c r="H25" i="3"/>
  <c r="I46" i="6"/>
  <c r="H28" i="3" s="1"/>
  <c r="I41" i="6"/>
  <c r="H23" i="3" s="1"/>
  <c r="I40" i="6"/>
  <c r="H22" i="3" s="1"/>
  <c r="G37" i="6"/>
  <c r="F19" i="3" s="1"/>
  <c r="I39" i="6"/>
  <c r="H21" i="3" s="1"/>
  <c r="I42" i="6"/>
  <c r="H24" i="3" s="1"/>
  <c r="G36" i="6"/>
  <c r="F18" i="3" s="1"/>
  <c r="G35" i="6"/>
  <c r="F17" i="3" s="1"/>
  <c r="B14" i="5"/>
  <c r="M6" i="8"/>
  <c r="N6" i="8" s="1"/>
  <c r="O6" i="8" s="1"/>
  <c r="I5" i="8"/>
  <c r="D8" i="8"/>
  <c r="E22" i="8" s="1"/>
  <c r="J18" i="6"/>
  <c r="J28" i="6" s="1"/>
  <c r="I10" i="3" s="1"/>
  <c r="R36" i="6"/>
  <c r="Q18" i="3" s="1"/>
  <c r="F19" i="6"/>
  <c r="F29" i="6" s="1"/>
  <c r="E25" i="8"/>
  <c r="D25" i="8" s="1"/>
  <c r="M25" i="8" s="1"/>
  <c r="R33" i="6"/>
  <c r="Q15" i="3" s="1"/>
  <c r="C21" i="7"/>
  <c r="B14" i="4" s="1"/>
  <c r="R31" i="6"/>
  <c r="Q13" i="3" s="1"/>
  <c r="D34" i="6"/>
  <c r="Q20" i="6"/>
  <c r="Q33" i="6" s="1"/>
  <c r="C17" i="7"/>
  <c r="E17" i="7" s="1"/>
  <c r="R41" i="6"/>
  <c r="Q23" i="3" s="1"/>
  <c r="H21" i="6"/>
  <c r="H38" i="6" s="1"/>
  <c r="G20" i="3" s="1"/>
  <c r="L15" i="3"/>
  <c r="M36" i="6"/>
  <c r="M35" i="6"/>
  <c r="I23" i="8"/>
  <c r="Q23" i="6"/>
  <c r="Q48" i="6" s="1"/>
  <c r="O41" i="6"/>
  <c r="N20" i="3"/>
  <c r="H20" i="6"/>
  <c r="H33" i="6" s="1"/>
  <c r="G15" i="3" s="1"/>
  <c r="R42" i="6"/>
  <c r="Q24" i="3" s="1"/>
  <c r="P23" i="6"/>
  <c r="P48" i="6" s="1"/>
  <c r="H23" i="6"/>
  <c r="H48" i="6" s="1"/>
  <c r="G30" i="3" s="1"/>
  <c r="E12" i="8"/>
  <c r="M12" i="8" s="1"/>
  <c r="I9" i="8"/>
  <c r="I7" i="8"/>
  <c r="E33" i="6"/>
  <c r="D15" i="3" s="1"/>
  <c r="E18" i="6"/>
  <c r="E28" i="6" s="1"/>
  <c r="D10" i="3" s="1"/>
  <c r="D37" i="6"/>
  <c r="C15" i="3"/>
  <c r="I28" i="8"/>
  <c r="I22" i="8"/>
  <c r="D9" i="8"/>
  <c r="E23" i="8" s="1"/>
  <c r="J20" i="6"/>
  <c r="J33" i="6" s="1"/>
  <c r="B2" i="3"/>
  <c r="J23" i="6"/>
  <c r="J48" i="6" s="1"/>
  <c r="I30" i="3" s="1"/>
  <c r="H18" i="6"/>
  <c r="H28" i="6" s="1"/>
  <c r="G10" i="3" s="1"/>
  <c r="L25" i="3"/>
  <c r="M40" i="6"/>
  <c r="M39" i="6"/>
  <c r="D39" i="6"/>
  <c r="O11" i="3"/>
  <c r="S29" i="6"/>
  <c r="K46" i="6"/>
  <c r="K41" i="6"/>
  <c r="D11" i="3"/>
  <c r="I30" i="6"/>
  <c r="H12" i="3" s="1"/>
  <c r="G30" i="6"/>
  <c r="F12" i="3" s="1"/>
  <c r="N32" i="6"/>
  <c r="L41" i="6"/>
  <c r="L39" i="6"/>
  <c r="L40" i="6"/>
  <c r="L42" i="6"/>
  <c r="K20" i="3"/>
  <c r="M45" i="6"/>
  <c r="L30" i="3"/>
  <c r="F21" i="6"/>
  <c r="F38" i="6" s="1"/>
  <c r="F36" i="6" s="1"/>
  <c r="E18" i="3" s="1"/>
  <c r="E38" i="6"/>
  <c r="E42" i="6" s="1"/>
  <c r="D24" i="3" s="1"/>
  <c r="F23" i="6"/>
  <c r="F48" i="6" s="1"/>
  <c r="E30" i="3" s="1"/>
  <c r="C19" i="7"/>
  <c r="B12" i="4" s="1"/>
  <c r="C23" i="7"/>
  <c r="P18" i="6"/>
  <c r="P28" i="6" s="1"/>
  <c r="D31" i="6"/>
  <c r="J19" i="6"/>
  <c r="J29" i="6" s="1"/>
  <c r="I11" i="3" s="1"/>
  <c r="L20" i="3"/>
  <c r="C20" i="7"/>
  <c r="S43" i="6"/>
  <c r="O37" i="6"/>
  <c r="P20" i="6"/>
  <c r="P33" i="6" s="1"/>
  <c r="S33" i="6" s="1"/>
  <c r="H19" i="6"/>
  <c r="H29" i="6" s="1"/>
  <c r="M26" i="8"/>
  <c r="O26" i="8"/>
  <c r="J25" i="3"/>
  <c r="K44" i="6"/>
  <c r="K45" i="6"/>
  <c r="K47" i="6"/>
  <c r="K30" i="3"/>
  <c r="L45" i="6"/>
  <c r="L46" i="6"/>
  <c r="C30" i="3"/>
  <c r="D46" i="6"/>
  <c r="D45" i="6"/>
  <c r="O46" i="6"/>
  <c r="O47" i="6"/>
  <c r="O44" i="6"/>
  <c r="O45" i="6"/>
  <c r="H22" i="6"/>
  <c r="H43" i="6" s="1"/>
  <c r="Q22" i="6"/>
  <c r="Q43" i="6" s="1"/>
  <c r="L32" i="6"/>
  <c r="L34" i="6"/>
  <c r="K15" i="3"/>
  <c r="M30" i="6"/>
  <c r="E44" i="6"/>
  <c r="D26" i="3" s="1"/>
  <c r="L36" i="6"/>
  <c r="E46" i="6"/>
  <c r="D28" i="3" s="1"/>
  <c r="N25" i="3"/>
  <c r="N40" i="6"/>
  <c r="N42" i="6"/>
  <c r="N36" i="6"/>
  <c r="N37" i="6"/>
  <c r="N41" i="6"/>
  <c r="N39" i="6"/>
  <c r="M20" i="3"/>
  <c r="N35" i="6"/>
  <c r="J21" i="6"/>
  <c r="J38" i="6" s="1"/>
  <c r="Q21" i="6"/>
  <c r="Q38" i="6" s="1"/>
  <c r="P21" i="6"/>
  <c r="P38" i="6" s="1"/>
  <c r="J11" i="3"/>
  <c r="L44" i="6"/>
  <c r="L37" i="6"/>
  <c r="M47" i="6"/>
  <c r="M25" i="3"/>
  <c r="N45" i="6"/>
  <c r="N47" i="6"/>
  <c r="N44" i="6"/>
  <c r="N46" i="6"/>
  <c r="O36" i="6"/>
  <c r="N15" i="3"/>
  <c r="O35" i="6"/>
  <c r="O34" i="6"/>
  <c r="E45" i="6"/>
  <c r="D27" i="3" s="1"/>
  <c r="E47" i="6"/>
  <c r="D29" i="3" s="1"/>
  <c r="L47" i="6"/>
  <c r="N34" i="6"/>
  <c r="L35" i="6"/>
  <c r="D22" i="7"/>
  <c r="E22" i="7"/>
  <c r="L25" i="8"/>
  <c r="L12" i="8"/>
  <c r="L24" i="8"/>
  <c r="K40" i="6"/>
  <c r="K35" i="6"/>
  <c r="K39" i="6"/>
  <c r="K36" i="6"/>
  <c r="K37" i="6"/>
  <c r="K42" i="6"/>
  <c r="L11" i="3"/>
  <c r="R48" i="6"/>
  <c r="Q30" i="3" s="1"/>
  <c r="R46" i="6"/>
  <c r="Q28" i="3" s="1"/>
  <c r="R47" i="6"/>
  <c r="Q29" i="3" s="1"/>
  <c r="F22" i="6"/>
  <c r="F43" i="6" s="1"/>
  <c r="D41" i="6"/>
  <c r="C20" i="3"/>
  <c r="D36" i="6"/>
  <c r="D40" i="6"/>
  <c r="D35" i="6"/>
  <c r="D42" i="6"/>
  <c r="E6" i="5"/>
  <c r="N26" i="8"/>
  <c r="M46" i="6"/>
  <c r="M44" i="6"/>
  <c r="L30" i="6"/>
  <c r="O30" i="6"/>
  <c r="O31" i="6"/>
  <c r="G31" i="6"/>
  <c r="F13" i="3" s="1"/>
  <c r="J12" i="8"/>
  <c r="J24" i="8"/>
  <c r="C11" i="8"/>
  <c r="C25" i="8" s="1"/>
  <c r="M11" i="8"/>
  <c r="I21" i="8"/>
  <c r="I27" i="8"/>
  <c r="E24" i="8"/>
  <c r="C25" i="3"/>
  <c r="D44" i="6"/>
  <c r="D47" i="6"/>
  <c r="O42" i="6"/>
  <c r="O40" i="6"/>
  <c r="O39" i="6"/>
  <c r="M41" i="6"/>
  <c r="M42" i="6"/>
  <c r="C15" i="7"/>
  <c r="D15" i="7" s="1"/>
  <c r="C18" i="7"/>
  <c r="C24" i="7"/>
  <c r="C16" i="7"/>
  <c r="K12" i="8"/>
  <c r="K16" i="8" s="1"/>
  <c r="C6" i="5" s="1"/>
  <c r="K34" i="6"/>
  <c r="J22" i="6"/>
  <c r="J43" i="6" s="1"/>
  <c r="M37" i="6"/>
  <c r="M34" i="6"/>
  <c r="B15" i="4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C29" i="6" l="1"/>
  <c r="C38" i="6"/>
  <c r="C47" i="6"/>
  <c r="C30" i="6"/>
  <c r="G32" i="6"/>
  <c r="F14" i="3" s="1"/>
  <c r="O32" i="6"/>
  <c r="M31" i="6"/>
  <c r="K30" i="6"/>
  <c r="C37" i="6"/>
  <c r="C35" i="6"/>
  <c r="N31" i="6"/>
  <c r="K32" i="6"/>
  <c r="C34" i="6"/>
  <c r="I32" i="6"/>
  <c r="H14" i="3" s="1"/>
  <c r="I31" i="6"/>
  <c r="H13" i="3" s="1"/>
  <c r="L31" i="6"/>
  <c r="M32" i="6"/>
  <c r="K31" i="6"/>
  <c r="D32" i="6"/>
  <c r="D30" i="6"/>
  <c r="P46" i="6"/>
  <c r="O28" i="3" s="1"/>
  <c r="F31" i="6"/>
  <c r="E13" i="3" s="1"/>
  <c r="B15" i="3"/>
  <c r="B20" i="3"/>
  <c r="P15" i="3"/>
  <c r="C40" i="6"/>
  <c r="J16" i="3"/>
  <c r="N21" i="3"/>
  <c r="I30" i="8"/>
  <c r="N14" i="3"/>
  <c r="L28" i="3"/>
  <c r="J18" i="3"/>
  <c r="M29" i="3"/>
  <c r="K19" i="3"/>
  <c r="M21" i="3"/>
  <c r="M24" i="3"/>
  <c r="K18" i="3"/>
  <c r="L13" i="3"/>
  <c r="N29" i="3"/>
  <c r="J12" i="3"/>
  <c r="J26" i="3"/>
  <c r="C46" i="6"/>
  <c r="T45" i="6" s="1"/>
  <c r="C45" i="6"/>
  <c r="T46" i="6" s="1"/>
  <c r="C41" i="6"/>
  <c r="O10" i="3"/>
  <c r="K23" i="3"/>
  <c r="J23" i="3"/>
  <c r="C21" i="3"/>
  <c r="C28" i="6"/>
  <c r="C19" i="3"/>
  <c r="C39" i="6"/>
  <c r="N23" i="3"/>
  <c r="J14" i="3"/>
  <c r="C16" i="3"/>
  <c r="L26" i="3"/>
  <c r="J19" i="3"/>
  <c r="N17" i="3"/>
  <c r="M18" i="3"/>
  <c r="L12" i="3"/>
  <c r="J27" i="3"/>
  <c r="B19" i="3"/>
  <c r="K21" i="3"/>
  <c r="B29" i="3"/>
  <c r="L16" i="3"/>
  <c r="C18" i="6"/>
  <c r="K13" i="3"/>
  <c r="J21" i="3"/>
  <c r="K17" i="3"/>
  <c r="N18" i="3"/>
  <c r="M27" i="3"/>
  <c r="K26" i="3"/>
  <c r="M23" i="3"/>
  <c r="M22" i="3"/>
  <c r="L14" i="3"/>
  <c r="N28" i="3"/>
  <c r="K28" i="3"/>
  <c r="C48" i="6"/>
  <c r="C23" i="6"/>
  <c r="C21" i="6"/>
  <c r="K24" i="3"/>
  <c r="C12" i="3"/>
  <c r="M12" i="3"/>
  <c r="J28" i="3"/>
  <c r="L21" i="3"/>
  <c r="C32" i="6"/>
  <c r="C36" i="6"/>
  <c r="C43" i="6"/>
  <c r="C19" i="6"/>
  <c r="L17" i="3"/>
  <c r="C31" i="6"/>
  <c r="L23" i="3"/>
  <c r="N12" i="3"/>
  <c r="J22" i="3"/>
  <c r="K29" i="3"/>
  <c r="M26" i="3"/>
  <c r="L29" i="3"/>
  <c r="K14" i="3"/>
  <c r="N26" i="3"/>
  <c r="C13" i="3"/>
  <c r="L27" i="3"/>
  <c r="N22" i="3"/>
  <c r="L19" i="3"/>
  <c r="C42" i="6"/>
  <c r="T41" i="6" s="1"/>
  <c r="L24" i="3"/>
  <c r="N24" i="3"/>
  <c r="N13" i="3"/>
  <c r="K12" i="3"/>
  <c r="J24" i="3"/>
  <c r="J17" i="3"/>
  <c r="M16" i="3"/>
  <c r="N16" i="3"/>
  <c r="M28" i="3"/>
  <c r="M17" i="3"/>
  <c r="M19" i="3"/>
  <c r="K16" i="3"/>
  <c r="N27" i="3"/>
  <c r="K27" i="3"/>
  <c r="J29" i="3"/>
  <c r="N19" i="3"/>
  <c r="C22" i="6"/>
  <c r="C14" i="3"/>
  <c r="C20" i="6"/>
  <c r="K22" i="3"/>
  <c r="M14" i="3"/>
  <c r="L22" i="3"/>
  <c r="C44" i="6"/>
  <c r="P30" i="3"/>
  <c r="L18" i="3"/>
  <c r="M7" i="8"/>
  <c r="I15" i="8"/>
  <c r="I14" i="8"/>
  <c r="I17" i="8" s="1"/>
  <c r="I31" i="8" s="1"/>
  <c r="M5" i="8"/>
  <c r="O5" i="8" s="1"/>
  <c r="H37" i="6"/>
  <c r="G19" i="3" s="1"/>
  <c r="F30" i="6"/>
  <c r="E12" i="3" s="1"/>
  <c r="E21" i="7"/>
  <c r="H34" i="6"/>
  <c r="G16" i="3" s="1"/>
  <c r="H32" i="6"/>
  <c r="G14" i="3" s="1"/>
  <c r="D17" i="7"/>
  <c r="F17" i="7" s="1"/>
  <c r="I17" i="7" s="1"/>
  <c r="K17" i="7" s="1"/>
  <c r="H10" i="4" s="1"/>
  <c r="B10" i="4"/>
  <c r="N12" i="8"/>
  <c r="F32" i="6"/>
  <c r="E14" i="3" s="1"/>
  <c r="M8" i="8"/>
  <c r="D21" i="7"/>
  <c r="F21" i="7" s="1"/>
  <c r="E32" i="6"/>
  <c r="D14" i="3" s="1"/>
  <c r="E11" i="3"/>
  <c r="M22" i="8"/>
  <c r="N22" i="8" s="1"/>
  <c r="E30" i="6"/>
  <c r="D12" i="3" s="1"/>
  <c r="Q31" i="6"/>
  <c r="F37" i="6"/>
  <c r="E19" i="3" s="1"/>
  <c r="Q30" i="6"/>
  <c r="O30" i="3"/>
  <c r="J30" i="6"/>
  <c r="I12" i="3" s="1"/>
  <c r="Q36" i="6"/>
  <c r="N25" i="8"/>
  <c r="Q32" i="6"/>
  <c r="G11" i="3"/>
  <c r="D19" i="7"/>
  <c r="Q37" i="6"/>
  <c r="P47" i="6"/>
  <c r="S47" i="6" s="1"/>
  <c r="H40" i="6"/>
  <c r="G22" i="3" s="1"/>
  <c r="F34" i="6"/>
  <c r="E16" i="3" s="1"/>
  <c r="H36" i="6"/>
  <c r="G18" i="3" s="1"/>
  <c r="E39" i="6"/>
  <c r="D21" i="3" s="1"/>
  <c r="P44" i="6"/>
  <c r="S44" i="6" s="1"/>
  <c r="S48" i="6"/>
  <c r="J31" i="6"/>
  <c r="I13" i="3" s="1"/>
  <c r="E19" i="7"/>
  <c r="P45" i="6"/>
  <c r="O27" i="3" s="1"/>
  <c r="M23" i="8"/>
  <c r="O23" i="8" s="1"/>
  <c r="E7" i="5"/>
  <c r="O7" i="8"/>
  <c r="S28" i="6"/>
  <c r="T37" i="6"/>
  <c r="N7" i="8"/>
  <c r="P31" i="6"/>
  <c r="O13" i="3" s="1"/>
  <c r="L15" i="8"/>
  <c r="D7" i="5" s="1"/>
  <c r="P32" i="6"/>
  <c r="S32" i="6" s="1"/>
  <c r="O15" i="3"/>
  <c r="J37" i="6"/>
  <c r="I19" i="3" s="1"/>
  <c r="S46" i="6"/>
  <c r="J32" i="6"/>
  <c r="I14" i="3" s="1"/>
  <c r="I15" i="3"/>
  <c r="F18" i="6"/>
  <c r="F28" i="6" s="1"/>
  <c r="E10" i="3" s="1"/>
  <c r="M9" i="8"/>
  <c r="O9" i="8" s="1"/>
  <c r="K15" i="8"/>
  <c r="C7" i="5" s="1"/>
  <c r="O12" i="8"/>
  <c r="J15" i="8"/>
  <c r="B7" i="5" s="1"/>
  <c r="E31" i="6"/>
  <c r="D13" i="3" s="1"/>
  <c r="E36" i="6"/>
  <c r="D18" i="3" s="1"/>
  <c r="H30" i="6"/>
  <c r="G12" i="3" s="1"/>
  <c r="J14" i="8"/>
  <c r="B8" i="5" s="1"/>
  <c r="B53" i="5" s="1"/>
  <c r="E37" i="6"/>
  <c r="D19" i="3" s="1"/>
  <c r="E41" i="6"/>
  <c r="D23" i="3" s="1"/>
  <c r="T31" i="6"/>
  <c r="H41" i="6"/>
  <c r="G23" i="3" s="1"/>
  <c r="H35" i="6"/>
  <c r="G17" i="3" s="1"/>
  <c r="O25" i="8"/>
  <c r="J36" i="6"/>
  <c r="I18" i="3" s="1"/>
  <c r="J34" i="6"/>
  <c r="I16" i="3" s="1"/>
  <c r="B16" i="4"/>
  <c r="D23" i="7"/>
  <c r="E23" i="7"/>
  <c r="H31" i="6"/>
  <c r="G13" i="3" s="1"/>
  <c r="K14" i="8"/>
  <c r="E34" i="6"/>
  <c r="D16" i="3" s="1"/>
  <c r="T38" i="6"/>
  <c r="E40" i="6"/>
  <c r="D22" i="3" s="1"/>
  <c r="J35" i="6"/>
  <c r="I17" i="3" s="1"/>
  <c r="E20" i="3"/>
  <c r="F35" i="6"/>
  <c r="E17" i="3" s="1"/>
  <c r="L14" i="8"/>
  <c r="E35" i="6"/>
  <c r="D17" i="3" s="1"/>
  <c r="D20" i="3"/>
  <c r="F22" i="7"/>
  <c r="G22" i="7" s="1"/>
  <c r="B13" i="4"/>
  <c r="E20" i="7"/>
  <c r="D20" i="7"/>
  <c r="P30" i="6"/>
  <c r="I25" i="3"/>
  <c r="J47" i="6"/>
  <c r="I29" i="3" s="1"/>
  <c r="J46" i="6"/>
  <c r="I28" i="3" s="1"/>
  <c r="J45" i="6"/>
  <c r="I27" i="3" s="1"/>
  <c r="J44" i="6"/>
  <c r="I26" i="3" s="1"/>
  <c r="B16" i="3"/>
  <c r="T33" i="6"/>
  <c r="B11" i="4"/>
  <c r="D18" i="7"/>
  <c r="N11" i="8"/>
  <c r="J16" i="8"/>
  <c r="C22" i="3"/>
  <c r="T40" i="6"/>
  <c r="E25" i="3"/>
  <c r="F42" i="6"/>
  <c r="E24" i="3" s="1"/>
  <c r="F41" i="6"/>
  <c r="E23" i="3" s="1"/>
  <c r="F40" i="6"/>
  <c r="E22" i="3" s="1"/>
  <c r="F47" i="6"/>
  <c r="E29" i="3" s="1"/>
  <c r="F45" i="6"/>
  <c r="E27" i="3" s="1"/>
  <c r="F46" i="6"/>
  <c r="E28" i="3" s="1"/>
  <c r="F39" i="6"/>
  <c r="E21" i="3" s="1"/>
  <c r="F44" i="6"/>
  <c r="E26" i="3" s="1"/>
  <c r="P25" i="3"/>
  <c r="Q44" i="6"/>
  <c r="Q45" i="6"/>
  <c r="Q46" i="6"/>
  <c r="Q47" i="6"/>
  <c r="E18" i="7"/>
  <c r="E15" i="7"/>
  <c r="F15" i="7" s="1"/>
  <c r="B8" i="4"/>
  <c r="C29" i="3"/>
  <c r="D24" i="8"/>
  <c r="T36" i="6"/>
  <c r="C18" i="3"/>
  <c r="S38" i="6"/>
  <c r="O20" i="3"/>
  <c r="P37" i="6"/>
  <c r="P40" i="6"/>
  <c r="P41" i="6"/>
  <c r="P36" i="6"/>
  <c r="P39" i="6"/>
  <c r="P42" i="6"/>
  <c r="P34" i="6"/>
  <c r="H44" i="6"/>
  <c r="G26" i="3" s="1"/>
  <c r="H47" i="6"/>
  <c r="G29" i="3" s="1"/>
  <c r="H46" i="6"/>
  <c r="G28" i="3" s="1"/>
  <c r="H45" i="6"/>
  <c r="G27" i="3" s="1"/>
  <c r="G25" i="3"/>
  <c r="H42" i="6"/>
  <c r="G24" i="3" s="1"/>
  <c r="H39" i="6"/>
  <c r="G21" i="3" s="1"/>
  <c r="D16" i="7"/>
  <c r="E16" i="7"/>
  <c r="B9" i="4"/>
  <c r="C26" i="3"/>
  <c r="B11" i="3"/>
  <c r="T30" i="6"/>
  <c r="C24" i="3"/>
  <c r="L16" i="8"/>
  <c r="P12" i="8" s="1"/>
  <c r="P20" i="3"/>
  <c r="Q34" i="6"/>
  <c r="Q35" i="6"/>
  <c r="Q42" i="6"/>
  <c r="Q39" i="6"/>
  <c r="Q40" i="6"/>
  <c r="Q41" i="6"/>
  <c r="C27" i="3"/>
  <c r="B17" i="4"/>
  <c r="E24" i="7"/>
  <c r="D24" i="7"/>
  <c r="J30" i="8"/>
  <c r="L30" i="8"/>
  <c r="N21" i="8"/>
  <c r="O21" i="8"/>
  <c r="M21" i="8"/>
  <c r="E5" i="5"/>
  <c r="E11" i="5" s="1"/>
  <c r="K30" i="8"/>
  <c r="P35" i="6"/>
  <c r="T35" i="6"/>
  <c r="C17" i="3"/>
  <c r="C23" i="3"/>
  <c r="I20" i="3"/>
  <c r="J41" i="6"/>
  <c r="I23" i="3" s="1"/>
  <c r="J39" i="6"/>
  <c r="I21" i="3" s="1"/>
  <c r="J40" i="6"/>
  <c r="I22" i="3" s="1"/>
  <c r="J42" i="6"/>
  <c r="I24" i="3" s="1"/>
  <c r="C28" i="3"/>
  <c r="J17" i="7"/>
  <c r="B17" i="3" l="1"/>
  <c r="J13" i="3"/>
  <c r="M13" i="3"/>
  <c r="B22" i="3"/>
  <c r="R21" i="3" s="1"/>
  <c r="T21" i="3" s="1"/>
  <c r="B12" i="3"/>
  <c r="T34" i="6"/>
  <c r="B10" i="3"/>
  <c r="R11" i="3" s="1"/>
  <c r="T11" i="3" s="1"/>
  <c r="P24" i="3"/>
  <c r="T28" i="6"/>
  <c r="R16" i="3"/>
  <c r="T16" i="3" s="1"/>
  <c r="T48" i="6"/>
  <c r="P14" i="3"/>
  <c r="B26" i="3"/>
  <c r="B13" i="3"/>
  <c r="R14" i="3" s="1"/>
  <c r="B28" i="3"/>
  <c r="R27" i="3" s="1"/>
  <c r="T27" i="3" s="1"/>
  <c r="B30" i="3"/>
  <c r="R30" i="3" s="1"/>
  <c r="T30" i="3" s="1"/>
  <c r="T43" i="6"/>
  <c r="T32" i="6"/>
  <c r="E8" i="5"/>
  <c r="P19" i="3"/>
  <c r="P12" i="3"/>
  <c r="B18" i="3"/>
  <c r="R19" i="3" s="1"/>
  <c r="T19" i="3" s="1"/>
  <c r="P21" i="3"/>
  <c r="P27" i="3"/>
  <c r="P13" i="3"/>
  <c r="B24" i="3"/>
  <c r="R23" i="3" s="1"/>
  <c r="B27" i="3"/>
  <c r="P26" i="3"/>
  <c r="B25" i="3"/>
  <c r="B21" i="3"/>
  <c r="R20" i="3" s="1"/>
  <c r="T20" i="3" s="1"/>
  <c r="R28" i="3"/>
  <c r="P23" i="3"/>
  <c r="P17" i="3"/>
  <c r="R10" i="3"/>
  <c r="T10" i="3" s="1"/>
  <c r="P29" i="3"/>
  <c r="P22" i="3"/>
  <c r="P16" i="3"/>
  <c r="T42" i="6"/>
  <c r="T44" i="6"/>
  <c r="T47" i="6"/>
  <c r="T39" i="6"/>
  <c r="P28" i="3"/>
  <c r="T29" i="6"/>
  <c r="T50" i="6" s="1"/>
  <c r="P18" i="3"/>
  <c r="B14" i="3"/>
  <c r="R15" i="3" s="1"/>
  <c r="T15" i="3" s="1"/>
  <c r="B23" i="3"/>
  <c r="N8" i="8"/>
  <c r="N5" i="8"/>
  <c r="L17" i="7"/>
  <c r="N17" i="7" s="1"/>
  <c r="K10" i="4" s="1"/>
  <c r="O22" i="8"/>
  <c r="O26" i="3"/>
  <c r="H17" i="7"/>
  <c r="I10" i="4" s="1"/>
  <c r="G17" i="7"/>
  <c r="C10" i="4" s="1"/>
  <c r="H21" i="7"/>
  <c r="I14" i="4" s="1"/>
  <c r="G21" i="7"/>
  <c r="O21" i="7" s="1"/>
  <c r="O14" i="3"/>
  <c r="O8" i="8"/>
  <c r="S45" i="6"/>
  <c r="Q8" i="8"/>
  <c r="F19" i="7"/>
  <c r="G19" i="7" s="1"/>
  <c r="Q5" i="8"/>
  <c r="S31" i="6"/>
  <c r="N23" i="8"/>
  <c r="K17" i="8"/>
  <c r="Q10" i="8"/>
  <c r="N9" i="8"/>
  <c r="O29" i="3"/>
  <c r="J17" i="8"/>
  <c r="R9" i="8"/>
  <c r="Q9" i="8"/>
  <c r="F24" i="7"/>
  <c r="H24" i="7" s="1"/>
  <c r="I17" i="4" s="1"/>
  <c r="Q7" i="8"/>
  <c r="R10" i="8"/>
  <c r="P8" i="8"/>
  <c r="R6" i="8"/>
  <c r="I21" i="7"/>
  <c r="K21" i="7" s="1"/>
  <c r="H14" i="4" s="1"/>
  <c r="R18" i="3"/>
  <c r="P7" i="8"/>
  <c r="P6" i="8"/>
  <c r="C8" i="5"/>
  <c r="D8" i="5"/>
  <c r="R17" i="3"/>
  <c r="T17" i="3" s="1"/>
  <c r="P10" i="8"/>
  <c r="R8" i="8"/>
  <c r="R7" i="8"/>
  <c r="P9" i="8"/>
  <c r="I22" i="7"/>
  <c r="K22" i="7" s="1"/>
  <c r="H15" i="4" s="1"/>
  <c r="R5" i="8"/>
  <c r="H22" i="7"/>
  <c r="I15" i="4" s="1"/>
  <c r="O22" i="7"/>
  <c r="C15" i="4"/>
  <c r="O12" i="3"/>
  <c r="S30" i="6"/>
  <c r="P5" i="8"/>
  <c r="Q6" i="8"/>
  <c r="F18" i="7"/>
  <c r="H18" i="7" s="1"/>
  <c r="I11" i="4" s="1"/>
  <c r="F20" i="7"/>
  <c r="F23" i="7"/>
  <c r="H15" i="7"/>
  <c r="I8" i="4" s="1"/>
  <c r="G15" i="7"/>
  <c r="I15" i="7"/>
  <c r="O17" i="3"/>
  <c r="S35" i="6"/>
  <c r="P24" i="8"/>
  <c r="P28" i="8"/>
  <c r="P25" i="8"/>
  <c r="P22" i="8"/>
  <c r="C5" i="5"/>
  <c r="P26" i="8"/>
  <c r="P23" i="8"/>
  <c r="P21" i="8"/>
  <c r="R22" i="8"/>
  <c r="R26" i="8"/>
  <c r="B5" i="5"/>
  <c r="R28" i="8"/>
  <c r="R25" i="8"/>
  <c r="R23" i="8"/>
  <c r="Q27" i="8"/>
  <c r="S39" i="6"/>
  <c r="O21" i="3"/>
  <c r="O19" i="3"/>
  <c r="S37" i="6"/>
  <c r="Q25" i="8"/>
  <c r="M24" i="8"/>
  <c r="E10" i="8"/>
  <c r="N24" i="8"/>
  <c r="R11" i="8"/>
  <c r="B6" i="5"/>
  <c r="R24" i="8"/>
  <c r="B110" i="5"/>
  <c r="D6" i="5"/>
  <c r="Q11" i="8"/>
  <c r="P11" i="8"/>
  <c r="R27" i="8"/>
  <c r="O18" i="3"/>
  <c r="S36" i="6"/>
  <c r="Q12" i="8"/>
  <c r="R12" i="8"/>
  <c r="O11" i="8"/>
  <c r="L17" i="8"/>
  <c r="R21" i="8"/>
  <c r="P27" i="8"/>
  <c r="S34" i="6"/>
  <c r="O16" i="3"/>
  <c r="S41" i="6"/>
  <c r="O23" i="3"/>
  <c r="Q24" i="8"/>
  <c r="Q21" i="8"/>
  <c r="Q28" i="8"/>
  <c r="Q26" i="8"/>
  <c r="D5" i="5"/>
  <c r="Q23" i="8"/>
  <c r="Q22" i="8"/>
  <c r="R12" i="3"/>
  <c r="T12" i="3" s="1"/>
  <c r="F16" i="7"/>
  <c r="O24" i="3"/>
  <c r="S42" i="6"/>
  <c r="S40" i="6"/>
  <c r="O22" i="3"/>
  <c r="O24" i="8"/>
  <c r="D10" i="4"/>
  <c r="M17" i="7"/>
  <c r="E10" i="4" s="1"/>
  <c r="R25" i="3" l="1"/>
  <c r="M14" i="8"/>
  <c r="T28" i="3"/>
  <c r="R24" i="3"/>
  <c r="T24" i="3" s="1"/>
  <c r="R26" i="3"/>
  <c r="T26" i="3" s="1"/>
  <c r="J10" i="4"/>
  <c r="R13" i="3"/>
  <c r="T13" i="3" s="1"/>
  <c r="R22" i="3"/>
  <c r="T22" i="3" s="1"/>
  <c r="T25" i="3"/>
  <c r="T23" i="3"/>
  <c r="O14" i="8"/>
  <c r="H8" i="5" s="1"/>
  <c r="T18" i="3"/>
  <c r="T32" i="3" s="1"/>
  <c r="R29" i="3"/>
  <c r="T29" i="3" s="1"/>
  <c r="T14" i="3"/>
  <c r="O17" i="7"/>
  <c r="M16" i="8"/>
  <c r="F6" i="5" s="1"/>
  <c r="N14" i="8"/>
  <c r="G8" i="5" s="1"/>
  <c r="C14" i="4"/>
  <c r="G24" i="7"/>
  <c r="C17" i="4" s="1"/>
  <c r="O19" i="7"/>
  <c r="C12" i="4"/>
  <c r="H19" i="7"/>
  <c r="I12" i="4" s="1"/>
  <c r="I19" i="7"/>
  <c r="J19" i="7" s="1"/>
  <c r="K31" i="8"/>
  <c r="J31" i="8"/>
  <c r="L31" i="8"/>
  <c r="I24" i="7"/>
  <c r="L24" i="7" s="1"/>
  <c r="N24" i="7" s="1"/>
  <c r="O16" i="8"/>
  <c r="H6" i="5" s="1"/>
  <c r="L22" i="7"/>
  <c r="N22" i="7" s="1"/>
  <c r="J15" i="4" s="1"/>
  <c r="I18" i="7"/>
  <c r="L21" i="7"/>
  <c r="N21" i="7" s="1"/>
  <c r="J21" i="7"/>
  <c r="J22" i="7"/>
  <c r="M22" i="7" s="1"/>
  <c r="E15" i="4" s="1"/>
  <c r="F8" i="5"/>
  <c r="N16" i="8"/>
  <c r="G6" i="5" s="1"/>
  <c r="M30" i="8"/>
  <c r="F5" i="5" s="1"/>
  <c r="S50" i="6"/>
  <c r="N30" i="8"/>
  <c r="G5" i="5" s="1"/>
  <c r="G18" i="7"/>
  <c r="O18" i="7" s="1"/>
  <c r="H23" i="7"/>
  <c r="I16" i="4" s="1"/>
  <c r="I23" i="7"/>
  <c r="G23" i="7"/>
  <c r="R32" i="3"/>
  <c r="B109" i="5" s="1"/>
  <c r="B111" i="5" s="1"/>
  <c r="G20" i="7"/>
  <c r="I20" i="7"/>
  <c r="H20" i="7"/>
  <c r="I13" i="4" s="1"/>
  <c r="O24" i="7"/>
  <c r="O15" i="7"/>
  <c r="C8" i="4"/>
  <c r="G16" i="7"/>
  <c r="H16" i="7"/>
  <c r="I9" i="4" s="1"/>
  <c r="I16" i="7"/>
  <c r="O10" i="8"/>
  <c r="M10" i="8"/>
  <c r="N10" i="8"/>
  <c r="N15" i="8" s="1"/>
  <c r="G7" i="5" s="1"/>
  <c r="O30" i="8"/>
  <c r="H5" i="5" s="1"/>
  <c r="L15" i="7"/>
  <c r="N15" i="7" s="1"/>
  <c r="J15" i="7"/>
  <c r="K15" i="7"/>
  <c r="H8" i="4" s="1"/>
  <c r="M15" i="8" l="1"/>
  <c r="F7" i="5" s="1"/>
  <c r="M19" i="8"/>
  <c r="O15" i="8"/>
  <c r="H7" i="5" s="1"/>
  <c r="J24" i="7"/>
  <c r="M24" i="7" s="1"/>
  <c r="E17" i="4" s="1"/>
  <c r="K19" i="7"/>
  <c r="H12" i="4" s="1"/>
  <c r="L19" i="7"/>
  <c r="N19" i="7" s="1"/>
  <c r="K24" i="7"/>
  <c r="H17" i="4" s="1"/>
  <c r="D12" i="4"/>
  <c r="M19" i="7"/>
  <c r="E12" i="4" s="1"/>
  <c r="C11" i="4"/>
  <c r="D15" i="4"/>
  <c r="K15" i="4"/>
  <c r="K14" i="4"/>
  <c r="J14" i="4"/>
  <c r="L18" i="7"/>
  <c r="N18" i="7" s="1"/>
  <c r="J18" i="7"/>
  <c r="K18" i="7"/>
  <c r="H11" i="4" s="1"/>
  <c r="D14" i="4"/>
  <c r="M21" i="7"/>
  <c r="E14" i="4" s="1"/>
  <c r="L20" i="7"/>
  <c r="N20" i="7" s="1"/>
  <c r="K20" i="7"/>
  <c r="H13" i="4" s="1"/>
  <c r="J20" i="7"/>
  <c r="C16" i="4"/>
  <c r="O23" i="7"/>
  <c r="C13" i="4"/>
  <c r="O20" i="7"/>
  <c r="L23" i="7"/>
  <c r="N23" i="7" s="1"/>
  <c r="K23" i="7"/>
  <c r="H16" i="4" s="1"/>
  <c r="J23" i="7"/>
  <c r="D17" i="4"/>
  <c r="J16" i="7"/>
  <c r="K16" i="7"/>
  <c r="H9" i="4" s="1"/>
  <c r="L16" i="7"/>
  <c r="N16" i="7" s="1"/>
  <c r="M15" i="7"/>
  <c r="E8" i="4" s="1"/>
  <c r="D8" i="4"/>
  <c r="J17" i="4"/>
  <c r="K17" i="4"/>
  <c r="O16" i="7"/>
  <c r="C9" i="4"/>
  <c r="J8" i="4"/>
  <c r="K8" i="4"/>
  <c r="K12" i="4" l="1"/>
  <c r="J12" i="4"/>
  <c r="D11" i="4"/>
  <c r="M18" i="7"/>
  <c r="E11" i="4" s="1"/>
  <c r="K11" i="4"/>
  <c r="J11" i="4"/>
  <c r="M20" i="7"/>
  <c r="E13" i="4" s="1"/>
  <c r="D13" i="4"/>
  <c r="M23" i="7"/>
  <c r="E16" i="4" s="1"/>
  <c r="D16" i="4"/>
  <c r="K13" i="4"/>
  <c r="J13" i="4"/>
  <c r="O26" i="7"/>
  <c r="B112" i="5" s="1"/>
  <c r="J16" i="4"/>
  <c r="K16" i="4"/>
  <c r="D9" i="4"/>
  <c r="M16" i="7"/>
  <c r="E9" i="4" s="1"/>
  <c r="J9" i="4"/>
  <c r="K9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<sst xmlns="http://schemas.openxmlformats.org/spreadsheetml/2006/main" count="767" uniqueCount="517">
  <si>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</si>
  <si>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</si>
  <si>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</si>
  <si>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</si>
  <si>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</si>
  <si>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</si>
  <si>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</si>
  <si>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</si>
  <si>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</si>
  <si>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</si>
  <si>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</si>
  <si>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</si>
  <si>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</si>
  <si>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</si>
  <si>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</si>
  <si>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</si>
  <si>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</si>
  <si>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</si>
  <si>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</si>
  <si>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</si>
  <si>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</si>
  <si>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</si>
  <si>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</si>
  <si>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</si>
  <si>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</si>
  <si>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</si>
  <si>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</si>
  <si>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</si>
  <si>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</si>
  <si>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</si>
  <si>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</si>
  <si>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</si>
  <si>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</si>
  <si>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</si>
  <si>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</si>
  <si>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</si>
  <si>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</si>
  <si>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</si>
  <si>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</si>
  <si>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</si>
  <si>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</si>
  <si>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</si>
  <si>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</si>
  <si>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</si>
  <si>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</si>
  <si>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</si>
  <si>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</si>
  <si>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</si>
  <si>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</si>
  <si>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</si>
  <si>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</si>
  <si>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</si>
  <si>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</si>
  <si>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</si>
  <si>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</si>
  <si>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</si>
  <si>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</si>
  <si>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</si>
  <si>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</si>
  <si>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</si>
  <si>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</si>
  <si>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</si>
  <si>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</si>
  <si>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</si>
  <si>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</si>
  <si>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</si>
  <si>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</si>
  <si>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</si>
  <si>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</si>
  <si>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</si>
  <si>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</si>
  <si>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</si>
  <si>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</si>
  <si>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</si>
  <si>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</si>
  <si>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</si>
  <si>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</si>
  <si>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</si>
  <si>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</si>
  <si>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</si>
  <si>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</si>
  <si>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</si>
  <si>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</si>
  <si>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</si>
  <si>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</si>
  <si>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</si>
  <si>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</si>
  <si>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</si>
  <si>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</si>
  <si>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</si>
  <si>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</si>
  <si>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</si>
  <si>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</si>
  <si>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</si>
  <si>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</si>
  <si>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</si>
  <si>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</si>
  <si>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</si>
  <si>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</si>
  <si>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</si>
  <si>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</si>
  <si>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</si>
  <si>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</si>
  <si>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</si>
  <si>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</si>
  <si>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</si>
  <si>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</si>
  <si>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</si>
  <si>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</si>
  <si>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</si>
  <si>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</si>
  <si>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</si>
  <si>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</si>
  <si>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</si>
  <si>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</si>
  <si>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</si>
  <si>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</si>
  <si>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</si>
  <si>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</si>
  <si>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</si>
  <si>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</si>
  <si>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</si>
  <si>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</si>
  <si>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</si>
  <si>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</si>
  <si>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</si>
  <si>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</si>
  <si>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</si>
  <si>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</si>
  <si>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</si>
  <si>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</si>
  <si>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</si>
  <si>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</si>
  <si>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</si>
  <si>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</si>
  <si>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</si>
  <si>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</si>
  <si>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</si>
  <si>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</si>
  <si>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</si>
  <si>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</si>
  <si>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</si>
  <si>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</si>
  <si>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</si>
  <si>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</si>
  <si>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</si>
  <si>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</si>
  <si>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</si>
  <si>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</si>
  <si>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</si>
  <si>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</si>
  <si>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</si>
  <si>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</si>
  <si>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</si>
  <si>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</si>
  <si>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</si>
  <si>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</si>
  <si>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</si>
  <si>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</si>
  <si>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</si>
  <si>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</si>
  <si>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</si>
  <si>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</si>
  <si>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</si>
  <si>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</si>
  <si>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</si>
  <si>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</si>
  <si>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</si>
  <si>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</si>
  <si>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</si>
  <si>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</si>
  <si>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</si>
  <si>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</si>
  <si>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</si>
  <si>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</si>
  <si>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</si>
  <si>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</si>
  <si>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</si>
  <si>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</si>
  <si>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</si>
  <si>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</si>
  <si>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</si>
  <si>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</si>
  <si>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</si>
  <si>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</si>
  <si>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</si>
  <si>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</si>
  <si>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</si>
  <si>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</si>
  <si>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</si>
  <si>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</si>
  <si>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</si>
  <si>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</si>
  <si>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</si>
  <si>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</si>
  <si>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</si>
  <si>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</si>
  <si>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</si>
  <si>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</si>
  <si>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</si>
  <si>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</si>
  <si>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</si>
  <si>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</si>
  <si>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</si>
  <si>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</si>
  <si>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</si>
  <si>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</si>
  <si>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</si>
  <si>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</si>
  <si>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</si>
  <si>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</si>
  <si>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</si>
  <si>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</si>
  <si>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</si>
  <si>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</si>
  <si>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</si>
  <si>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</si>
  <si>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</si>
  <si>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</si>
  <si>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</si>
  <si>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</si>
  <si>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</si>
  <si>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</si>
  <si>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</si>
  <si>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</si>
  <si>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</si>
  <si>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</si>
  <si>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</si>
  <si>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</si>
  <si>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</si>
  <si>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</si>
  <si>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</si>
  <si>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</si>
  <si>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</si>
  <si>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</si>
  <si>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</si>
  <si>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</si>
  <si>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</si>
  <si>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</si>
  <si>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</si>
  <si>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</si>
  <si>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</si>
  <si>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</si>
  <si>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</si>
  <si>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</si>
  <si>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</si>
  <si>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</si>
  <si>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</si>
  <si>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</si>
  <si>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</si>
  <si>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</si>
  <si>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</si>
  <si>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</si>
  <si>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</si>
  <si>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</si>
  <si>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</si>
  <si>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</si>
  <si>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</si>
  <si>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</si>
  <si>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</si>
  <si>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</si>
  <si>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</si>
  <si>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</si>
  <si>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</si>
  <si>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</si>
  <si>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</si>
  <si>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</si>
  <si>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</si>
  <si>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</si>
  <si>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</si>
  <si>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</si>
  <si>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</si>
  <si>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</si>
  <si>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</si>
  <si>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</si>
  <si>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</si>
  <si>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</si>
  <si>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</si>
  <si>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</si>
  <si>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</si>
  <si>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</si>
  <si>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</si>
  <si>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</si>
  <si>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</si>
  <si>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</si>
  <si>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</si>
  <si>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</si>
  <si>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</si>
  <si>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</si>
  <si>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</si>
  <si>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</si>
  <si>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</si>
  <si>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</si>
  <si>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</si>
  <si>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</si>
  <si>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</si>
  <si>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</si>
  <si>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</si>
  <si>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</si>
  <si>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</si>
  <si>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</si>
  <si>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</si>
  <si>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</si>
  <si>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</si>
  <si>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</si>
  <si>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</si>
  <si>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</si>
  <si>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</si>
  <si>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</si>
  <si>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</si>
  <si>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</si>
  <si>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</si>
  <si>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</si>
  <si>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</si>
  <si>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</si>
  <si>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</si>
  <si>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</si>
  <si>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</si>
  <si>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</si>
  <si>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</si>
  <si>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</si>
  <si>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</si>
  <si>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</si>
  <si>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</si>
  <si>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</si>
  <si>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</si>
  <si>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</si>
  <si>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</si>
  <si>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</si>
  <si>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</si>
  <si>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</si>
  <si>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</si>
  <si>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</si>
  <si>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</si>
  <si>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</si>
  <si>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</si>
  <si>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</si>
  <si>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</si>
  <si>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</si>
  <si>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</si>
  <si>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</si>
  <si>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</si>
  <si>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</si>
  <si>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</si>
  <si>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</si>
  <si>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</si>
  <si>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</si>
  <si>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</si>
  <si>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</si>
  <si>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</si>
  <si>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</si>
  <si>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</si>
  <si>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</si>
  <si>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</si>
  <si>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</si>
  <si>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</si>
  <si>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</si>
  <si>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</si>
  <si>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</si>
  <si>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</si>
  <si>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</si>
  <si>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</si>
  <si>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</si>
  <si>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</si>
  <si>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</si>
  <si>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</si>
  <si>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</si>
  <si>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</si>
  <si>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</si>
  <si>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</si>
  <si>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</si>
  <si>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</si>
  <si>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</si>
  <si>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</si>
  <si>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</si>
  <si>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</si>
  <si>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</si>
  <si>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</si>
  <si>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</si>
  <si>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</si>
  <si>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</si>
  <si>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</si>
  <si>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</si>
  <si>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</si>
  <si>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</si>
  <si>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</si>
  <si>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</si>
  <si>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</si>
  <si>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</si>
  <si>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</si>
  <si>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</si>
  <si>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</si>
  <si>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</si>
  <si>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</si>
  <si>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</si>
  <si>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</si>
  <si>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</si>
  <si>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</si>
  <si>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</si>
  <si>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</si>
  <si>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</si>
  <si>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</si>
  <si>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</si>
  <si>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blade modal damping ratios</t>
  </si>
  <si>
    <t>mass</t>
  </si>
  <si>
    <t>I</t>
  </si>
  <si>
    <t>&lt;-- added this (JR)</t>
  </si>
  <si>
    <t>Rated (high speed shaft) torque (N-m)</t>
  </si>
  <si>
    <t>Torque control data:</t>
  </si>
  <si>
    <t>&lt;-- changed this (JR)</t>
  </si>
  <si>
    <t>s818_2703.dat</t>
  </si>
  <si>
    <t>s825_2103.dat</t>
  </si>
  <si>
    <t>s826_1603.dat</t>
  </si>
  <si>
    <t>&lt;-- changed to "sXXX_XX03.dat" (JR)</t>
  </si>
  <si>
    <t>tower modal damping ratios</t>
  </si>
  <si>
    <t>Cylinder changed to produce correct AeroCent</t>
  </si>
  <si>
    <t>&lt;-- fixed this (JR)</t>
  </si>
  <si>
    <t>Rotor inertia (kg-m^2)</t>
  </si>
  <si>
    <t>Drivetrain damping (% critical)</t>
  </si>
  <si>
    <t>Nacelle Mass</t>
  </si>
  <si>
    <t>Hub Mass</t>
  </si>
  <si>
    <t>Generator inertia</t>
  </si>
  <si>
    <t>Units</t>
  </si>
  <si>
    <t>Key</t>
  </si>
  <si>
    <t>Values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</si>
  <si>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</si>
  <si>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</si>
  <si>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</si>
  <si>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</si>
  <si>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</si>
  <si>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</si>
  <si>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</si>
  <si>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</si>
  <si>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</si>
  <si>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</si>
  <si>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</si>
  <si>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</si>
  <si>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</si>
  <si>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</si>
  <si>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</si>
  <si>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</si>
  <si>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</si>
  <si>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</si>
  <si>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</si>
  <si>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</si>
  <si>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</si>
  <si>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</si>
  <si>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</si>
  <si>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</si>
  <si>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</si>
  <si>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</si>
  <si>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</si>
  <si>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</si>
  <si>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</si>
  <si>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</si>
  <si>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</si>
  <si>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GenAxisLoc</t>
  </si>
  <si>
    <t>UnitWeight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</si>
  <si>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</si>
  <si>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</si>
  <si>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</si>
  <si>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</si>
  <si>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</si>
  <si>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</si>
  <si>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</si>
  <si>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</si>
  <si>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</si>
  <si>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</si>
  <si>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</si>
  <si>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</si>
  <si>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</si>
  <si>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</si>
  <si>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</si>
  <si>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</si>
  <si>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</si>
  <si>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</si>
  <si>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</si>
  <si>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</si>
  <si>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</si>
  <si>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</si>
  <si>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</si>
  <si>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</si>
  <si>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</si>
  <si>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</si>
  <si>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</si>
  <si>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</si>
  <si>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</si>
  <si>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</si>
  <si>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</si>
  <si>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 xml:space="preserve">      AirfoilID</t>
  </si>
  <si>
    <t>VS_RtGnSp</t>
  </si>
  <si>
    <t>VS_RtTq</t>
  </si>
  <si>
    <t>N-m/HSSrpm^2</t>
  </si>
  <si>
    <t>VS_Rgn2K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</si>
  <si>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</si>
  <si>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</si>
  <si>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</si>
  <si>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</si>
  <si>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</si>
  <si>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</si>
  <si>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</si>
  <si>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</si>
  <si>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</si>
  <si>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</si>
  <si>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</si>
  <si>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</si>
  <si>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</si>
  <si>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</si>
  <si>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</si>
  <si>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</si>
  <si>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</si>
  <si>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</si>
  <si>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N-m</t>
  </si>
  <si>
    <t>P2P_Num</t>
  </si>
  <si>
    <t>numerator blade pitch actuator TF</t>
  </si>
  <si>
    <t>P2P_Den</t>
  </si>
  <si>
    <t>denominator blade pitch actuator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</si>
</sst>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E+00"/>
    <numFmt numFmtId="170" formatCode="0.0000000000"/>
    <numFmt numFmtId="171" formatCode="0.000000"/>
    <numFmt numFmtId="172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3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0" fillId="4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6" borderId="38" xfId="0" applyFill="1" applyBorder="1"/>
    <xf numFmtId="0" fontId="19" fillId="6" borderId="40" xfId="0" applyFont="1" applyFill="1" applyBorder="1" applyAlignment="1">
      <alignment horizontal="right"/>
    </xf>
    <xf numFmtId="0" fontId="0" fillId="6" borderId="43" xfId="0" applyFill="1" applyBorder="1"/>
    <xf numFmtId="0" fontId="19" fillId="6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19" fillId="6" borderId="0" xfId="0" applyFont="1" applyFill="1" applyBorder="1"/>
    <xf numFmtId="0" fontId="19" fillId="6" borderId="42" xfId="0" applyFont="1" applyFill="1" applyBorder="1" applyAlignment="1">
      <alignment horizontal="right"/>
    </xf>
    <xf numFmtId="11" fontId="0" fillId="0" borderId="0" xfId="0" applyNumberFormat="1"/>
    <xf numFmtId="0" fontId="15" fillId="0" borderId="30" xfId="0" applyFont="1" applyFill="1" applyBorder="1" applyAlignment="1">
      <alignment horizontal="right"/>
    </xf>
    <xf numFmtId="165" fontId="16" fillId="6" borderId="0" xfId="0" applyNumberFormat="1" applyFont="1" applyFill="1"/>
    <xf numFmtId="11" fontId="2" fillId="0" borderId="1" xfId="0" applyNumberFormat="1" applyFont="1" applyBorder="1" applyAlignment="1">
      <alignment horizontal="center"/>
    </xf>
    <xf numFmtId="0" fontId="5" fillId="0" borderId="0" xfId="0" applyFont="1"/>
    <xf numFmtId="0" fontId="5" fillId="5" borderId="0" xfId="0" applyFont="1" applyFill="1"/>
    <xf numFmtId="0" fontId="0" fillId="5" borderId="0" xfId="0" applyFill="1"/>
    <xf numFmtId="0" fontId="5" fillId="0" borderId="1" xfId="0" applyFont="1" applyFill="1" applyBorder="1" applyAlignment="1">
      <alignment wrapText="1"/>
    </xf>
    <xf numFmtId="167" fontId="0" fillId="0" borderId="0" xfId="0" applyNumberFormat="1" applyFill="1"/>
    <xf numFmtId="0" fontId="0" fillId="7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19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19" fillId="0" borderId="0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0" fillId="6" borderId="41" xfId="0" applyFill="1" applyBorder="1"/>
    <xf numFmtId="0" fontId="5" fillId="0" borderId="28" xfId="0" applyFont="1" applyBorder="1" applyAlignment="1">
      <alignment horizontal="center"/>
    </xf>
    <xf numFmtId="0" fontId="0" fillId="0" borderId="2" xfId="0" applyBorder="1" applyAlignment="1"/>
    <xf numFmtId="0" fontId="0" fillId="0" borderId="0" xfId="0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6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6" borderId="49" xfId="0" applyFont="1" applyFill="1" applyBorder="1" applyAlignment="1">
      <alignment horizontal="center"/>
    </xf>
    <xf numFmtId="0" fontId="17" fillId="6" borderId="50" xfId="0" applyFont="1" applyFill="1" applyBorder="1" applyAlignment="1">
      <alignment horizontal="center"/>
    </xf>
    <xf numFmtId="0" fontId="17" fillId="6" borderId="5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3" fillId="7" borderId="1" xfId="0" applyFont="1" applyFill="1" applyBorder="1" applyAlignment="1">
      <alignment wrapText="1"/>
    </xf>
    <xf numFmtId="0" fontId="2" fillId="0" borderId="0" xfId="0" applyNumberFormat="1" applyFont="1" applyFill="1" applyBorder="1"/>
    <xf numFmtId="2" fontId="5" fillId="6" borderId="1" xfId="0" applyNumberFormat="1" applyFont="1" applyFill="1" applyBorder="1" applyAlignment="1">
      <alignment horizontal="center"/>
    </xf>
    <xf numFmtId="1" fontId="16" fillId="8" borderId="0" xfId="0" applyNumberFormat="1" applyFont="1" applyFill="1"/>
    <xf numFmtId="1" fontId="16" fillId="8" borderId="0" xfId="0" applyNumberFormat="1" applyFont="1" applyFill="1" applyAlignment="1">
      <alignment horizontal="right"/>
    </xf>
    <xf numFmtId="0" fontId="15" fillId="8" borderId="0" xfId="0" applyFont="1" applyFill="1"/>
    <xf numFmtId="1" fontId="16" fillId="9" borderId="0" xfId="0" applyNumberFormat="1" applyFont="1" applyFill="1"/>
    <xf numFmtId="0" fontId="15" fillId="9" borderId="0" xfId="0" applyFont="1" applyFill="1"/>
    <xf numFmtId="0" fontId="15" fillId="6" borderId="0" xfId="0" applyFont="1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Border="1"/>
    <xf numFmtId="169" fontId="0" fillId="0" borderId="0" xfId="0" applyNumberFormat="1" applyAlignment="1">
      <alignment horizontal="right"/>
    </xf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0" fontId="0" fillId="0" borderId="1" xfId="0" applyFill="1" applyBorder="1" applyAlignment="1"/>
    <xf numFmtId="0" fontId="21" fillId="5" borderId="39" xfId="0" applyFont="1" applyFill="1" applyBorder="1" applyAlignment="1">
      <alignment horizontal="center"/>
    </xf>
    <xf numFmtId="172" fontId="0" fillId="0" borderId="0" xfId="0" applyNumberFormat="1"/>
    <xf numFmtId="0" fontId="3" fillId="5" borderId="39" xfId="0" applyFont="1" applyFill="1" applyBorder="1"/>
    <xf numFmtId="0" fontId="0" fillId="5" borderId="40" xfId="0" applyFill="1" applyBorder="1"/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71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0640"/>
        <c:axId val="102722560"/>
      </c:scatterChart>
      <c:valAx>
        <c:axId val="10272064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22560"/>
        <c:crossesAt val="-10"/>
        <c:crossBetween val="midCat"/>
      </c:valAx>
      <c:valAx>
        <c:axId val="10272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2064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95250</xdr:rowOff>
    </xdr:from>
    <xdr:to>
      <xdr:col>15</xdr:col>
      <xdr:colOff>514350</xdr:colOff>
      <xdr:row>75</xdr:row>
      <xdr:rowOff>123825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9067800"/>
          <a:ext cx="5019675" cy="259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	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11, 2015     	Added generator inertia input, drivetrain natural frequency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12, 2015    	Added TSR, CpMax values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16, 2015    	Removed TSR, CpMax dependencies, changed rated torque definition,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	changed airfoil names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19, 2015	Added blade and tower damping to front page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43" zoomScale="115" zoomScaleNormal="115" workbookViewId="0">
      <selection activeCell="B70" sqref="B70"/>
    </sheetView>
  </sheetViews>
  <sheetFormatPr defaultRowHeight="11.25"/>
  <cols>
    <col min="1" max="1" width="34.83203125" customWidth="1"/>
    <col min="2" max="2" width="10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4" t="s">
        <v>398</v>
      </c>
      <c r="C1" s="414" t="s">
        <v>396</v>
      </c>
      <c r="D1" s="415"/>
      <c r="E1" s="415"/>
      <c r="F1" s="415"/>
      <c r="G1" s="415"/>
      <c r="H1" s="416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408" t="s">
        <v>119</v>
      </c>
      <c r="C3" s="409"/>
      <c r="D3" s="410"/>
      <c r="E3" s="35"/>
      <c r="F3" s="411" t="s">
        <v>18</v>
      </c>
      <c r="G3" s="412"/>
      <c r="H3" s="413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2">
        <f>GECdrivetrain!J30</f>
        <v>-3.620904759358208E-2</v>
      </c>
      <c r="C5" s="142">
        <f>GECdrivetrain!K30</f>
        <v>0</v>
      </c>
      <c r="D5" s="142">
        <f>GECdrivetrain!L30</f>
        <v>-0.30297072228205113</v>
      </c>
      <c r="E5" s="145">
        <f>GECdrivetrain!I30</f>
        <v>39324.660321372365</v>
      </c>
      <c r="F5" s="148">
        <f>GECdrivetrain!M30</f>
        <v>25680.568147320741</v>
      </c>
      <c r="G5" s="148">
        <f>GECdrivetrain!N30</f>
        <v>40929.225195243103</v>
      </c>
      <c r="H5" s="148">
        <f>GECdrivetrain!O30</f>
        <v>34947.937562035288</v>
      </c>
    </row>
    <row r="6" spans="1:8">
      <c r="A6" s="22" t="s">
        <v>10</v>
      </c>
      <c r="B6" s="143">
        <f>GECdrivetrain!J16</f>
        <v>0.76653355801984624</v>
      </c>
      <c r="C6" s="143">
        <f>GECdrivetrain!K16</f>
        <v>0</v>
      </c>
      <c r="D6" s="143">
        <f>GECdrivetrain!L16</f>
        <v>0</v>
      </c>
      <c r="E6" s="146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3">
        <f>GECdrivetrain!J15</f>
        <v>-0.79496927830119335</v>
      </c>
      <c r="C7" s="143">
        <f>GECdrivetrain!K15</f>
        <v>0</v>
      </c>
      <c r="D7" s="143">
        <f>GECdrivetrain!L15</f>
        <v>0</v>
      </c>
      <c r="E7" s="146">
        <f>GECdrivetrain!I15</f>
        <v>11408.833117775681</v>
      </c>
      <c r="F7" s="149">
        <f>GECdrivetrain!M15</f>
        <v>845.42412614093951</v>
      </c>
      <c r="G7" s="149">
        <f>GECdrivetrain!N15</f>
        <v>9923.4097569871301</v>
      </c>
      <c r="H7" s="149">
        <f>GECdrivetrain!O15</f>
        <v>9923.4097569871301</v>
      </c>
    </row>
    <row r="8" spans="1:8" ht="12" thickBot="1">
      <c r="A8" s="23" t="s">
        <v>12</v>
      </c>
      <c r="B8" s="144">
        <f>GECdrivetrain!J14</f>
        <v>-3.3</v>
      </c>
      <c r="C8" s="144">
        <f>GECdrivetrain!K14</f>
        <v>0</v>
      </c>
      <c r="D8" s="144">
        <f>GECdrivetrain!L14</f>
        <v>0</v>
      </c>
      <c r="E8" s="147">
        <f>GECdrivetrain!I14</f>
        <v>19186.870177541427</v>
      </c>
      <c r="F8" s="40">
        <f>GECdrivetrain!M14</f>
        <v>42475.576821214963</v>
      </c>
      <c r="G8" s="40">
        <f>GECdrivetrain!N14</f>
        <v>42475.576821214963</v>
      </c>
      <c r="H8" s="40">
        <f>GECdrivetrain!O14</f>
        <v>42475.576821214963</v>
      </c>
    </row>
    <row r="9" spans="1:8" ht="12" thickBot="1">
      <c r="A9" s="106" t="s">
        <v>120</v>
      </c>
      <c r="B9" s="272">
        <v>84</v>
      </c>
    </row>
    <row r="10" spans="1:8">
      <c r="A10" s="77" t="s">
        <v>28</v>
      </c>
      <c r="B10" s="273">
        <v>3</v>
      </c>
    </row>
    <row r="11" spans="1:8">
      <c r="A11" s="54" t="s">
        <v>39</v>
      </c>
      <c r="B11" s="274">
        <v>5</v>
      </c>
      <c r="C11" t="s">
        <v>69</v>
      </c>
      <c r="E11" s="332">
        <f>SUM(E5:E7)</f>
        <v>52838.90825962169</v>
      </c>
      <c r="F11" s="348"/>
    </row>
    <row r="12" spans="1:8">
      <c r="A12" s="54" t="s">
        <v>29</v>
      </c>
      <c r="B12" s="274" t="s">
        <v>118</v>
      </c>
      <c r="E12" s="332"/>
    </row>
    <row r="13" spans="1:8">
      <c r="A13" s="107" t="s">
        <v>121</v>
      </c>
      <c r="B13" s="274">
        <v>70</v>
      </c>
      <c r="F13" s="332"/>
    </row>
    <row r="14" spans="1:8" ht="22.5">
      <c r="A14" s="61" t="s">
        <v>43</v>
      </c>
      <c r="B14" s="351">
        <f>PI()*(B67^4-B68^4)/32/(GECdrivetrain!C7)*GECtwrdata!F7</f>
        <v>483129639.71309441</v>
      </c>
      <c r="D14" s="353" t="s">
        <v>416</v>
      </c>
      <c r="E14" s="354"/>
      <c r="G14" s="348"/>
    </row>
    <row r="15" spans="1:8">
      <c r="A15" s="61" t="s">
        <v>418</v>
      </c>
      <c r="B15" s="383">
        <v>5</v>
      </c>
      <c r="D15" s="353" t="s">
        <v>406</v>
      </c>
      <c r="E15" s="354"/>
      <c r="F15" s="332"/>
      <c r="G15" s="348"/>
    </row>
    <row r="16" spans="1:8">
      <c r="A16" s="61" t="s">
        <v>417</v>
      </c>
      <c r="B16" s="383">
        <v>2953248.5</v>
      </c>
      <c r="D16" s="353" t="s">
        <v>406</v>
      </c>
      <c r="E16" s="354"/>
      <c r="H16" s="103"/>
    </row>
    <row r="17" spans="1:21" ht="23.45" customHeight="1">
      <c r="A17" s="61" t="s">
        <v>42</v>
      </c>
      <c r="B17" s="274">
        <v>1.2250000000000001</v>
      </c>
    </row>
    <row r="18" spans="1:21" ht="13.15" customHeight="1">
      <c r="A18" s="61" t="s">
        <v>38</v>
      </c>
      <c r="B18" s="274">
        <v>0</v>
      </c>
      <c r="C18" t="s">
        <v>70</v>
      </c>
      <c r="I18" s="178" t="s">
        <v>315</v>
      </c>
      <c r="J18" s="179"/>
      <c r="K18" s="179"/>
      <c r="L18" s="179"/>
      <c r="M18" s="179"/>
      <c r="N18" s="179"/>
      <c r="P18" s="180" t="s">
        <v>316</v>
      </c>
      <c r="Q18" s="181"/>
      <c r="R18" s="181"/>
      <c r="S18" s="181"/>
      <c r="T18" s="181"/>
      <c r="U18" s="181"/>
    </row>
    <row r="19" spans="1:21" ht="24" customHeight="1" thickBot="1">
      <c r="A19" s="62" t="s">
        <v>374</v>
      </c>
      <c r="B19" s="274">
        <v>0.95</v>
      </c>
      <c r="C19" s="328">
        <v>1.4999999999999999E-2</v>
      </c>
      <c r="D19" s="417" t="s">
        <v>373</v>
      </c>
      <c r="E19" s="416"/>
      <c r="F19" s="416"/>
      <c r="G19" s="352"/>
    </row>
    <row r="20" spans="1:21" ht="25.5" customHeight="1">
      <c r="A20" s="267" t="s">
        <v>371</v>
      </c>
      <c r="B20" s="273">
        <v>5.0000000000000001E-3</v>
      </c>
      <c r="C20" s="328">
        <v>5.0000000000000001E-3</v>
      </c>
      <c r="D20" s="417" t="s">
        <v>372</v>
      </c>
      <c r="E20" s="416"/>
      <c r="F20" s="416"/>
      <c r="I20" s="35" t="s">
        <v>68</v>
      </c>
      <c r="J20" s="169"/>
      <c r="K20" s="169"/>
      <c r="L20" s="169"/>
      <c r="M20" s="169"/>
      <c r="N20" s="169"/>
      <c r="O20" s="169"/>
      <c r="P20" s="170"/>
    </row>
    <row r="21" spans="1:21" ht="11.45" customHeight="1">
      <c r="A21" s="61" t="s">
        <v>31</v>
      </c>
      <c r="B21" s="274" t="s">
        <v>33</v>
      </c>
      <c r="I21" s="171" t="s">
        <v>317</v>
      </c>
      <c r="J21" s="8"/>
      <c r="K21" s="8"/>
      <c r="L21" s="8"/>
      <c r="M21" s="8"/>
      <c r="N21" s="8"/>
      <c r="O21" s="8"/>
      <c r="P21" s="172"/>
    </row>
    <row r="22" spans="1:21">
      <c r="I22" s="171" t="s">
        <v>318</v>
      </c>
      <c r="J22" s="8"/>
      <c r="K22" s="8"/>
      <c r="L22" s="8"/>
      <c r="M22" s="8"/>
      <c r="N22" s="8"/>
      <c r="O22" s="8"/>
      <c r="P22" s="172"/>
    </row>
    <row r="23" spans="1:21">
      <c r="A23" s="357" t="s">
        <v>77</v>
      </c>
      <c r="B23" s="29"/>
      <c r="I23" s="171" t="s">
        <v>65</v>
      </c>
      <c r="J23" s="8"/>
      <c r="K23" s="8"/>
      <c r="L23" s="8"/>
      <c r="M23" s="8"/>
      <c r="N23" s="8"/>
      <c r="O23" s="8"/>
      <c r="P23" s="172"/>
    </row>
    <row r="24" spans="1:21" ht="12.6" customHeight="1">
      <c r="A24" s="100" t="s">
        <v>74</v>
      </c>
      <c r="B24" s="269">
        <f>B89</f>
        <v>20.462778397529398</v>
      </c>
      <c r="G24" s="89"/>
      <c r="H24" s="12"/>
      <c r="I24" s="171" t="s">
        <v>66</v>
      </c>
      <c r="J24" s="8"/>
      <c r="K24" s="8"/>
      <c r="L24" s="8"/>
      <c r="M24" s="8"/>
      <c r="N24" s="8"/>
      <c r="O24" s="8"/>
      <c r="P24" s="172"/>
    </row>
    <row r="25" spans="1:21" ht="12" thickBot="1">
      <c r="A25" s="100" t="s">
        <v>75</v>
      </c>
      <c r="B25" s="270">
        <v>1</v>
      </c>
      <c r="G25" s="89"/>
      <c r="H25" s="12"/>
      <c r="I25" s="173" t="s">
        <v>67</v>
      </c>
      <c r="J25" s="174"/>
      <c r="K25" s="174"/>
      <c r="L25" s="174"/>
      <c r="M25" s="174"/>
      <c r="N25" s="174"/>
      <c r="O25" s="174"/>
      <c r="P25" s="177"/>
    </row>
    <row r="26" spans="1:21" ht="9.75" customHeight="1">
      <c r="A26" s="100" t="s">
        <v>76</v>
      </c>
      <c r="B26" s="270">
        <f>B92</f>
        <v>1500</v>
      </c>
      <c r="G26" s="89"/>
      <c r="H26" s="12"/>
    </row>
    <row r="28" spans="1:21" ht="12.6" customHeight="1">
      <c r="A28" s="381" t="s">
        <v>78</v>
      </c>
      <c r="B28" s="29"/>
    </row>
    <row r="29" spans="1:21" ht="21" customHeight="1">
      <c r="A29" s="100" t="s">
        <v>79</v>
      </c>
      <c r="B29" s="91">
        <f>B89</f>
        <v>20.462778397529398</v>
      </c>
    </row>
    <row r="30" spans="1:21" ht="9.75" customHeight="1">
      <c r="A30" s="100" t="s">
        <v>375</v>
      </c>
      <c r="B30" s="268">
        <f>B92*1000/(B29*PI()/30)/(B19-C19-B20-C20)</f>
        <v>756756.7567567568</v>
      </c>
    </row>
    <row r="31" spans="1:21" ht="9.75" customHeight="1">
      <c r="A31" s="355" t="s">
        <v>407</v>
      </c>
      <c r="B31" s="268">
        <f>B92*1000/(B87*PI()/30)/(B19)</f>
        <v>8376.5759522050193</v>
      </c>
      <c r="D31" s="353" t="s">
        <v>409</v>
      </c>
      <c r="E31" s="354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4">
        <v>2.6</v>
      </c>
    </row>
    <row r="35" spans="1:5">
      <c r="A35" s="100" t="s">
        <v>82</v>
      </c>
      <c r="B35" s="274">
        <v>90</v>
      </c>
    </row>
    <row r="36" spans="1:5" ht="12" customHeight="1">
      <c r="A36" s="100" t="s">
        <v>83</v>
      </c>
      <c r="B36" s="274">
        <v>10</v>
      </c>
    </row>
    <row r="37" spans="1:5" ht="12" customHeight="1">
      <c r="A37" s="398" t="s">
        <v>449</v>
      </c>
      <c r="B37" s="274">
        <v>2.6</v>
      </c>
      <c r="D37" s="353" t="s">
        <v>450</v>
      </c>
      <c r="E37" s="354"/>
    </row>
    <row r="38" spans="1:5" ht="12" customHeight="1">
      <c r="A38" s="398" t="s">
        <v>451</v>
      </c>
      <c r="B38" s="274">
        <v>30</v>
      </c>
      <c r="D38" s="353" t="s">
        <v>450</v>
      </c>
      <c r="E38" s="354"/>
    </row>
    <row r="39" spans="1:5" ht="12" customHeight="1">
      <c r="A39" s="398" t="s">
        <v>452</v>
      </c>
      <c r="B39" s="274">
        <v>-0.5</v>
      </c>
      <c r="D39" s="353" t="s">
        <v>450</v>
      </c>
      <c r="E39" s="354"/>
    </row>
    <row r="40" spans="1:5" ht="12" customHeight="1">
      <c r="A40" s="398" t="s">
        <v>453</v>
      </c>
      <c r="B40" s="274">
        <v>2.5000000000000001E-2</v>
      </c>
      <c r="D40" s="353" t="s">
        <v>450</v>
      </c>
      <c r="E40" s="354"/>
    </row>
    <row r="41" spans="1:5" ht="12" customHeight="1">
      <c r="A41" s="358"/>
      <c r="B41" s="361"/>
    </row>
    <row r="42" spans="1:5" ht="12" customHeight="1">
      <c r="A42" s="109" t="s">
        <v>408</v>
      </c>
      <c r="B42" s="29"/>
      <c r="D42" s="353" t="s">
        <v>406</v>
      </c>
      <c r="E42" s="354"/>
    </row>
    <row r="43" spans="1:5" ht="12" customHeight="1">
      <c r="A43" s="398" t="s">
        <v>454</v>
      </c>
      <c r="B43" s="274">
        <f>B31/B87^2</f>
        <v>2.5853629482114255E-3</v>
      </c>
      <c r="D43" s="353" t="s">
        <v>455</v>
      </c>
      <c r="E43" s="354"/>
    </row>
    <row r="44" spans="1:5" ht="12.75" customHeight="1">
      <c r="A44" s="100"/>
      <c r="B44" s="359"/>
      <c r="D44" s="360"/>
      <c r="E44" s="5"/>
    </row>
    <row r="45" spans="1:5">
      <c r="A45" s="109" t="s">
        <v>122</v>
      </c>
      <c r="B45" s="54"/>
    </row>
    <row r="46" spans="1:5" ht="17.25" customHeight="1">
      <c r="A46" s="100" t="s">
        <v>206</v>
      </c>
      <c r="B46" s="275">
        <v>1.61</v>
      </c>
    </row>
    <row r="47" spans="1:5">
      <c r="A47" s="100" t="s">
        <v>123</v>
      </c>
      <c r="B47" s="276">
        <v>2.5649999999999999</v>
      </c>
    </row>
    <row r="48" spans="1:5" ht="15" customHeight="1">
      <c r="A48" s="100" t="s">
        <v>124</v>
      </c>
      <c r="B48" s="276">
        <v>10.26</v>
      </c>
    </row>
    <row r="49" spans="1:4" ht="11.25" customHeight="1">
      <c r="A49" s="100" t="s">
        <v>125</v>
      </c>
      <c r="B49" s="276">
        <v>5.6627999999999998</v>
      </c>
    </row>
    <row r="50" spans="1:4" ht="13.5" customHeight="1">
      <c r="A50" s="100" t="s">
        <v>126</v>
      </c>
      <c r="B50" s="276">
        <v>17.39</v>
      </c>
    </row>
    <row r="51" spans="1:4" ht="13.5" customHeight="1">
      <c r="A51" s="100" t="s">
        <v>384</v>
      </c>
      <c r="B51" s="329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4.4262262216404888</v>
      </c>
    </row>
    <row r="55" spans="1:4">
      <c r="A55" s="2" t="s">
        <v>12</v>
      </c>
      <c r="C55" s="5"/>
    </row>
    <row r="56" spans="1:4">
      <c r="A56" s="110" t="s">
        <v>127</v>
      </c>
      <c r="B56" s="277">
        <v>3.5</v>
      </c>
      <c r="C56" t="s">
        <v>85</v>
      </c>
      <c r="D56" t="s">
        <v>128</v>
      </c>
    </row>
    <row r="57" spans="1:4">
      <c r="A57" s="110" t="s">
        <v>129</v>
      </c>
      <c r="B57" s="277">
        <v>1.8859999999999999</v>
      </c>
      <c r="C57" t="s">
        <v>85</v>
      </c>
      <c r="D57" s="271" t="s">
        <v>380</v>
      </c>
    </row>
    <row r="58" spans="1:4" ht="10.9" customHeight="1">
      <c r="A58" s="110" t="s">
        <v>130</v>
      </c>
      <c r="B58" s="277">
        <v>1.6586999999999998</v>
      </c>
      <c r="C58" t="s">
        <v>85</v>
      </c>
      <c r="D58" t="s">
        <v>399</v>
      </c>
    </row>
    <row r="59" spans="1:4">
      <c r="A59" s="110" t="s">
        <v>131</v>
      </c>
      <c r="B59" s="277">
        <v>0.05</v>
      </c>
      <c r="C59" t="s">
        <v>85</v>
      </c>
      <c r="D59" s="271" t="s">
        <v>376</v>
      </c>
    </row>
    <row r="60" spans="1:4">
      <c r="A60" s="18" t="s">
        <v>132</v>
      </c>
      <c r="B60" s="278">
        <v>7850</v>
      </c>
      <c r="C60" t="s">
        <v>102</v>
      </c>
    </row>
    <row r="61" spans="1:4">
      <c r="A61" s="18" t="s">
        <v>133</v>
      </c>
      <c r="B61" s="277">
        <v>-3.3</v>
      </c>
      <c r="C61" t="s">
        <v>85</v>
      </c>
      <c r="D61" t="s">
        <v>134</v>
      </c>
    </row>
    <row r="62" spans="1:4">
      <c r="A62" s="18" t="s">
        <v>135</v>
      </c>
      <c r="B62" s="277">
        <v>0</v>
      </c>
      <c r="C62" t="s">
        <v>85</v>
      </c>
    </row>
    <row r="63" spans="1:4">
      <c r="A63" s="18" t="s">
        <v>136</v>
      </c>
      <c r="B63" s="277">
        <v>0</v>
      </c>
      <c r="C63" t="s">
        <v>85</v>
      </c>
    </row>
    <row r="64" spans="1:4">
      <c r="A64" s="18"/>
      <c r="B64" s="124"/>
    </row>
    <row r="65" spans="1:10">
      <c r="A65" s="111" t="s">
        <v>137</v>
      </c>
      <c r="B65" s="125"/>
    </row>
    <row r="66" spans="1:10">
      <c r="A66" s="18" t="s">
        <v>138</v>
      </c>
      <c r="B66" s="277">
        <v>1.98</v>
      </c>
      <c r="C66" t="s">
        <v>85</v>
      </c>
      <c r="D66" t="s">
        <v>379</v>
      </c>
    </row>
    <row r="67" spans="1:10">
      <c r="A67" s="18" t="s">
        <v>139</v>
      </c>
      <c r="B67" s="277">
        <v>0.60419999999999996</v>
      </c>
      <c r="C67" t="s">
        <v>85</v>
      </c>
    </row>
    <row r="68" spans="1:10">
      <c r="A68" s="18" t="s">
        <v>140</v>
      </c>
      <c r="B68" s="277">
        <v>0.28499999999999998</v>
      </c>
      <c r="C68" t="s">
        <v>85</v>
      </c>
      <c r="D68" t="s">
        <v>141</v>
      </c>
    </row>
    <row r="69" spans="1:10">
      <c r="A69" s="18" t="s">
        <v>132</v>
      </c>
      <c r="B69" s="278">
        <v>7850</v>
      </c>
      <c r="C69" t="s">
        <v>102</v>
      </c>
    </row>
    <row r="70" spans="1:10">
      <c r="A70" s="18" t="s">
        <v>135</v>
      </c>
      <c r="B70" s="277">
        <v>0</v>
      </c>
      <c r="C70" t="s">
        <v>85</v>
      </c>
      <c r="D70" t="s">
        <v>142</v>
      </c>
    </row>
    <row r="71" spans="1:10">
      <c r="A71" s="18" t="s">
        <v>136</v>
      </c>
      <c r="B71" s="277">
        <v>0</v>
      </c>
      <c r="C71" t="s">
        <v>85</v>
      </c>
    </row>
    <row r="72" spans="1:10">
      <c r="A72" s="18"/>
      <c r="B72" s="124"/>
      <c r="H72" s="103">
        <f>B66</f>
        <v>1.98</v>
      </c>
      <c r="I72" t="s">
        <v>404</v>
      </c>
      <c r="J72" t="s">
        <v>405</v>
      </c>
    </row>
    <row r="73" spans="1:10">
      <c r="A73" s="111" t="s">
        <v>143</v>
      </c>
      <c r="B73" s="125"/>
      <c r="H73">
        <f>B67/2</f>
        <v>0.30209999999999998</v>
      </c>
      <c r="I73">
        <f>B69*H72*PI()*(H73^2-H74^2)</f>
        <v>3464.8709598770952</v>
      </c>
      <c r="J73">
        <f>0.5*I73*(H73^2+H74^2)</f>
        <v>193.2889699041605</v>
      </c>
    </row>
    <row r="74" spans="1:10">
      <c r="A74" s="18" t="s">
        <v>144</v>
      </c>
      <c r="B74" s="277">
        <v>-2.31</v>
      </c>
      <c r="C74" t="s">
        <v>85</v>
      </c>
      <c r="D74" t="s">
        <v>145</v>
      </c>
      <c r="H74">
        <f>B68/2</f>
        <v>0.14249999999999999</v>
      </c>
    </row>
    <row r="75" spans="1:10">
      <c r="A75" s="18" t="s">
        <v>146</v>
      </c>
      <c r="B75" s="277">
        <v>0</v>
      </c>
      <c r="C75" t="s">
        <v>85</v>
      </c>
    </row>
    <row r="76" spans="1:10">
      <c r="A76" s="18" t="s">
        <v>147</v>
      </c>
      <c r="B76" s="277">
        <v>0</v>
      </c>
      <c r="C76" t="s">
        <v>85</v>
      </c>
    </row>
    <row r="77" spans="1:10">
      <c r="A77" s="18" t="s">
        <v>148</v>
      </c>
      <c r="B77" s="277">
        <v>-0.66</v>
      </c>
      <c r="C77" t="s">
        <v>85</v>
      </c>
      <c r="D77" t="s">
        <v>149</v>
      </c>
    </row>
    <row r="78" spans="1:10">
      <c r="A78" s="18" t="s">
        <v>150</v>
      </c>
      <c r="B78" s="277">
        <v>0</v>
      </c>
      <c r="C78" t="s">
        <v>85</v>
      </c>
    </row>
    <row r="79" spans="1:10">
      <c r="A79" s="18" t="s">
        <v>151</v>
      </c>
      <c r="B79" s="277">
        <v>0</v>
      </c>
      <c r="C79" t="s">
        <v>85</v>
      </c>
    </row>
    <row r="80" spans="1:10">
      <c r="A80" s="18"/>
      <c r="B80" s="125"/>
    </row>
    <row r="81" spans="1:4">
      <c r="A81" s="111" t="s">
        <v>152</v>
      </c>
      <c r="B81" s="125"/>
    </row>
    <row r="82" spans="1:4">
      <c r="A82" s="18" t="s">
        <v>153</v>
      </c>
      <c r="B82" s="279">
        <v>10602.62</v>
      </c>
      <c r="C82" t="s">
        <v>117</v>
      </c>
      <c r="D82" t="s">
        <v>154</v>
      </c>
    </row>
    <row r="83" spans="1:4">
      <c r="A83" s="18" t="s">
        <v>133</v>
      </c>
      <c r="B83" s="277">
        <v>0</v>
      </c>
      <c r="C83" t="s">
        <v>85</v>
      </c>
      <c r="D83" t="s">
        <v>155</v>
      </c>
    </row>
    <row r="84" spans="1:4">
      <c r="A84" s="18" t="s">
        <v>135</v>
      </c>
      <c r="B84" s="277">
        <v>0</v>
      </c>
      <c r="C84" t="s">
        <v>85</v>
      </c>
    </row>
    <row r="85" spans="1:4">
      <c r="A85" s="18" t="s">
        <v>136</v>
      </c>
      <c r="B85" s="277">
        <v>0</v>
      </c>
      <c r="C85" t="s">
        <v>85</v>
      </c>
    </row>
    <row r="86" spans="1:4">
      <c r="A86" s="18" t="s">
        <v>392</v>
      </c>
      <c r="B86" s="277">
        <v>75</v>
      </c>
      <c r="C86" t="s">
        <v>393</v>
      </c>
    </row>
    <row r="87" spans="1:4">
      <c r="A87" s="18" t="s">
        <v>394</v>
      </c>
      <c r="B87" s="277">
        <v>1800</v>
      </c>
      <c r="C87" t="s">
        <v>395</v>
      </c>
    </row>
    <row r="88" spans="1:4">
      <c r="A88" s="18" t="s">
        <v>156</v>
      </c>
      <c r="B88" s="333">
        <f>1800/B89</f>
        <v>87.964594300514221</v>
      </c>
    </row>
    <row r="89" spans="1:4">
      <c r="A89" s="18" t="s">
        <v>157</v>
      </c>
      <c r="B89" s="333">
        <f>B86/B13*2*30/PI()</f>
        <v>20.462778397529398</v>
      </c>
    </row>
    <row r="90" spans="1:4">
      <c r="A90" s="18"/>
      <c r="B90" s="123"/>
    </row>
    <row r="91" spans="1:4">
      <c r="A91" s="111" t="s">
        <v>158</v>
      </c>
      <c r="B91" s="125"/>
    </row>
    <row r="92" spans="1:4">
      <c r="A92" s="18" t="s">
        <v>159</v>
      </c>
      <c r="B92" s="280">
        <v>1500</v>
      </c>
      <c r="C92" t="s">
        <v>160</v>
      </c>
    </row>
    <row r="93" spans="1:4">
      <c r="A93" s="18" t="s">
        <v>133</v>
      </c>
      <c r="B93" s="277">
        <v>0.82499999999999996</v>
      </c>
      <c r="C93" t="s">
        <v>85</v>
      </c>
      <c r="D93" t="s">
        <v>161</v>
      </c>
    </row>
    <row r="94" spans="1:4">
      <c r="A94" s="18" t="s">
        <v>135</v>
      </c>
      <c r="B94" s="281">
        <v>0</v>
      </c>
      <c r="C94" t="s">
        <v>85</v>
      </c>
    </row>
    <row r="95" spans="1:4">
      <c r="A95" s="18" t="s">
        <v>136</v>
      </c>
      <c r="B95" s="281">
        <v>0</v>
      </c>
      <c r="C95" t="s">
        <v>85</v>
      </c>
    </row>
    <row r="96" spans="1:4">
      <c r="A96" s="18"/>
      <c r="B96" s="126"/>
    </row>
    <row r="97" spans="1:4">
      <c r="A97" s="111" t="s">
        <v>162</v>
      </c>
      <c r="B97" s="126"/>
    </row>
    <row r="98" spans="1:4">
      <c r="A98" s="18" t="s">
        <v>138</v>
      </c>
      <c r="B98" s="281">
        <v>2.31</v>
      </c>
      <c r="C98" t="s">
        <v>85</v>
      </c>
      <c r="D98" t="s">
        <v>163</v>
      </c>
    </row>
    <row r="99" spans="1:4">
      <c r="A99" s="18" t="s">
        <v>164</v>
      </c>
      <c r="B99" s="277">
        <v>2.4750000000000001</v>
      </c>
      <c r="C99" t="s">
        <v>85</v>
      </c>
      <c r="D99" t="s">
        <v>165</v>
      </c>
    </row>
    <row r="100" spans="1:4">
      <c r="A100" s="18" t="s">
        <v>166</v>
      </c>
      <c r="B100" s="277">
        <v>1.1880000000000002</v>
      </c>
      <c r="C100" t="s">
        <v>85</v>
      </c>
    </row>
    <row r="101" spans="1:4">
      <c r="A101" s="18" t="s">
        <v>167</v>
      </c>
      <c r="B101" s="277">
        <v>0.191</v>
      </c>
      <c r="C101" t="s">
        <v>85</v>
      </c>
    </row>
    <row r="102" spans="1:4">
      <c r="A102" s="18" t="s">
        <v>168</v>
      </c>
      <c r="B102" s="277">
        <v>0.17399999999999999</v>
      </c>
      <c r="C102" t="s">
        <v>85</v>
      </c>
    </row>
    <row r="103" spans="1:4">
      <c r="A103" s="18" t="s">
        <v>132</v>
      </c>
      <c r="B103" s="278">
        <v>7850</v>
      </c>
      <c r="C103" t="s">
        <v>85</v>
      </c>
    </row>
    <row r="104" spans="1:4">
      <c r="A104" s="18" t="s">
        <v>133</v>
      </c>
      <c r="B104" s="281">
        <v>0</v>
      </c>
      <c r="C104" t="s">
        <v>85</v>
      </c>
    </row>
    <row r="105" spans="1:4">
      <c r="A105" s="18" t="s">
        <v>135</v>
      </c>
      <c r="B105" s="281">
        <v>0</v>
      </c>
      <c r="C105" t="s">
        <v>85</v>
      </c>
    </row>
    <row r="106" spans="1:4">
      <c r="A106" s="18" t="s">
        <v>136</v>
      </c>
      <c r="B106" s="281">
        <v>-0.80500000000000005</v>
      </c>
      <c r="C106" t="s">
        <v>85</v>
      </c>
      <c r="D106" t="s">
        <v>169</v>
      </c>
    </row>
    <row r="108" spans="1:4">
      <c r="A108" s="111" t="s">
        <v>387</v>
      </c>
    </row>
    <row r="109" spans="1:4">
      <c r="A109" s="330" t="s">
        <v>388</v>
      </c>
      <c r="B109" s="331">
        <f>'Blade Data'!R32*B10+E8</f>
        <v>32166.678162056698</v>
      </c>
      <c r="C109" t="s">
        <v>117</v>
      </c>
    </row>
    <row r="110" spans="1:4">
      <c r="A110" s="330" t="s">
        <v>389</v>
      </c>
      <c r="B110" s="331">
        <f>E5+E6+E7</f>
        <v>52838.90825962169</v>
      </c>
      <c r="C110" t="s">
        <v>117</v>
      </c>
    </row>
    <row r="111" spans="1:4">
      <c r="A111" s="330" t="s">
        <v>390</v>
      </c>
      <c r="B111" s="331">
        <f>B109+B110</f>
        <v>85005.586421678396</v>
      </c>
      <c r="C111" t="s">
        <v>117</v>
      </c>
    </row>
    <row r="112" spans="1:4">
      <c r="A112" s="18" t="s">
        <v>397</v>
      </c>
      <c r="B112" s="331">
        <f>GECtwrdata!O26</f>
        <v>125363.31583700494</v>
      </c>
      <c r="C112" t="s">
        <v>117</v>
      </c>
    </row>
    <row r="113" spans="1:13">
      <c r="A113" t="s">
        <v>347</v>
      </c>
      <c r="H113" t="s">
        <v>319</v>
      </c>
      <c r="I113" s="182"/>
      <c r="J113" s="182"/>
    </row>
    <row r="114" spans="1:13" ht="14.25">
      <c r="A114" s="183"/>
      <c r="B114" s="184"/>
      <c r="C114" s="185" t="s">
        <v>320</v>
      </c>
      <c r="D114" s="186"/>
      <c r="E114" s="184"/>
      <c r="F114" s="187" t="s">
        <v>321</v>
      </c>
      <c r="G114" s="188"/>
      <c r="H114" s="183"/>
      <c r="I114" s="189" t="s">
        <v>332</v>
      </c>
      <c r="J114" s="189" t="s">
        <v>333</v>
      </c>
      <c r="K114" s="190" t="s">
        <v>334</v>
      </c>
    </row>
    <row r="115" spans="1:13" ht="13.5">
      <c r="A115" s="191" t="s">
        <v>87</v>
      </c>
      <c r="B115" s="175" t="s">
        <v>335</v>
      </c>
      <c r="C115" s="175" t="s">
        <v>336</v>
      </c>
      <c r="D115" s="176" t="s">
        <v>337</v>
      </c>
      <c r="E115" s="176" t="s">
        <v>338</v>
      </c>
      <c r="F115" s="175" t="s">
        <v>339</v>
      </c>
      <c r="G115" s="192" t="s">
        <v>340</v>
      </c>
      <c r="H115" s="191" t="s">
        <v>87</v>
      </c>
      <c r="I115" s="175" t="s">
        <v>341</v>
      </c>
      <c r="J115" s="175" t="s">
        <v>341</v>
      </c>
      <c r="K115" s="193" t="s">
        <v>341</v>
      </c>
    </row>
    <row r="116" spans="1:13" ht="12">
      <c r="A116" s="282">
        <v>7.0000000000000007E-2</v>
      </c>
      <c r="B116" s="283">
        <v>952.73170702154005</v>
      </c>
      <c r="C116" s="284">
        <v>4314766.098439455</v>
      </c>
      <c r="D116" s="285">
        <v>3620</v>
      </c>
      <c r="E116" s="286">
        <v>3620</v>
      </c>
      <c r="F116" s="284">
        <v>4314766.098439455</v>
      </c>
      <c r="G116" s="287">
        <v>3620</v>
      </c>
      <c r="H116" s="288">
        <v>7.0000000000000007E-2</v>
      </c>
      <c r="I116" s="289">
        <v>8.3897942957076286E-4</v>
      </c>
      <c r="J116" s="289">
        <v>8.3897942957076286E-4</v>
      </c>
      <c r="K116" s="290">
        <v>8.3897942957076286E-4</v>
      </c>
    </row>
    <row r="117" spans="1:13" ht="12">
      <c r="A117" s="291">
        <v>0.25</v>
      </c>
      <c r="B117" s="283">
        <v>404.82301427952984</v>
      </c>
      <c r="C117" s="284">
        <v>2429500</v>
      </c>
      <c r="D117" s="285">
        <v>3620</v>
      </c>
      <c r="E117" s="286">
        <v>3891.6881914728747</v>
      </c>
      <c r="F117" s="284">
        <v>381175.3719549317</v>
      </c>
      <c r="G117" s="287">
        <v>960.13709169347362</v>
      </c>
      <c r="H117" s="292">
        <v>0.25</v>
      </c>
      <c r="I117" s="284">
        <v>1.4900185223296974E-3</v>
      </c>
      <c r="J117" s="284">
        <v>1.6018473724934655E-3</v>
      </c>
      <c r="K117" s="293">
        <v>2.5188854326270468E-3</v>
      </c>
    </row>
    <row r="118" spans="1:13" ht="12">
      <c r="A118" s="291">
        <v>0.5</v>
      </c>
      <c r="B118" s="283">
        <v>250.47067332126738</v>
      </c>
      <c r="C118" s="284">
        <v>1087060</v>
      </c>
      <c r="D118" s="285">
        <v>3620</v>
      </c>
      <c r="E118" s="286">
        <v>3826.5675588601162</v>
      </c>
      <c r="F118" s="284">
        <v>176817.62236228006</v>
      </c>
      <c r="G118" s="287">
        <v>960.13709169347362</v>
      </c>
      <c r="H118" s="292">
        <v>0.5</v>
      </c>
      <c r="I118" s="284">
        <v>3.3300829761006754E-3</v>
      </c>
      <c r="J118" s="284">
        <v>3.5201070399611028E-3</v>
      </c>
      <c r="K118" s="293">
        <v>5.4300984192981469E-3</v>
      </c>
    </row>
    <row r="119" spans="1:13" ht="12">
      <c r="A119" s="294">
        <v>0.75</v>
      </c>
      <c r="B119" s="295">
        <v>152.6490092237247</v>
      </c>
      <c r="C119" s="296">
        <v>273460</v>
      </c>
      <c r="D119" s="297">
        <v>3620</v>
      </c>
      <c r="E119" s="298">
        <v>3819.072160210982</v>
      </c>
      <c r="F119" s="296">
        <v>66873.396648013819</v>
      </c>
      <c r="G119" s="299">
        <v>960.13709169347362</v>
      </c>
      <c r="H119" s="300">
        <v>0.75</v>
      </c>
      <c r="I119" s="296">
        <v>1.3237767863672933E-2</v>
      </c>
      <c r="J119" s="296">
        <v>1.3965743290466548E-2</v>
      </c>
      <c r="K119" s="301">
        <v>1.4357534383173736E-2</v>
      </c>
    </row>
    <row r="121" spans="1:13">
      <c r="A121" t="s">
        <v>348</v>
      </c>
    </row>
    <row r="122" spans="1:13" ht="13.5">
      <c r="A122" s="183"/>
      <c r="B122" s="187" t="s">
        <v>88</v>
      </c>
      <c r="C122" s="187" t="s">
        <v>322</v>
      </c>
      <c r="D122" s="187" t="s">
        <v>89</v>
      </c>
      <c r="E122" s="399" t="s">
        <v>456</v>
      </c>
      <c r="F122" s="187" t="s">
        <v>324</v>
      </c>
      <c r="G122" s="187" t="s">
        <v>325</v>
      </c>
      <c r="H122" s="399" t="s">
        <v>457</v>
      </c>
      <c r="I122" s="187" t="s">
        <v>342</v>
      </c>
      <c r="J122" s="187" t="s">
        <v>343</v>
      </c>
      <c r="K122" s="187" t="s">
        <v>113</v>
      </c>
      <c r="L122" s="187" t="s">
        <v>112</v>
      </c>
      <c r="M122" s="195" t="s">
        <v>344</v>
      </c>
    </row>
    <row r="123" spans="1:13" ht="13.5">
      <c r="A123" s="191" t="s">
        <v>87</v>
      </c>
      <c r="B123" s="175" t="s">
        <v>90</v>
      </c>
      <c r="C123" s="175" t="s">
        <v>327</v>
      </c>
      <c r="D123" s="175" t="s">
        <v>328</v>
      </c>
      <c r="E123" s="175" t="s">
        <v>329</v>
      </c>
      <c r="F123" s="175" t="s">
        <v>329</v>
      </c>
      <c r="G123" s="175" t="s">
        <v>329</v>
      </c>
      <c r="H123" s="175" t="s">
        <v>330</v>
      </c>
      <c r="I123" s="175" t="s">
        <v>345</v>
      </c>
      <c r="J123" s="175" t="s">
        <v>345</v>
      </c>
      <c r="K123" s="175" t="s">
        <v>331</v>
      </c>
      <c r="L123" s="175" t="s">
        <v>345</v>
      </c>
      <c r="M123" s="193" t="s">
        <v>356</v>
      </c>
    </row>
    <row r="124" spans="1:13">
      <c r="A124" s="302">
        <v>0.05</v>
      </c>
      <c r="B124" s="303">
        <v>1.9250698501397006</v>
      </c>
      <c r="C124" s="304">
        <v>1</v>
      </c>
      <c r="D124" s="304" t="s">
        <v>377</v>
      </c>
      <c r="E124" s="336">
        <v>0.25</v>
      </c>
      <c r="F124" s="303">
        <v>0.5</v>
      </c>
      <c r="G124" s="303">
        <v>0.5</v>
      </c>
      <c r="H124" s="306">
        <v>1447.6067650097025</v>
      </c>
      <c r="I124" s="307">
        <v>7681455580.9267292</v>
      </c>
      <c r="J124" s="307">
        <v>7681455580.9267292</v>
      </c>
      <c r="K124" s="307">
        <v>17152702552.539173</v>
      </c>
      <c r="L124" s="307">
        <v>2655231266.008985</v>
      </c>
      <c r="M124" s="308">
        <v>1292.0872285403536</v>
      </c>
    </row>
    <row r="125" spans="1:13">
      <c r="A125" s="282">
        <v>7.0000000000000007E-2</v>
      </c>
      <c r="B125" s="309">
        <v>1.8895199390398785</v>
      </c>
      <c r="C125" s="310">
        <v>1</v>
      </c>
      <c r="D125" s="310" t="s">
        <v>377</v>
      </c>
      <c r="E125" s="336">
        <v>0.25</v>
      </c>
      <c r="F125" s="309">
        <v>0.5</v>
      </c>
      <c r="G125" s="309">
        <v>0.5</v>
      </c>
      <c r="H125" s="311">
        <v>175.09526752452746</v>
      </c>
      <c r="I125" s="312">
        <v>1135890133.898103</v>
      </c>
      <c r="J125" s="312">
        <v>1135890133.898103</v>
      </c>
      <c r="K125" s="312">
        <v>2564102972.7290158</v>
      </c>
      <c r="L125" s="312">
        <v>396922874.29357898</v>
      </c>
      <c r="M125" s="313">
        <v>156.28440292953599</v>
      </c>
    </row>
    <row r="126" spans="1:13">
      <c r="A126" s="291">
        <v>0.25</v>
      </c>
      <c r="B126" s="309">
        <v>2.8001016002032006</v>
      </c>
      <c r="C126" s="310">
        <v>0.3</v>
      </c>
      <c r="D126" s="310">
        <v>4.0013725457641511</v>
      </c>
      <c r="E126" s="305">
        <v>0.34</v>
      </c>
      <c r="F126" s="309">
        <v>0.41002988816858021</v>
      </c>
      <c r="G126" s="309">
        <v>0.32873282532820286</v>
      </c>
      <c r="H126" s="311">
        <v>186.9057949192036</v>
      </c>
      <c r="I126" s="312">
        <v>271763137.89022917</v>
      </c>
      <c r="J126" s="312">
        <v>703333384.04530549</v>
      </c>
      <c r="K126" s="314">
        <v>2443063660.8188953</v>
      </c>
      <c r="L126" s="314">
        <v>18842756.85303637</v>
      </c>
      <c r="M126" s="315">
        <v>84.977866851913092</v>
      </c>
    </row>
    <row r="127" spans="1:13">
      <c r="A127" s="291">
        <v>0.5</v>
      </c>
      <c r="B127" s="309">
        <v>2.1468122936245875</v>
      </c>
      <c r="C127" s="310">
        <v>0.24</v>
      </c>
      <c r="D127" s="310">
        <v>6.7200108877128066</v>
      </c>
      <c r="E127" s="305">
        <v>0.31</v>
      </c>
      <c r="F127" s="309">
        <v>0.38649869580913698</v>
      </c>
      <c r="G127" s="309">
        <v>0.3240414781728897</v>
      </c>
      <c r="H127" s="311">
        <v>138.12296357376664</v>
      </c>
      <c r="I127" s="312">
        <v>75234813.639765084</v>
      </c>
      <c r="J127" s="312">
        <v>255870093.3882812</v>
      </c>
      <c r="K127" s="314">
        <v>1809554986.9197025</v>
      </c>
      <c r="L127" s="314">
        <v>8477345.5047051143</v>
      </c>
      <c r="M127" s="315">
        <v>30.021881657931356</v>
      </c>
    </row>
    <row r="128" spans="1:13">
      <c r="A128" s="291">
        <v>0.75</v>
      </c>
      <c r="B128" s="309">
        <v>1.4937769875539753</v>
      </c>
      <c r="C128" s="310">
        <v>0.21</v>
      </c>
      <c r="D128" s="310">
        <v>6.2038591936354734</v>
      </c>
      <c r="E128" s="305">
        <v>0.28000000000000003</v>
      </c>
      <c r="F128" s="309">
        <v>0.40257796771355664</v>
      </c>
      <c r="G128" s="309">
        <v>0.327834346949612</v>
      </c>
      <c r="H128" s="311">
        <v>61.988105452646913</v>
      </c>
      <c r="I128" s="312">
        <v>11534432.983097235</v>
      </c>
      <c r="J128" s="312">
        <v>65848849.292116806</v>
      </c>
      <c r="K128" s="314">
        <v>788312554.19834387</v>
      </c>
      <c r="L128" s="314">
        <v>1678043.4287947295</v>
      </c>
      <c r="M128" s="315">
        <v>6.9998727386933259</v>
      </c>
    </row>
    <row r="129" spans="1:13">
      <c r="A129" s="316">
        <v>1</v>
      </c>
      <c r="B129" s="317">
        <v>0.90601981203962423</v>
      </c>
      <c r="C129" s="318">
        <v>0.16</v>
      </c>
      <c r="D129" s="318">
        <v>0</v>
      </c>
      <c r="E129" s="317">
        <v>0.25</v>
      </c>
      <c r="F129" s="317">
        <v>0.49249999999999999</v>
      </c>
      <c r="G129" s="317">
        <v>0.35780000000000001</v>
      </c>
      <c r="H129" s="319">
        <v>11.352890666908433</v>
      </c>
      <c r="I129" s="320">
        <v>231293.14864714985</v>
      </c>
      <c r="J129" s="320">
        <v>7874070.2274504323</v>
      </c>
      <c r="K129" s="321">
        <v>118472290.90243222</v>
      </c>
      <c r="L129" s="321">
        <v>179433.04791581735</v>
      </c>
      <c r="M129" s="322">
        <v>0.76662287964958964</v>
      </c>
    </row>
    <row r="131" spans="1:13">
      <c r="B131" s="18" t="s">
        <v>349</v>
      </c>
      <c r="C131" s="198"/>
      <c r="D131" t="s">
        <v>350</v>
      </c>
      <c r="H131" t="s">
        <v>415</v>
      </c>
    </row>
    <row r="133" spans="1:13">
      <c r="A133" t="s">
        <v>368</v>
      </c>
    </row>
    <row r="134" spans="1:13">
      <c r="A134" s="183"/>
      <c r="B134" s="229" t="s">
        <v>363</v>
      </c>
      <c r="C134" s="401" t="s">
        <v>489</v>
      </c>
      <c r="D134" s="402"/>
    </row>
    <row r="135" spans="1:13" ht="12">
      <c r="A135" s="191" t="s">
        <v>87</v>
      </c>
      <c r="B135" s="232" t="s">
        <v>366</v>
      </c>
      <c r="C135" s="224"/>
      <c r="D135" s="225"/>
    </row>
    <row r="136" spans="1:13">
      <c r="A136" s="235">
        <f t="shared" ref="A136:A141" si="0">A124</f>
        <v>0.05</v>
      </c>
      <c r="B136" s="255">
        <v>10.5</v>
      </c>
      <c r="C136" s="323"/>
      <c r="D136" s="342">
        <v>1</v>
      </c>
    </row>
    <row r="137" spans="1:13">
      <c r="A137" s="240">
        <f t="shared" si="0"/>
        <v>7.0000000000000007E-2</v>
      </c>
      <c r="B137" s="256">
        <v>10.5</v>
      </c>
      <c r="C137" s="324"/>
      <c r="D137" s="344">
        <v>1</v>
      </c>
    </row>
    <row r="138" spans="1:13">
      <c r="A138" s="240">
        <f t="shared" si="0"/>
        <v>0.25</v>
      </c>
      <c r="B138" s="326">
        <v>10.5</v>
      </c>
      <c r="C138" s="346"/>
      <c r="D138" s="344">
        <v>2</v>
      </c>
    </row>
    <row r="139" spans="1:13">
      <c r="A139" s="240">
        <f t="shared" si="0"/>
        <v>0.5</v>
      </c>
      <c r="B139" s="326">
        <v>2.5</v>
      </c>
      <c r="C139" s="324"/>
      <c r="D139" s="344">
        <v>2.5</v>
      </c>
    </row>
    <row r="140" spans="1:13">
      <c r="A140" s="240">
        <f t="shared" si="0"/>
        <v>0.75</v>
      </c>
      <c r="B140" s="326">
        <v>0</v>
      </c>
      <c r="C140" s="324"/>
      <c r="D140" s="344">
        <v>3</v>
      </c>
    </row>
    <row r="141" spans="1:13">
      <c r="A141" s="246">
        <f t="shared" si="0"/>
        <v>1</v>
      </c>
      <c r="B141" s="327">
        <v>-0.6</v>
      </c>
      <c r="C141" s="325"/>
      <c r="D141" s="347">
        <v>4</v>
      </c>
    </row>
    <row r="143" spans="1:13" ht="12">
      <c r="A143" s="337" t="s">
        <v>401</v>
      </c>
      <c r="B143" s="338" t="s">
        <v>402</v>
      </c>
      <c r="C143" s="339"/>
    </row>
    <row r="144" spans="1:13">
      <c r="A144" s="340">
        <v>1</v>
      </c>
      <c r="B144" s="341"/>
      <c r="C144" s="342" t="s">
        <v>378</v>
      </c>
      <c r="E144" s="360"/>
    </row>
    <row r="145" spans="1:7">
      <c r="A145" s="340">
        <v>2</v>
      </c>
      <c r="B145" s="343"/>
      <c r="C145" s="344" t="s">
        <v>410</v>
      </c>
      <c r="E145" s="353" t="s">
        <v>413</v>
      </c>
      <c r="F145" s="354"/>
      <c r="G145" s="354"/>
    </row>
    <row r="146" spans="1:7">
      <c r="A146" s="340">
        <v>3</v>
      </c>
      <c r="B146" s="343"/>
      <c r="C146" s="344" t="s">
        <v>411</v>
      </c>
      <c r="E146" s="353" t="s">
        <v>413</v>
      </c>
      <c r="F146" s="354"/>
      <c r="G146" s="354"/>
    </row>
    <row r="147" spans="1:7">
      <c r="A147" s="345">
        <v>4</v>
      </c>
      <c r="B147" s="366"/>
      <c r="C147" s="347" t="s">
        <v>412</v>
      </c>
      <c r="E147" s="353" t="s">
        <v>413</v>
      </c>
      <c r="F147" s="354"/>
      <c r="G147" s="354"/>
    </row>
    <row r="148" spans="1:7" ht="12" thickBot="1"/>
    <row r="149" spans="1:7" ht="12" thickBot="1">
      <c r="A149" s="404" t="s">
        <v>403</v>
      </c>
      <c r="B149" s="406"/>
      <c r="C149" s="407"/>
      <c r="E149" s="353" t="s">
        <v>406</v>
      </c>
      <c r="F149" s="354"/>
    </row>
    <row r="150" spans="1:7" ht="12" thickBot="1">
      <c r="A150" s="379" t="s">
        <v>35</v>
      </c>
      <c r="B150" s="380" t="s">
        <v>36</v>
      </c>
      <c r="C150" s="380" t="s">
        <v>37</v>
      </c>
      <c r="E150" s="353" t="s">
        <v>406</v>
      </c>
      <c r="F150" s="354"/>
    </row>
    <row r="151" spans="1:7" ht="12" thickBot="1">
      <c r="A151" s="376">
        <v>3.882E-2</v>
      </c>
      <c r="B151" s="377">
        <v>3.882E-2</v>
      </c>
      <c r="C151" s="378">
        <v>5.8999999999999997E-2</v>
      </c>
      <c r="E151" s="353" t="s">
        <v>406</v>
      </c>
      <c r="F151" s="354"/>
    </row>
    <row r="152" spans="1:7" ht="12" thickBot="1"/>
    <row r="153" spans="1:7" ht="12" thickBot="1">
      <c r="A153" s="404" t="s">
        <v>414</v>
      </c>
      <c r="B153" s="405"/>
      <c r="C153" s="368"/>
      <c r="E153" s="353" t="s">
        <v>406</v>
      </c>
      <c r="F153" s="354"/>
    </row>
    <row r="154" spans="1:7">
      <c r="A154" s="367" t="s">
        <v>50</v>
      </c>
      <c r="B154" s="371">
        <v>3.4349999999999999E-2</v>
      </c>
      <c r="C154" s="369"/>
      <c r="E154" s="353" t="s">
        <v>406</v>
      </c>
      <c r="F154" s="354"/>
    </row>
    <row r="155" spans="1:7">
      <c r="A155" s="372" t="s">
        <v>51</v>
      </c>
      <c r="B155" s="373">
        <v>3.4349999999999999E-2</v>
      </c>
      <c r="C155" s="370"/>
      <c r="E155" s="353" t="s">
        <v>406</v>
      </c>
      <c r="F155" s="354"/>
    </row>
    <row r="156" spans="1:7">
      <c r="A156" s="374" t="s">
        <v>52</v>
      </c>
      <c r="B156" s="373">
        <v>3.4349999999999999E-2</v>
      </c>
      <c r="E156" s="353" t="s">
        <v>406</v>
      </c>
      <c r="F156" s="354"/>
    </row>
    <row r="157" spans="1:7" ht="12" thickBot="1">
      <c r="A157" s="375" t="s">
        <v>53</v>
      </c>
      <c r="B157" s="362">
        <v>3.4349999999999999E-2</v>
      </c>
      <c r="E157" s="353" t="s">
        <v>406</v>
      </c>
      <c r="F157" s="354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7" sqref="F7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310</v>
      </c>
    </row>
    <row r="2" spans="2:15">
      <c r="H2" t="s">
        <v>311</v>
      </c>
    </row>
    <row r="3" spans="2:15">
      <c r="H3" t="s">
        <v>312</v>
      </c>
    </row>
    <row r="4" spans="2:15">
      <c r="H4" t="s">
        <v>313</v>
      </c>
    </row>
    <row r="5" spans="2:15">
      <c r="B5" t="s">
        <v>94</v>
      </c>
      <c r="C5" s="152">
        <f>'Main Page'!B9</f>
        <v>84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2">
        <f>C5-'Main Page'!B46</f>
        <v>82.39</v>
      </c>
      <c r="D6" t="s">
        <v>85</v>
      </c>
      <c r="E6" t="s">
        <v>103</v>
      </c>
      <c r="F6" s="151">
        <v>200000000000</v>
      </c>
      <c r="G6" t="s">
        <v>104</v>
      </c>
    </row>
    <row r="7" spans="2:15">
      <c r="B7" t="s">
        <v>96</v>
      </c>
      <c r="C7" s="152">
        <f>'Main Page'!B49</f>
        <v>5.6627999999999998</v>
      </c>
      <c r="D7" t="s">
        <v>85</v>
      </c>
      <c r="E7" t="s">
        <v>105</v>
      </c>
      <c r="F7" s="151">
        <f>F6/2.6</f>
        <v>76923076923.07692</v>
      </c>
      <c r="G7" t="s">
        <v>104</v>
      </c>
    </row>
    <row r="8" spans="2:15">
      <c r="B8" t="s">
        <v>98</v>
      </c>
      <c r="C8" s="152">
        <f>'Main Page'!B47</f>
        <v>2.5649999999999999</v>
      </c>
      <c r="D8" t="s">
        <v>85</v>
      </c>
    </row>
    <row r="9" spans="2:15">
      <c r="B9" t="s">
        <v>99</v>
      </c>
      <c r="C9" s="152">
        <f>'Main Page'!B50</f>
        <v>17.39</v>
      </c>
      <c r="D9" t="s">
        <v>97</v>
      </c>
    </row>
    <row r="10" spans="2:15">
      <c r="B10" t="s">
        <v>100</v>
      </c>
      <c r="C10" s="152">
        <f>'Main Page'!B48</f>
        <v>10.26</v>
      </c>
      <c r="D10" t="s">
        <v>97</v>
      </c>
    </row>
    <row r="11" spans="2:15">
      <c r="B11" t="s">
        <v>385</v>
      </c>
      <c r="C11" s="152">
        <f>'Main Page'!B51</f>
        <v>5</v>
      </c>
      <c r="D11" t="s">
        <v>386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3">
        <f>C$6/B$24*B15</f>
        <v>0</v>
      </c>
      <c r="D15" s="154">
        <f>C$7-(C$7-C$8)*C15/C$6</f>
        <v>5.6627999999999998</v>
      </c>
      <c r="E15" s="155">
        <f>C$9-(C$9-C$10)*C15/C$6</f>
        <v>17.39</v>
      </c>
      <c r="F15" s="153">
        <f>PI()*D15*E15/1000</f>
        <v>0.30937176718143256</v>
      </c>
      <c r="G15" s="155">
        <f>F15*F$5*(C$11/100+1)</f>
        <v>2549.9967909929578</v>
      </c>
      <c r="H15" s="156">
        <f>F15*F$6</f>
        <v>61874353436.286514</v>
      </c>
      <c r="I15" s="153">
        <f>F15*D15^2/4</f>
        <v>2.4801796144311847</v>
      </c>
      <c r="J15" s="155">
        <f>I15*F$5</f>
        <v>19469.409973284801</v>
      </c>
      <c r="K15" s="156">
        <f>I15*F$7</f>
        <v>190783047263.93729</v>
      </c>
      <c r="L15" s="153">
        <f>I15/2</f>
        <v>1.2400898072155924</v>
      </c>
      <c r="M15" s="155">
        <f>J15/2</f>
        <v>9734.7049866424004</v>
      </c>
      <c r="N15" s="156">
        <f>L15*F$6</f>
        <v>248017961443.11847</v>
      </c>
      <c r="O15" s="331">
        <f>G15*(C16-C15)/2</f>
        <v>11671.90197832832</v>
      </c>
    </row>
    <row r="16" spans="2:15">
      <c r="B16">
        <f>B15+1</f>
        <v>1</v>
      </c>
      <c r="C16" s="153">
        <f t="shared" ref="C16:C24" si="0">C$6/B$24*B16</f>
        <v>9.1544444444444437</v>
      </c>
      <c r="D16" s="154">
        <f t="shared" ref="D16:D24" si="1">C$7-(C$7-C$8)*C16/C$6</f>
        <v>5.3186</v>
      </c>
      <c r="E16" s="155">
        <f t="shared" ref="E16:E24" si="2">C$9-(C$9-C$10)*C16/C$6</f>
        <v>16.597777777777779</v>
      </c>
      <c r="F16" s="153">
        <f t="shared" ref="F16:F24" si="3">PI()*D16*E16/1000</f>
        <v>0.27733018897791378</v>
      </c>
      <c r="G16" s="155">
        <f t="shared" ref="G16:G24" si="4">F16*F$5*(C$11/100+1)</f>
        <v>2285.8940826504545</v>
      </c>
      <c r="H16" s="156">
        <f>F16*F$6</f>
        <v>55466037795.582756</v>
      </c>
      <c r="I16" s="153">
        <f t="shared" ref="I16:I24" si="5">F16*D16^2/4</f>
        <v>1.9612448434001657</v>
      </c>
      <c r="J16" s="155">
        <f t="shared" ref="J16:J24" si="6">I16*F$5</f>
        <v>15395.7720206913</v>
      </c>
      <c r="K16" s="156">
        <f t="shared" ref="K16:K24" si="7">I16*F$7</f>
        <v>150864987953.85889</v>
      </c>
      <c r="L16" s="153">
        <f t="shared" ref="L16:L24" si="8">I16/2</f>
        <v>0.98062242170008285</v>
      </c>
      <c r="M16" s="155">
        <f t="shared" ref="M16:M24" si="9">J16/2</f>
        <v>7697.88601034565</v>
      </c>
      <c r="N16" s="156">
        <f t="shared" ref="N16:N24" si="10">L16*F$6</f>
        <v>196124484340.01657</v>
      </c>
      <c r="O16" s="331">
        <f>G16*(C17-C15)/2</f>
        <v>20926.09038550788</v>
      </c>
    </row>
    <row r="17" spans="2:15">
      <c r="B17">
        <f t="shared" ref="B17:B24" si="11">B16+1</f>
        <v>2</v>
      </c>
      <c r="C17" s="153">
        <f t="shared" si="0"/>
        <v>18.308888888888887</v>
      </c>
      <c r="D17" s="154">
        <f t="shared" si="1"/>
        <v>4.9744000000000002</v>
      </c>
      <c r="E17" s="155">
        <f t="shared" si="2"/>
        <v>15.805555555555557</v>
      </c>
      <c r="F17" s="153">
        <f t="shared" si="3"/>
        <v>0.24700192789538086</v>
      </c>
      <c r="G17" s="155">
        <f t="shared" si="4"/>
        <v>2035.9133906776767</v>
      </c>
      <c r="H17" s="156">
        <f t="shared" ref="H17:H24" si="12">F17*F$6</f>
        <v>49400385579.076172</v>
      </c>
      <c r="I17" s="153">
        <f t="shared" si="5"/>
        <v>1.5279943947566925</v>
      </c>
      <c r="J17" s="155">
        <f t="shared" si="6"/>
        <v>11994.755998840037</v>
      </c>
      <c r="K17" s="156">
        <f t="shared" si="7"/>
        <v>117538030365.89941</v>
      </c>
      <c r="L17" s="153">
        <f t="shared" si="8"/>
        <v>0.76399719737834626</v>
      </c>
      <c r="M17" s="155">
        <f t="shared" si="9"/>
        <v>5997.3779994200186</v>
      </c>
      <c r="N17" s="156">
        <f t="shared" si="10"/>
        <v>152799439475.66925</v>
      </c>
      <c r="O17" s="331">
        <f t="shared" ref="O17:O23" si="13">G17*(C18-C16)/2</f>
        <v>18637.656028659309</v>
      </c>
    </row>
    <row r="18" spans="2:15">
      <c r="B18">
        <f t="shared" si="11"/>
        <v>3</v>
      </c>
      <c r="C18" s="153">
        <f t="shared" si="0"/>
        <v>27.463333333333331</v>
      </c>
      <c r="D18" s="154">
        <f t="shared" si="1"/>
        <v>4.6302000000000003</v>
      </c>
      <c r="E18" s="155">
        <f t="shared" si="2"/>
        <v>15.013333333333334</v>
      </c>
      <c r="F18" s="153">
        <f t="shared" si="3"/>
        <v>0.21838698393383393</v>
      </c>
      <c r="G18" s="155">
        <f t="shared" si="4"/>
        <v>1800.0547150746263</v>
      </c>
      <c r="H18" s="156">
        <f t="shared" si="12"/>
        <v>43677396786.766785</v>
      </c>
      <c r="I18" s="153">
        <f t="shared" si="5"/>
        <v>1.1704860993302326</v>
      </c>
      <c r="J18" s="155">
        <f t="shared" si="6"/>
        <v>9188.3158797423257</v>
      </c>
      <c r="K18" s="156">
        <f t="shared" si="7"/>
        <v>90037392256.171738</v>
      </c>
      <c r="L18" s="153">
        <f t="shared" si="8"/>
        <v>0.58524304966511631</v>
      </c>
      <c r="M18" s="155">
        <f t="shared" si="9"/>
        <v>4594.1579398711629</v>
      </c>
      <c r="N18" s="156">
        <f t="shared" si="10"/>
        <v>117048609933.02327</v>
      </c>
      <c r="O18" s="331">
        <f t="shared" si="13"/>
        <v>16478.500886110938</v>
      </c>
    </row>
    <row r="19" spans="2:15">
      <c r="B19">
        <f t="shared" si="11"/>
        <v>4</v>
      </c>
      <c r="C19" s="153">
        <f t="shared" si="0"/>
        <v>36.617777777777775</v>
      </c>
      <c r="D19" s="154">
        <f t="shared" si="1"/>
        <v>4.2859999999999996</v>
      </c>
      <c r="E19" s="155">
        <f t="shared" si="2"/>
        <v>14.221111111111112</v>
      </c>
      <c r="F19" s="153">
        <f t="shared" si="3"/>
        <v>0.19148535709327294</v>
      </c>
      <c r="G19" s="155">
        <f t="shared" si="4"/>
        <v>1578.3180558413023</v>
      </c>
      <c r="H19" s="156">
        <f t="shared" si="12"/>
        <v>38297071418.654587</v>
      </c>
      <c r="I19" s="153">
        <f t="shared" si="5"/>
        <v>0.87938673669764411</v>
      </c>
      <c r="J19" s="155">
        <f t="shared" si="6"/>
        <v>6903.1858830765059</v>
      </c>
      <c r="K19" s="156">
        <f t="shared" si="7"/>
        <v>67645133592.126465</v>
      </c>
      <c r="L19" s="153">
        <f t="shared" si="8"/>
        <v>0.43969336834882206</v>
      </c>
      <c r="M19" s="155">
        <f t="shared" si="9"/>
        <v>3451.5929415382529</v>
      </c>
      <c r="N19" s="156">
        <f t="shared" si="10"/>
        <v>87938673669.764404</v>
      </c>
      <c r="O19" s="331">
        <f t="shared" si="13"/>
        <v>14448.624957862765</v>
      </c>
    </row>
    <row r="20" spans="2:15">
      <c r="B20">
        <f t="shared" si="11"/>
        <v>5</v>
      </c>
      <c r="C20" s="153">
        <f t="shared" si="0"/>
        <v>45.772222222222219</v>
      </c>
      <c r="D20" s="154">
        <f t="shared" si="1"/>
        <v>3.9417999999999997</v>
      </c>
      <c r="E20" s="155">
        <f t="shared" si="2"/>
        <v>13.428888888888888</v>
      </c>
      <c r="F20" s="153">
        <f t="shared" si="3"/>
        <v>0.16629704737369785</v>
      </c>
      <c r="G20" s="155">
        <f t="shared" si="4"/>
        <v>1370.7034129777046</v>
      </c>
      <c r="H20" s="156">
        <f t="shared" si="12"/>
        <v>33259409474.739571</v>
      </c>
      <c r="I20" s="153">
        <f t="shared" si="5"/>
        <v>0.64597203518317947</v>
      </c>
      <c r="J20" s="155">
        <f t="shared" si="6"/>
        <v>5070.8804761879592</v>
      </c>
      <c r="K20" s="156">
        <f t="shared" si="7"/>
        <v>49690156552.552261</v>
      </c>
      <c r="L20" s="153">
        <f t="shared" si="8"/>
        <v>0.32298601759158974</v>
      </c>
      <c r="M20" s="155">
        <f t="shared" si="9"/>
        <v>2535.4402380939796</v>
      </c>
      <c r="N20" s="156">
        <f t="shared" si="10"/>
        <v>64597203518.317947</v>
      </c>
      <c r="O20" s="331">
        <f t="shared" si="13"/>
        <v>12548.028243914787</v>
      </c>
    </row>
    <row r="21" spans="2:15">
      <c r="B21">
        <f t="shared" si="11"/>
        <v>6</v>
      </c>
      <c r="C21" s="153">
        <f t="shared" si="0"/>
        <v>54.926666666666662</v>
      </c>
      <c r="D21" s="154">
        <f t="shared" si="1"/>
        <v>3.5976000000000004</v>
      </c>
      <c r="E21" s="155">
        <f t="shared" si="2"/>
        <v>12.636666666666667</v>
      </c>
      <c r="F21" s="153">
        <f t="shared" si="3"/>
        <v>0.14282205477510881</v>
      </c>
      <c r="G21" s="155">
        <f t="shared" si="4"/>
        <v>1177.2107864838345</v>
      </c>
      <c r="H21" s="156">
        <f t="shared" si="12"/>
        <v>28564410955.021763</v>
      </c>
      <c r="I21" s="153">
        <f t="shared" si="5"/>
        <v>0.46212667185848305</v>
      </c>
      <c r="J21" s="155">
        <f t="shared" si="6"/>
        <v>3627.694374089092</v>
      </c>
      <c r="K21" s="156">
        <f t="shared" si="7"/>
        <v>35548205527.575615</v>
      </c>
      <c r="L21" s="153">
        <f t="shared" si="8"/>
        <v>0.23106333592924153</v>
      </c>
      <c r="M21" s="155">
        <f t="shared" si="9"/>
        <v>1813.847187044546</v>
      </c>
      <c r="N21" s="156">
        <f t="shared" si="10"/>
        <v>46212667185.848305</v>
      </c>
      <c r="O21" s="331">
        <f t="shared" si="13"/>
        <v>10776.710744267017</v>
      </c>
    </row>
    <row r="22" spans="2:15">
      <c r="B22">
        <f t="shared" si="11"/>
        <v>7</v>
      </c>
      <c r="C22" s="153">
        <f t="shared" si="0"/>
        <v>64.081111111111113</v>
      </c>
      <c r="D22" s="154">
        <f t="shared" si="1"/>
        <v>3.2533999999999996</v>
      </c>
      <c r="E22" s="155">
        <f t="shared" si="2"/>
        <v>11.844444444444445</v>
      </c>
      <c r="F22" s="153">
        <f t="shared" si="3"/>
        <v>0.12106037929750565</v>
      </c>
      <c r="G22" s="155">
        <f t="shared" si="4"/>
        <v>997.84017635969042</v>
      </c>
      <c r="H22" s="156">
        <f t="shared" si="12"/>
        <v>24212075859.501129</v>
      </c>
      <c r="I22" s="153">
        <f t="shared" si="5"/>
        <v>0.32034427254259068</v>
      </c>
      <c r="J22" s="155">
        <f t="shared" si="6"/>
        <v>2514.702539459337</v>
      </c>
      <c r="K22" s="156">
        <f t="shared" si="7"/>
        <v>24641867118.66082</v>
      </c>
      <c r="L22" s="153">
        <f t="shared" si="8"/>
        <v>0.16017213627129534</v>
      </c>
      <c r="M22" s="155">
        <f t="shared" si="9"/>
        <v>1257.3512697296685</v>
      </c>
      <c r="N22" s="156">
        <f t="shared" si="10"/>
        <v>32034427254.259068</v>
      </c>
      <c r="O22" s="331">
        <f t="shared" si="13"/>
        <v>9134.6724589194328</v>
      </c>
    </row>
    <row r="23" spans="2:15">
      <c r="B23">
        <f t="shared" si="11"/>
        <v>8</v>
      </c>
      <c r="C23" s="153">
        <f t="shared" si="0"/>
        <v>73.23555555555555</v>
      </c>
      <c r="D23" s="154">
        <f t="shared" si="1"/>
        <v>2.9092000000000002</v>
      </c>
      <c r="E23" s="155">
        <f t="shared" si="2"/>
        <v>11.052222222222223</v>
      </c>
      <c r="F23" s="153">
        <f t="shared" si="3"/>
        <v>0.10101202094088849</v>
      </c>
      <c r="G23" s="155">
        <f t="shared" si="4"/>
        <v>832.5915826052734</v>
      </c>
      <c r="H23" s="156">
        <f t="shared" si="12"/>
        <v>20202404188.177696</v>
      </c>
      <c r="I23" s="153">
        <f t="shared" si="5"/>
        <v>0.21372741180193261</v>
      </c>
      <c r="J23" s="155">
        <f t="shared" si="6"/>
        <v>1677.760182645171</v>
      </c>
      <c r="K23" s="156">
        <f t="shared" si="7"/>
        <v>16440570138.610201</v>
      </c>
      <c r="L23" s="153">
        <f t="shared" si="8"/>
        <v>0.1068637059009663</v>
      </c>
      <c r="M23" s="155">
        <f t="shared" si="9"/>
        <v>838.88009132258549</v>
      </c>
      <c r="N23" s="156">
        <f t="shared" si="10"/>
        <v>21372741180.19326</v>
      </c>
      <c r="O23" s="331">
        <f t="shared" si="13"/>
        <v>7621.9133878720468</v>
      </c>
    </row>
    <row r="24" spans="2:15">
      <c r="B24">
        <f t="shared" si="11"/>
        <v>9</v>
      </c>
      <c r="C24" s="153">
        <f t="shared" si="0"/>
        <v>82.389999999999986</v>
      </c>
      <c r="D24" s="154">
        <f t="shared" si="1"/>
        <v>2.5650000000000004</v>
      </c>
      <c r="E24" s="155">
        <f t="shared" si="2"/>
        <v>10.260000000000002</v>
      </c>
      <c r="F24" s="153">
        <f t="shared" si="3"/>
        <v>8.2676979705257253E-2</v>
      </c>
      <c r="G24" s="155">
        <f t="shared" si="4"/>
        <v>681.46500522058295</v>
      </c>
      <c r="H24" s="156">
        <f t="shared" si="12"/>
        <v>16535395941.051451</v>
      </c>
      <c r="I24" s="153">
        <f t="shared" si="5"/>
        <v>0.13598761295033032</v>
      </c>
      <c r="J24" s="155">
        <f t="shared" si="6"/>
        <v>1067.502761660093</v>
      </c>
      <c r="K24" s="156">
        <f t="shared" si="7"/>
        <v>10460585611.563871</v>
      </c>
      <c r="L24" s="153">
        <f t="shared" si="8"/>
        <v>6.7993806475165161E-2</v>
      </c>
      <c r="M24" s="155">
        <f t="shared" si="9"/>
        <v>533.75138083004651</v>
      </c>
      <c r="N24" s="156">
        <f t="shared" si="10"/>
        <v>13598761295.033031</v>
      </c>
      <c r="O24" s="331">
        <f>G24*(C24-C23)/2</f>
        <v>3119.2167655624321</v>
      </c>
    </row>
    <row r="25" spans="2:15">
      <c r="O25" s="331"/>
    </row>
    <row r="26" spans="2:15">
      <c r="O26" s="331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Normal="100" workbookViewId="0">
      <selection activeCell="M5" sqref="M5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70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2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3" t="s">
        <v>12</v>
      </c>
      <c r="C5" s="131"/>
      <c r="D5" s="131"/>
      <c r="E5" s="132">
        <f>'Main Page'!B56</f>
        <v>3.5</v>
      </c>
      <c r="F5" s="132">
        <f>'Main Page'!B59</f>
        <v>0.05</v>
      </c>
      <c r="G5" s="131"/>
      <c r="H5" s="135">
        <f>'Main Page'!B60</f>
        <v>7850</v>
      </c>
      <c r="I5" s="387">
        <f>H5*F5*PI()*E5^2</f>
        <v>15105.170177541426</v>
      </c>
      <c r="J5" s="132">
        <f>'Main Page'!B61</f>
        <v>-3.3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29975.370571214964</v>
      </c>
      <c r="N5" s="159">
        <f>M5</f>
        <v>29975.370571214964</v>
      </c>
      <c r="O5" s="159">
        <f>M5</f>
        <v>29975.370571214964</v>
      </c>
      <c r="P5" s="159">
        <f>$I5*((K5-K$14)^2+(L5-L$14)^2)</f>
        <v>0</v>
      </c>
      <c r="Q5" s="159">
        <f>$I5*((L5-L$14)^2+(J5-J$14)^2)</f>
        <v>0</v>
      </c>
      <c r="R5" s="159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3" t="s">
        <v>184</v>
      </c>
      <c r="C6" s="131"/>
      <c r="D6" s="131"/>
      <c r="E6" s="131"/>
      <c r="F6" s="131"/>
      <c r="G6" s="136"/>
      <c r="H6" s="134"/>
      <c r="I6" s="387">
        <f>0.0119*'Main Page'!B13^3</f>
        <v>4081.7000000000003</v>
      </c>
      <c r="J6" s="132">
        <f>'Main Page'!B61</f>
        <v>-3.3</v>
      </c>
      <c r="K6" s="132">
        <f>'Main Page'!B62</f>
        <v>0</v>
      </c>
      <c r="L6" s="132">
        <f>'Main Page'!B63</f>
        <v>0</v>
      </c>
      <c r="M6" s="159">
        <f>I6*E5^2/4</f>
        <v>12500.206250000001</v>
      </c>
      <c r="N6" s="159">
        <f>M6</f>
        <v>12500.206250000001</v>
      </c>
      <c r="O6" s="159">
        <f>N6</f>
        <v>12500.206250000001</v>
      </c>
      <c r="P6" s="159">
        <f>$I6*((K6-K$14)^2+(L6-L$14)^2)</f>
        <v>0</v>
      </c>
      <c r="Q6" s="159">
        <f>$I6*((L6-L$14)^2+(J6-J$14)^2)</f>
        <v>0</v>
      </c>
      <c r="R6" s="159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3" t="s">
        <v>137</v>
      </c>
      <c r="C7" s="132">
        <f>'Main Page'!B66</f>
        <v>1.98</v>
      </c>
      <c r="D7" s="132">
        <f>'Main Page'!B68</f>
        <v>0.28499999999999998</v>
      </c>
      <c r="E7" s="132">
        <f>'Main Page'!B67</f>
        <v>0.60419999999999996</v>
      </c>
      <c r="F7" s="131"/>
      <c r="G7" s="136"/>
      <c r="H7" s="135">
        <f>'Main Page'!B69</f>
        <v>7850</v>
      </c>
      <c r="I7" s="384">
        <f>0.25*PI()*(E7^2-D7^2)*H7*C7</f>
        <v>3464.8709598770956</v>
      </c>
      <c r="J7" s="132">
        <f>0.5*('Main Page'!B74+'Main Page'!B77)</f>
        <v>-1.4850000000000001</v>
      </c>
      <c r="K7" s="132">
        <f>'Main Page'!B70</f>
        <v>0</v>
      </c>
      <c r="L7" s="132">
        <f>'Main Page'!B71</f>
        <v>0</v>
      </c>
      <c r="M7" s="159">
        <f>I7*(E7^2+D7^2)/8</f>
        <v>193.28896990416052</v>
      </c>
      <c r="N7" s="159">
        <f>I7*(E7^2+D7^2+4*C7^2/3)/16</f>
        <v>1228.6178275439274</v>
      </c>
      <c r="O7" s="159">
        <f>I7*(E7^2+D7^2+4*C7^2/3)/16</f>
        <v>1228.6178275439274</v>
      </c>
      <c r="P7" s="159">
        <f>$I7*((K7-K$15)^2+(L7-L$15)^2)</f>
        <v>0</v>
      </c>
      <c r="Q7" s="159">
        <f>$I7*((L7-L$15)^2+(J7-J$15)^2)</f>
        <v>1649.7719637441157</v>
      </c>
      <c r="R7" s="159">
        <f>$I7*((J7-J$15)^2+(K7-K$15)^2)</f>
        <v>1649.7719637441157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3" t="s">
        <v>185</v>
      </c>
      <c r="C8" s="131"/>
      <c r="D8" s="158">
        <f>E7</f>
        <v>0.60419999999999996</v>
      </c>
      <c r="F8" s="131"/>
      <c r="G8" s="131"/>
      <c r="H8" s="138"/>
      <c r="I8" s="384">
        <f>0.00002613*(1000*E7)^2.77</f>
        <v>1321.3260789492929</v>
      </c>
      <c r="J8" s="132">
        <f>'Main Page'!B74</f>
        <v>-2.31</v>
      </c>
      <c r="K8" s="132">
        <f>'Main Page'!B75</f>
        <v>0</v>
      </c>
      <c r="L8" s="132">
        <f>'Main Page'!B76</f>
        <v>0</v>
      </c>
      <c r="M8" s="160">
        <f>I8*D8^2/4</f>
        <v>120.59004501292063</v>
      </c>
      <c r="N8" s="159">
        <f>M8/2</f>
        <v>60.295022506460313</v>
      </c>
      <c r="O8" s="159">
        <f>M8/2</f>
        <v>60.295022506460313</v>
      </c>
      <c r="P8" s="159">
        <f>$I8*((K8-K$15)^2+(L8-L$15)^2)</f>
        <v>0</v>
      </c>
      <c r="Q8" s="159">
        <f>$I8*((L8-L$15)^2+(J8-J$15)^2)</f>
        <v>3032.8636487504127</v>
      </c>
      <c r="R8" s="159">
        <f>$I8*((J8-J$15)^2+(K8-K$15)^2)</f>
        <v>3032.8636487504127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3" t="s">
        <v>186</v>
      </c>
      <c r="C9" s="131"/>
      <c r="D9" s="158">
        <f>E7</f>
        <v>0.60419999999999996</v>
      </c>
      <c r="F9" s="131"/>
      <c r="G9" s="131"/>
      <c r="H9" s="138"/>
      <c r="I9" s="384">
        <f>0.00002613*(1000*E7)^2.77</f>
        <v>1321.3260789492929</v>
      </c>
      <c r="J9" s="132">
        <f>'Main Page'!B77</f>
        <v>-0.66</v>
      </c>
      <c r="K9" s="132">
        <f>'Main Page'!B78</f>
        <v>0</v>
      </c>
      <c r="L9" s="132">
        <f>'Main Page'!B79</f>
        <v>0</v>
      </c>
      <c r="M9" s="160">
        <f>I9*D9^2/4</f>
        <v>120.59004501292063</v>
      </c>
      <c r="N9" s="159">
        <f>M9/2</f>
        <v>60.295022506460313</v>
      </c>
      <c r="O9" s="159">
        <f>M9/2</f>
        <v>60.295022506460313</v>
      </c>
      <c r="P9" s="159">
        <f>$I9*((K9-K$15)^2+(L9-L$15)^2)</f>
        <v>0</v>
      </c>
      <c r="Q9" s="159">
        <f>$I9*((L9-L$15)^2+(J9-J$15)^2)</f>
        <v>24.07020882285633</v>
      </c>
      <c r="R9" s="159">
        <f>$I9*((J9-J$15)^2+(K9-K$15)^2)</f>
        <v>24.07020882285633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349" t="s">
        <v>187</v>
      </c>
      <c r="C10" s="131">
        <f>C24</f>
        <v>0.84</v>
      </c>
      <c r="D10" s="131"/>
      <c r="E10" s="131">
        <f>D24</f>
        <v>0.78750000000000009</v>
      </c>
      <c r="F10" s="128"/>
      <c r="G10" s="128"/>
      <c r="H10" s="137"/>
      <c r="I10" s="384">
        <f>'Main Page'!B82/2</f>
        <v>5301.31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410.95506621093767</v>
      </c>
      <c r="N10" s="159">
        <f>I10*(3*E10^2/4+C10^2)/12</f>
        <v>517.19456110546878</v>
      </c>
      <c r="O10" s="159">
        <f>I10*(3*E10^2/4+C10^2)/12</f>
        <v>517.19456110546878</v>
      </c>
      <c r="P10" s="159">
        <f>$I10*((K10-K$15)^2+(L10-L$15)^2)</f>
        <v>0</v>
      </c>
      <c r="Q10" s="159">
        <f>$I10*((L10-L$15)^2+(J10-J$15)^2)</f>
        <v>3350.3015020074272</v>
      </c>
      <c r="R10" s="159">
        <f>$I10*((J10-J$15)^2+(K10-K$15)^2)</f>
        <v>3350.3015020074272</v>
      </c>
      <c r="S10" s="112" t="s">
        <v>209</v>
      </c>
      <c r="T10" s="113"/>
      <c r="V10" s="112"/>
      <c r="W10" s="112"/>
      <c r="X10" s="112"/>
      <c r="Y10" s="112"/>
    </row>
    <row r="11" spans="1:25" ht="13.15" customHeight="1">
      <c r="A11" s="112"/>
      <c r="B11" s="349" t="s">
        <v>188</v>
      </c>
      <c r="C11" s="131">
        <f>1.6*0.015*C1</f>
        <v>1.68</v>
      </c>
      <c r="D11" s="128"/>
      <c r="E11" s="128"/>
      <c r="F11" s="128"/>
      <c r="G11" s="128"/>
      <c r="H11" s="137"/>
      <c r="I11" s="385">
        <f>(3.3*'Main Page'!B92+471)/3</f>
        <v>1807</v>
      </c>
      <c r="J11" s="132">
        <f>'Main Page'!B93</f>
        <v>0.82499999999999996</v>
      </c>
      <c r="K11" s="132">
        <f>'Main Page'!B94</f>
        <v>0</v>
      </c>
      <c r="L11" s="132">
        <f>'Main Page'!B95</f>
        <v>0</v>
      </c>
      <c r="M11" s="350">
        <f>0.0000486*C1^5.333</f>
        <v>336158.51508794067</v>
      </c>
      <c r="N11" s="159">
        <f>M11/2/('Main Page'!B88^2)+I11*C11^2/12</f>
        <v>446.72832515316372</v>
      </c>
      <c r="O11" s="159">
        <f>N11</f>
        <v>446.72832515316372</v>
      </c>
      <c r="P11" s="159">
        <f>$I11*((K11-K$16)^2+(L11-L$16)^2)</f>
        <v>0</v>
      </c>
      <c r="Q11" s="159">
        <f>$I11*((L11-L$16)^2+(J11-J$16)^2)</f>
        <v>6.1769129819383561</v>
      </c>
      <c r="R11" s="159">
        <f>$I11*((J11-J$16)^2+(K11-K$16)^2)</f>
        <v>6.1769129819383561</v>
      </c>
      <c r="S11" s="112" t="s">
        <v>210</v>
      </c>
      <c r="T11" s="113"/>
      <c r="V11" s="119"/>
      <c r="W11" s="115"/>
      <c r="X11" s="112"/>
      <c r="Y11" s="118"/>
    </row>
    <row r="12" spans="1:25" ht="12.75">
      <c r="A12" s="112"/>
      <c r="B12" s="349" t="s">
        <v>255</v>
      </c>
      <c r="C12" s="131">
        <v>2.5000000000000001E-2</v>
      </c>
      <c r="D12" s="131"/>
      <c r="E12" s="131">
        <f>1.5*E7</f>
        <v>0.90629999999999988</v>
      </c>
      <c r="F12" s="131"/>
      <c r="G12" s="131"/>
      <c r="H12" s="168">
        <v>7850</v>
      </c>
      <c r="I12" s="385">
        <f>1.5*0.025*1000*'Main Page'!B92/0.10472/C2</f>
        <v>298.41482047364406</v>
      </c>
      <c r="J12" s="132">
        <f>0.5*(J10+J11)</f>
        <v>0.41249999999999998</v>
      </c>
      <c r="K12" s="132">
        <f>0.5*(K10+K11)</f>
        <v>0</v>
      </c>
      <c r="L12" s="132">
        <f>0.5*(L10+L11)</f>
        <v>0</v>
      </c>
      <c r="M12" s="350">
        <f>0.25*C12*PI()*H12*E12^2*'Main Page'!B88^2*E12^2/8</f>
        <v>100580.38364803854</v>
      </c>
      <c r="N12" s="159">
        <f>I12*(3*E12^2/4+C12^2)/12</f>
        <v>15.335034484319294</v>
      </c>
      <c r="O12" s="159">
        <f>I12*(3*E12^2/4+C12^2)/12</f>
        <v>15.335034484319294</v>
      </c>
      <c r="P12" s="159">
        <f>$I12*((K12-K$16)^2+(L12-L$16)^2)</f>
        <v>0</v>
      </c>
      <c r="Q12" s="159">
        <f>$I12*((L12-L$16)^2+(J12-J$16)^2)</f>
        <v>37.403242039543507</v>
      </c>
      <c r="R12" s="159">
        <f>$I12*((J12-J$16)^2+(K12-K$16)^2)</f>
        <v>37.403242039543507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3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7" t="s">
        <v>207</v>
      </c>
      <c r="N13" s="157" t="s">
        <v>208</v>
      </c>
      <c r="O13" s="157" t="s">
        <v>211</v>
      </c>
      <c r="P13" s="157"/>
      <c r="Q13" s="157"/>
      <c r="R13" s="157"/>
      <c r="S13" s="112"/>
      <c r="T13" s="113"/>
      <c r="V13" s="119"/>
      <c r="W13" s="112"/>
      <c r="X13" s="112"/>
      <c r="Y13" s="118"/>
    </row>
    <row r="14" spans="1:25" ht="12.75">
      <c r="A14" s="112"/>
      <c r="B14" s="163"/>
      <c r="C14" s="131"/>
      <c r="D14" s="131"/>
      <c r="E14" s="131"/>
      <c r="F14" s="131"/>
      <c r="G14" s="131"/>
      <c r="H14" s="140" t="s">
        <v>204</v>
      </c>
      <c r="I14" s="136">
        <f>I5+I6</f>
        <v>19186.870177541427</v>
      </c>
      <c r="J14" s="132">
        <f>SUMPRODUCT($I5:$I6,J5:J6)/SUM($I5:$I6)</f>
        <v>-3.3</v>
      </c>
      <c r="K14" s="132">
        <f>SUMPRODUCT($I5:$I6,K5:K6)/SUM($I5:$I6)</f>
        <v>0</v>
      </c>
      <c r="L14" s="132">
        <f>SUMPRODUCT($I5:$I6,L5:L6)/SUM($I5:$I6)</f>
        <v>0</v>
      </c>
      <c r="M14" s="160">
        <f>M5+M6+P5+P6</f>
        <v>42475.576821214963</v>
      </c>
      <c r="N14" s="160">
        <f>N5+N6+Q5+Q6</f>
        <v>42475.576821214963</v>
      </c>
      <c r="O14" s="160">
        <f>O5+O6+R5+R6</f>
        <v>42475.576821214963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3"/>
      <c r="C15" s="131"/>
      <c r="D15" s="131"/>
      <c r="E15" s="131"/>
      <c r="F15" s="131"/>
      <c r="G15" s="131"/>
      <c r="H15" s="113" t="s">
        <v>202</v>
      </c>
      <c r="I15" s="141">
        <f>SUM(I7:I10)</f>
        <v>11408.833117775681</v>
      </c>
      <c r="J15" s="132">
        <f>SUMPRODUCT($I7:$I10,J7:J10)/SUM($I7:$I10)</f>
        <v>-0.79496927830119335</v>
      </c>
      <c r="K15" s="132">
        <f>SUMPRODUCT($I7:$I10,K7:K10)/SUM($I7:$I10)</f>
        <v>0</v>
      </c>
      <c r="L15" s="132">
        <f>SUMPRODUCT($I7:$I10,L7:L10)/SUM($I7:$I10)</f>
        <v>0</v>
      </c>
      <c r="M15" s="159">
        <f>SUM(M7:M10,P7:P10)</f>
        <v>845.42412614093951</v>
      </c>
      <c r="N15" s="159">
        <f>SUM(N7:N10,Q7:Q10)</f>
        <v>9923.4097569871301</v>
      </c>
      <c r="O15" s="159">
        <f>SUM(O7:O10,R7:R10)</f>
        <v>9923.4097569871301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4"/>
      <c r="C16" s="112"/>
      <c r="D16" s="112"/>
      <c r="E16" s="112"/>
      <c r="F16" s="112"/>
      <c r="G16" s="120"/>
      <c r="H16" s="113" t="s">
        <v>203</v>
      </c>
      <c r="I16" s="136">
        <f>SUM(I11:I12)</f>
        <v>2105.4148204736439</v>
      </c>
      <c r="J16" s="132">
        <f>SUMPRODUCT($I11:$I12,J11:J12)/SUM($I11:$I12)</f>
        <v>0.76653355801984624</v>
      </c>
      <c r="K16" s="132">
        <f>SUMPRODUCT($I11:$I12,K11:K12)/SUM($I11:$I12)</f>
        <v>0</v>
      </c>
      <c r="L16" s="132">
        <f>SUMPRODUCT($I11:$I12,L11:L12)/SUM($I11:$I12)</f>
        <v>0</v>
      </c>
      <c r="M16" s="159">
        <f>SUM(M11:M12,P11:P12)</f>
        <v>436738.89873597922</v>
      </c>
      <c r="N16" s="159">
        <f>SUM(N11:N12,Q11:Q12)</f>
        <v>505.64351465896488</v>
      </c>
      <c r="O16" s="159">
        <f>SUM(O11:O12,R11:R12)</f>
        <v>505.64351465896488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4"/>
      <c r="C17" s="112"/>
      <c r="D17" s="112"/>
      <c r="E17" s="112"/>
      <c r="F17" s="112"/>
      <c r="G17" s="120"/>
      <c r="H17" s="113" t="s">
        <v>201</v>
      </c>
      <c r="I17" s="136">
        <f>SUM(I14:I16)</f>
        <v>32701.118115790752</v>
      </c>
      <c r="J17" s="132">
        <f>SUMPRODUCT($I14:$I16,J14:J16)/SUM($I14:$I16)</f>
        <v>-2.1642217875162966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4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4"/>
      <c r="C19" s="112"/>
      <c r="D19" s="421" t="s">
        <v>239</v>
      </c>
      <c r="E19" s="421"/>
      <c r="F19" s="421"/>
      <c r="G19" s="421"/>
      <c r="H19" s="112"/>
      <c r="I19" s="120"/>
      <c r="J19" s="121"/>
      <c r="K19" s="121"/>
      <c r="L19" s="121"/>
      <c r="M19" s="112">
        <f>SUM(M8:M12)/87.965^2</f>
        <v>56.526235312125564</v>
      </c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2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3" t="s">
        <v>162</v>
      </c>
      <c r="C21" s="132">
        <f>'Main Page'!B98</f>
        <v>2.31</v>
      </c>
      <c r="D21" s="132">
        <f>'Main Page'!B99</f>
        <v>2.4750000000000001</v>
      </c>
      <c r="E21" s="132">
        <f>'Main Page'!B100</f>
        <v>1.1880000000000002</v>
      </c>
      <c r="F21" s="132">
        <f>'Main Page'!B101</f>
        <v>0.191</v>
      </c>
      <c r="G21" s="132">
        <f>'Main Page'!B102</f>
        <v>0.17399999999999999</v>
      </c>
      <c r="H21" s="136">
        <f>'Main Page'!B103</f>
        <v>7850</v>
      </c>
      <c r="I21" s="385">
        <f>1.5*H21*(0.00000042875*C1^3-(0.00030625*F21+0.00003675*D21+0.0000735*E21)*C1^2+(0.035*F21*D21+0.07*E21*F21)*C1)</f>
        <v>14800.274212500004</v>
      </c>
      <c r="J21" s="132">
        <f>'Main Page'!B104</f>
        <v>0</v>
      </c>
      <c r="K21" s="132">
        <f>'Main Page'!B105</f>
        <v>0</v>
      </c>
      <c r="L21" s="132">
        <f>'Main Page'!B106</f>
        <v>-0.80500000000000005</v>
      </c>
      <c r="M21" s="159">
        <f>I21*(E21^2+D21^2)/8</f>
        <v>13943.650991388995</v>
      </c>
      <c r="N21" s="159">
        <f>I21*(E21^2+D21^2+4*C21^2/3)/16</f>
        <v>13553.137431137937</v>
      </c>
      <c r="O21" s="159">
        <f>I21*(E21^2+D21^2+4*C21^2/3)/16</f>
        <v>13553.137431137937</v>
      </c>
      <c r="P21" s="159">
        <f>$I21*((K21-K$30)^2+(L21-L$30)^2)</f>
        <v>3730.1633668603963</v>
      </c>
      <c r="Q21" s="159">
        <f>$I21*((L21-L$30)^2+(J21-J$30)^2)</f>
        <v>3749.5679342680564</v>
      </c>
      <c r="R21" s="159">
        <f>$I21*((J21-J$30)^2+(K21-K$30)^2)</f>
        <v>19.404567407660217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3" t="s">
        <v>194</v>
      </c>
      <c r="C22" s="132"/>
      <c r="E22" s="133">
        <f>1.5*D8</f>
        <v>0.90629999999999988</v>
      </c>
      <c r="F22" s="133"/>
      <c r="G22" s="136"/>
      <c r="H22" s="133"/>
      <c r="I22" s="385">
        <f>0.00006744*(1000*E7)^2.64</f>
        <v>1483.3193593191988</v>
      </c>
      <c r="J22" s="132">
        <f t="shared" ref="J22:L25" si="0">J8</f>
        <v>-2.31</v>
      </c>
      <c r="K22" s="132">
        <f t="shared" si="0"/>
        <v>0</v>
      </c>
      <c r="L22" s="132">
        <f t="shared" si="0"/>
        <v>0</v>
      </c>
      <c r="M22" s="159">
        <f>I22*E22^2/4</f>
        <v>304.59209888215048</v>
      </c>
      <c r="N22" s="159">
        <f>M22/2</f>
        <v>152.29604944107524</v>
      </c>
      <c r="O22" s="159">
        <f>M22/2</f>
        <v>152.29604944107524</v>
      </c>
      <c r="P22" s="159">
        <f t="shared" ref="P22:P28" si="1">$I22*((K22-K$30)^2+(L22-L$30)^2)</f>
        <v>136.15575083848196</v>
      </c>
      <c r="Q22" s="159">
        <f t="shared" ref="Q22:Q28" si="2">$I22*((L22-L$30)^2+(J22-J$30)^2)</f>
        <v>7805.102691381705</v>
      </c>
      <c r="R22" s="159">
        <f t="shared" ref="R22:R28" si="3">$I22*((J22-J$30)^2+(K22-K$30)^2)</f>
        <v>7668.9469405432219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3" t="s">
        <v>195</v>
      </c>
      <c r="C23" s="132"/>
      <c r="E23" s="133">
        <f>1.5*D9</f>
        <v>0.90629999999999988</v>
      </c>
      <c r="F23" s="133"/>
      <c r="G23" s="136"/>
      <c r="H23" s="133"/>
      <c r="I23" s="385">
        <f>0.00006744*(1000*E7)^2.64</f>
        <v>1483.3193593191988</v>
      </c>
      <c r="J23" s="132">
        <f t="shared" si="0"/>
        <v>-0.66</v>
      </c>
      <c r="K23" s="132">
        <f t="shared" si="0"/>
        <v>0</v>
      </c>
      <c r="L23" s="132">
        <f t="shared" si="0"/>
        <v>0</v>
      </c>
      <c r="M23" s="159">
        <f>I23*E23^2/4</f>
        <v>304.59209888215048</v>
      </c>
      <c r="N23" s="159">
        <f>M23/2</f>
        <v>152.29604944107524</v>
      </c>
      <c r="O23" s="159">
        <f>M23/2</f>
        <v>152.29604944107524</v>
      </c>
      <c r="P23" s="159">
        <f t="shared" si="1"/>
        <v>136.15575083848196</v>
      </c>
      <c r="Q23" s="159">
        <f t="shared" si="2"/>
        <v>713.33778925560091</v>
      </c>
      <c r="R23" s="159">
        <f t="shared" si="3"/>
        <v>577.18203841711886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349" t="s">
        <v>196</v>
      </c>
      <c r="C24" s="132">
        <f>0.012*C1</f>
        <v>0.84</v>
      </c>
      <c r="D24" s="132">
        <f>0.75*E24</f>
        <v>0.78750000000000009</v>
      </c>
      <c r="E24" s="132">
        <f>0.015*C1</f>
        <v>1.05</v>
      </c>
      <c r="F24" s="129"/>
      <c r="G24" s="130"/>
      <c r="H24" s="129"/>
      <c r="I24" s="385">
        <f>'Main Page'!B82/2</f>
        <v>5301.31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59">
        <f>I24*(D24^2+E24^2)/8</f>
        <v>1141.5418505859377</v>
      </c>
      <c r="N24" s="159">
        <f>I24*(D24^2+E24^2+4*C24^2/3)/16</f>
        <v>882.48795329296888</v>
      </c>
      <c r="O24" s="159">
        <f>I24*(E24^2+D24^2+4*C24^2/3)/16</f>
        <v>882.48795329296888</v>
      </c>
      <c r="P24" s="159">
        <f t="shared" si="1"/>
        <v>486.61391691728488</v>
      </c>
      <c r="Q24" s="159">
        <f t="shared" si="2"/>
        <v>493.5644386283638</v>
      </c>
      <c r="R24" s="159">
        <f t="shared" si="3"/>
        <v>6.9505217110789506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349" t="s">
        <v>197</v>
      </c>
      <c r="C25" s="132">
        <f>C11</f>
        <v>1.68</v>
      </c>
      <c r="D25" s="132">
        <f>0.5*E25</f>
        <v>0.52500000000000002</v>
      </c>
      <c r="E25" s="132">
        <f>0.015*C1</f>
        <v>1.05</v>
      </c>
      <c r="F25" s="129"/>
      <c r="G25" s="130"/>
      <c r="H25" s="129"/>
      <c r="I25" s="385">
        <f>2*(3.3*'Main Page'!B92+471)/3</f>
        <v>3614</v>
      </c>
      <c r="J25" s="132">
        <f t="shared" si="0"/>
        <v>0.82499999999999996</v>
      </c>
      <c r="K25" s="132">
        <f t="shared" si="0"/>
        <v>0</v>
      </c>
      <c r="L25" s="132">
        <f t="shared" si="0"/>
        <v>0</v>
      </c>
      <c r="M25" s="159">
        <f>I25*(D25^2+E25^2)/8</f>
        <v>622.56796874999998</v>
      </c>
      <c r="N25" s="159">
        <f>I25*(D25^2+E25^2+4*C25^2/3)/16</f>
        <v>1161.2967843749998</v>
      </c>
      <c r="O25" s="159">
        <f>I25*(E25^2+D25^2+4*C25^2/3)/16</f>
        <v>1161.2967843749998</v>
      </c>
      <c r="P25" s="159">
        <f t="shared" si="1"/>
        <v>331.73360843622942</v>
      </c>
      <c r="Q25" s="159">
        <f t="shared" si="2"/>
        <v>3012.1688279327886</v>
      </c>
      <c r="R25" s="159">
        <f t="shared" si="3"/>
        <v>2680.4352194965595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3" t="s">
        <v>198</v>
      </c>
      <c r="C26" s="132">
        <f>2*C21</f>
        <v>4.62</v>
      </c>
      <c r="D26" s="132">
        <f>E21</f>
        <v>1.1880000000000002</v>
      </c>
      <c r="E26" s="132">
        <f>D21</f>
        <v>2.4750000000000001</v>
      </c>
      <c r="F26" s="133"/>
      <c r="G26" s="136"/>
      <c r="H26" s="133"/>
      <c r="I26" s="385">
        <f>84.1*2*C26^2</f>
        <v>3590.12808</v>
      </c>
      <c r="J26" s="132">
        <f>J21</f>
        <v>0</v>
      </c>
      <c r="K26" s="132">
        <f>K21</f>
        <v>0</v>
      </c>
      <c r="L26" s="132">
        <v>0</v>
      </c>
      <c r="M26" s="159">
        <f>I26*(E26^2+D26^2)/8</f>
        <v>3382.3355056236906</v>
      </c>
      <c r="N26" s="159">
        <f>I26*(E26^2+D26^2+4*C26^2/3)/16</f>
        <v>8076.9285687078454</v>
      </c>
      <c r="O26" s="159">
        <f>I26*(E26^2+D26^2+4*C26^2/3)/16</f>
        <v>8076.9285687078454</v>
      </c>
      <c r="P26" s="159">
        <f t="shared" si="1"/>
        <v>329.5423748551832</v>
      </c>
      <c r="Q26" s="159">
        <f t="shared" si="2"/>
        <v>334.24937428845425</v>
      </c>
      <c r="R26" s="159">
        <f t="shared" si="3"/>
        <v>4.7069994332710561</v>
      </c>
      <c r="S26" s="112"/>
      <c r="T26" s="113"/>
      <c r="V26" s="117"/>
      <c r="W26" s="112"/>
      <c r="X26" s="112"/>
      <c r="Y26" s="112"/>
    </row>
    <row r="27" spans="1:25" ht="12.75">
      <c r="A27" s="112"/>
      <c r="B27" s="163" t="s">
        <v>199</v>
      </c>
      <c r="C27" s="129"/>
      <c r="D27" s="129"/>
      <c r="E27" s="129"/>
      <c r="F27" s="129"/>
      <c r="G27" s="129"/>
      <c r="H27" s="129"/>
      <c r="I27" s="385">
        <f>2.6*'Main Page'!B92+0.002168*C1^3.4</f>
        <v>7968.1093102339655</v>
      </c>
      <c r="J27" s="132">
        <v>0</v>
      </c>
      <c r="K27" s="132">
        <v>0</v>
      </c>
      <c r="L27" s="132">
        <v>0</v>
      </c>
      <c r="M27" s="159">
        <v>0</v>
      </c>
      <c r="N27" s="159">
        <v>0</v>
      </c>
      <c r="O27" s="159">
        <v>0</v>
      </c>
      <c r="P27" s="159">
        <f t="shared" si="1"/>
        <v>731.40278193088773</v>
      </c>
      <c r="Q27" s="159">
        <f t="shared" si="2"/>
        <v>741.84973122399299</v>
      </c>
      <c r="R27" s="159">
        <f t="shared" si="3"/>
        <v>10.446949293105193</v>
      </c>
      <c r="S27" s="112"/>
      <c r="T27" s="113"/>
      <c r="V27" s="117"/>
      <c r="W27" s="112"/>
      <c r="X27" s="112"/>
      <c r="Y27" s="112"/>
    </row>
    <row r="28" spans="1:25" ht="12.75">
      <c r="A28" s="112"/>
      <c r="B28" s="163" t="s">
        <v>200</v>
      </c>
      <c r="C28" s="129"/>
      <c r="D28" s="129"/>
      <c r="E28" s="129"/>
      <c r="F28" s="129"/>
      <c r="G28" s="129"/>
      <c r="H28" s="129"/>
      <c r="I28" s="385">
        <f>0.2*(I11+I25)</f>
        <v>1084.2</v>
      </c>
      <c r="J28" s="132">
        <v>0</v>
      </c>
      <c r="K28" s="132">
        <v>0</v>
      </c>
      <c r="L28" s="132">
        <v>0</v>
      </c>
      <c r="M28" s="159">
        <v>0</v>
      </c>
      <c r="N28" s="159">
        <v>0</v>
      </c>
      <c r="O28" s="159">
        <v>0</v>
      </c>
      <c r="P28" s="159">
        <f t="shared" si="1"/>
        <v>99.520082530868834</v>
      </c>
      <c r="Q28" s="159">
        <f t="shared" si="2"/>
        <v>100.94157186824992</v>
      </c>
      <c r="R28" s="159">
        <f t="shared" si="3"/>
        <v>1.4214893373810997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4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7" t="s">
        <v>207</v>
      </c>
      <c r="N29" s="157" t="s">
        <v>208</v>
      </c>
      <c r="O29" s="157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3"/>
      <c r="C30" s="112"/>
      <c r="D30" s="112"/>
      <c r="E30" s="112"/>
      <c r="F30" s="112"/>
      <c r="G30" s="112"/>
      <c r="H30" s="113" t="s">
        <v>205</v>
      </c>
      <c r="I30" s="136">
        <f>SUM(I21:I28)</f>
        <v>39324.660321372365</v>
      </c>
      <c r="J30" s="132">
        <f>SUMPRODUCT($I21:$I28,J21:J28)/SUM($I21:$I28)</f>
        <v>-3.620904759358208E-2</v>
      </c>
      <c r="K30" s="132">
        <f>SUMPRODUCT($I21:$I28,K21:K28)/SUM($I21:$I28)</f>
        <v>0</v>
      </c>
      <c r="L30" s="132">
        <f>SUMPRODUCT($I21:$I28,L21:L28)/SUM($I21:$I28)</f>
        <v>-0.30297072228205113</v>
      </c>
      <c r="M30" s="159">
        <f>SUM(M21:M28,P21:P28)</f>
        <v>25680.568147320741</v>
      </c>
      <c r="N30" s="159">
        <f>SUM(N21:N28,Q21:Q28)</f>
        <v>40929.225195243103</v>
      </c>
      <c r="O30" s="159">
        <f>SUM(O21:O28,R21:R28)</f>
        <v>34947.937562035288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3"/>
      <c r="C31" s="112"/>
      <c r="D31" s="112"/>
      <c r="E31" s="112"/>
      <c r="F31" s="112"/>
      <c r="G31" s="112"/>
      <c r="H31" s="113" t="s">
        <v>305</v>
      </c>
      <c r="I31" s="136">
        <f>SUM(I17,I30)</f>
        <v>72025.778437163113</v>
      </c>
      <c r="J31" s="132">
        <f>($I17*J17+$I30*J30)/($I17+$I30)</f>
        <v>-1.0023686292054721</v>
      </c>
      <c r="K31" s="132">
        <f>($I17*K17+$I30*K30)/($I17+$I30)</f>
        <v>0</v>
      </c>
      <c r="L31" s="132">
        <f>($I17*L17+$I30*L30)/($I17+$I30)</f>
        <v>-0.16541606352032323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3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3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4"/>
      <c r="O34" s="157"/>
    </row>
    <row r="35" spans="1:25" s="112" customFormat="1" ht="12.75">
      <c r="B35" s="163" t="s">
        <v>216</v>
      </c>
      <c r="I35" s="386" t="s">
        <v>419</v>
      </c>
      <c r="J35" s="386"/>
    </row>
    <row r="36" spans="1:25" s="112" customFormat="1" ht="12.75">
      <c r="B36" s="163" t="s">
        <v>217</v>
      </c>
      <c r="C36" s="150" t="s">
        <v>218</v>
      </c>
      <c r="I36" s="388" t="s">
        <v>420</v>
      </c>
      <c r="J36" s="388"/>
    </row>
    <row r="37" spans="1:25" s="112" customFormat="1" ht="12.75">
      <c r="B37" s="163" t="s">
        <v>219</v>
      </c>
      <c r="C37" s="112" t="s">
        <v>220</v>
      </c>
      <c r="I37" s="389" t="s">
        <v>421</v>
      </c>
      <c r="J37" s="389"/>
    </row>
    <row r="38" spans="1:25" s="112" customFormat="1" ht="12.75">
      <c r="B38" s="164"/>
    </row>
    <row r="39" spans="1:25" s="112" customFormat="1" ht="12.75">
      <c r="B39" s="163" t="s">
        <v>226</v>
      </c>
      <c r="C39" s="112" t="s">
        <v>227</v>
      </c>
    </row>
    <row r="40" spans="1:25" s="112" customFormat="1" ht="12.75">
      <c r="B40" s="163" t="s">
        <v>223</v>
      </c>
      <c r="C40" s="112" t="s">
        <v>224</v>
      </c>
    </row>
    <row r="41" spans="1:25" s="112" customFormat="1" ht="12.75">
      <c r="B41" s="163" t="s">
        <v>225</v>
      </c>
      <c r="C41" s="112" t="s">
        <v>228</v>
      </c>
    </row>
    <row r="42" spans="1:25" s="112" customFormat="1" ht="12.75">
      <c r="B42" s="165"/>
    </row>
    <row r="43" spans="1:25" s="112" customFormat="1" ht="12.75">
      <c r="B43" s="163" t="s">
        <v>229</v>
      </c>
      <c r="C43" s="112" t="s">
        <v>230</v>
      </c>
    </row>
    <row r="44" spans="1:25" s="112" customFormat="1" ht="12.75">
      <c r="B44" s="163" t="s">
        <v>231</v>
      </c>
      <c r="C44" s="112" t="s">
        <v>232</v>
      </c>
    </row>
    <row r="45" spans="1:25" s="112" customFormat="1" ht="12.75">
      <c r="B45" s="163" t="s">
        <v>275</v>
      </c>
      <c r="C45" s="112" t="s">
        <v>276</v>
      </c>
    </row>
    <row r="46" spans="1:25" s="112" customFormat="1" ht="12.75">
      <c r="B46" s="165"/>
    </row>
    <row r="47" spans="1:25" s="112" customFormat="1" ht="12.75">
      <c r="B47" s="163" t="s">
        <v>234</v>
      </c>
      <c r="C47" s="114" t="s">
        <v>235</v>
      </c>
    </row>
    <row r="48" spans="1:25" s="112" customFormat="1" ht="12.75">
      <c r="B48" s="163" t="s">
        <v>233</v>
      </c>
      <c r="C48" s="112" t="s">
        <v>236</v>
      </c>
    </row>
    <row r="49" spans="2:3" s="112" customFormat="1" ht="12.75">
      <c r="B49" s="163" t="s">
        <v>277</v>
      </c>
      <c r="C49" s="112" t="s">
        <v>278</v>
      </c>
    </row>
    <row r="50" spans="2:3" s="112" customFormat="1" ht="12.75">
      <c r="B50" s="163"/>
    </row>
    <row r="51" spans="2:3" s="112" customFormat="1" ht="12.75">
      <c r="B51" s="163"/>
    </row>
    <row r="52" spans="2:3" s="112" customFormat="1" ht="12.75">
      <c r="B52" s="163" t="s">
        <v>237</v>
      </c>
      <c r="C52" s="112" t="s">
        <v>241</v>
      </c>
    </row>
    <row r="53" spans="2:3" s="112" customFormat="1" ht="12.75">
      <c r="B53" s="163" t="s">
        <v>238</v>
      </c>
      <c r="C53" s="112" t="s">
        <v>242</v>
      </c>
    </row>
    <row r="54" spans="2:3" s="112" customFormat="1" ht="12.75">
      <c r="B54" s="163" t="s">
        <v>243</v>
      </c>
      <c r="C54" s="112" t="s">
        <v>244</v>
      </c>
    </row>
    <row r="55" spans="2:3" s="112" customFormat="1" ht="12.75">
      <c r="B55" s="163" t="s">
        <v>245</v>
      </c>
      <c r="C55" s="112" t="s">
        <v>246</v>
      </c>
    </row>
    <row r="56" spans="2:3" s="112" customFormat="1" ht="12.75">
      <c r="B56" s="163"/>
    </row>
    <row r="57" spans="2:3" s="112" customFormat="1" ht="12.75">
      <c r="B57" s="163" t="s">
        <v>252</v>
      </c>
      <c r="C57" s="112" t="s">
        <v>253</v>
      </c>
    </row>
    <row r="58" spans="2:3" s="112" customFormat="1" ht="12.75">
      <c r="B58" s="163" t="s">
        <v>247</v>
      </c>
      <c r="C58" s="112" t="s">
        <v>248</v>
      </c>
    </row>
    <row r="59" spans="2:3" s="112" customFormat="1" ht="12.75">
      <c r="B59" s="163" t="s">
        <v>249</v>
      </c>
      <c r="C59" s="112" t="s">
        <v>251</v>
      </c>
    </row>
    <row r="60" spans="2:3" s="112" customFormat="1" ht="12.75">
      <c r="B60" s="163" t="s">
        <v>250</v>
      </c>
      <c r="C60" s="112" t="s">
        <v>254</v>
      </c>
    </row>
    <row r="61" spans="2:3" s="112" customFormat="1" ht="12.75">
      <c r="B61" s="163"/>
    </row>
    <row r="62" spans="2:3" s="112" customFormat="1" ht="12.75">
      <c r="B62" s="163" t="s">
        <v>256</v>
      </c>
      <c r="C62" s="112" t="s">
        <v>261</v>
      </c>
    </row>
    <row r="63" spans="2:3" s="112" customFormat="1" ht="12.75">
      <c r="B63" s="163" t="s">
        <v>257</v>
      </c>
      <c r="C63" s="112" t="s">
        <v>262</v>
      </c>
    </row>
    <row r="64" spans="2:3" s="112" customFormat="1" ht="12.75">
      <c r="B64" s="163" t="s">
        <v>258</v>
      </c>
      <c r="C64" s="112" t="s">
        <v>263</v>
      </c>
    </row>
    <row r="65" spans="2:3" s="112" customFormat="1" ht="12.75">
      <c r="B65" s="163" t="s">
        <v>259</v>
      </c>
      <c r="C65" s="112" t="s">
        <v>264</v>
      </c>
    </row>
    <row r="66" spans="2:3" s="112" customFormat="1" ht="12.75">
      <c r="B66" s="163" t="s">
        <v>260</v>
      </c>
      <c r="C66" s="112" t="s">
        <v>265</v>
      </c>
    </row>
    <row r="67" spans="2:3" s="112" customFormat="1" ht="12.75">
      <c r="B67" s="163"/>
    </row>
    <row r="68" spans="2:3" s="112" customFormat="1" ht="12.75">
      <c r="B68" s="163" t="s">
        <v>266</v>
      </c>
      <c r="C68" s="112" t="s">
        <v>267</v>
      </c>
    </row>
    <row r="69" spans="2:3" s="112" customFormat="1" ht="12.75">
      <c r="B69" s="163" t="s">
        <v>268</v>
      </c>
      <c r="C69" s="112" t="s">
        <v>269</v>
      </c>
    </row>
    <row r="70" spans="2:3" s="112" customFormat="1" ht="12.75">
      <c r="B70" s="163"/>
    </row>
    <row r="71" spans="2:3" s="112" customFormat="1" ht="12.75">
      <c r="B71" s="163" t="s">
        <v>272</v>
      </c>
      <c r="C71" s="112" t="s">
        <v>273</v>
      </c>
    </row>
    <row r="72" spans="2:3" s="112" customFormat="1" ht="12.75">
      <c r="B72" s="163" t="s">
        <v>270</v>
      </c>
      <c r="C72" s="112" t="s">
        <v>271</v>
      </c>
    </row>
    <row r="73" spans="2:3" s="112" customFormat="1" ht="12.75">
      <c r="B73" s="163" t="s">
        <v>274</v>
      </c>
      <c r="C73" s="112" t="s">
        <v>279</v>
      </c>
    </row>
    <row r="74" spans="2:3" s="112" customFormat="1" ht="12.75">
      <c r="B74" s="163"/>
    </row>
    <row r="75" spans="2:3" s="112" customFormat="1" ht="12.75">
      <c r="B75" s="163" t="s">
        <v>281</v>
      </c>
      <c r="C75" s="112" t="s">
        <v>241</v>
      </c>
    </row>
    <row r="76" spans="2:3" s="112" customFormat="1" ht="12.75">
      <c r="B76" s="163" t="s">
        <v>280</v>
      </c>
      <c r="C76" s="112" t="s">
        <v>240</v>
      </c>
    </row>
    <row r="77" spans="2:3" s="112" customFormat="1" ht="12.75">
      <c r="B77" s="163" t="s">
        <v>282</v>
      </c>
      <c r="C77" s="112" t="s">
        <v>283</v>
      </c>
    </row>
    <row r="78" spans="2:3" s="112" customFormat="1" ht="12.75">
      <c r="B78" s="163" t="s">
        <v>284</v>
      </c>
      <c r="C78" s="112" t="s">
        <v>244</v>
      </c>
    </row>
    <row r="79" spans="2:3" s="112" customFormat="1" ht="12.75">
      <c r="B79" s="163" t="s">
        <v>285</v>
      </c>
      <c r="C79" s="112" t="s">
        <v>286</v>
      </c>
    </row>
    <row r="80" spans="2:3" s="112" customFormat="1" ht="12.75">
      <c r="B80" s="163"/>
    </row>
    <row r="81" spans="2:3" s="112" customFormat="1" ht="12.75">
      <c r="B81" s="163" t="s">
        <v>287</v>
      </c>
      <c r="C81" s="112" t="s">
        <v>253</v>
      </c>
    </row>
    <row r="82" spans="2:3" s="112" customFormat="1" ht="12.75">
      <c r="B82" s="163" t="s">
        <v>288</v>
      </c>
      <c r="C82" s="112" t="s">
        <v>240</v>
      </c>
    </row>
    <row r="83" spans="2:3" s="112" customFormat="1" ht="12.75">
      <c r="B83" s="163" t="s">
        <v>289</v>
      </c>
      <c r="C83" s="112" t="s">
        <v>292</v>
      </c>
    </row>
    <row r="84" spans="2:3" s="112" customFormat="1" ht="12.75">
      <c r="B84" s="163" t="s">
        <v>290</v>
      </c>
      <c r="C84" s="112" t="s">
        <v>293</v>
      </c>
    </row>
    <row r="85" spans="2:3" s="112" customFormat="1" ht="12.75">
      <c r="B85" s="163" t="s">
        <v>291</v>
      </c>
      <c r="C85" s="112" t="s">
        <v>286</v>
      </c>
    </row>
    <row r="86" spans="2:3" s="112" customFormat="1" ht="12.75">
      <c r="B86" s="163"/>
    </row>
    <row r="87" spans="2:3" s="112" customFormat="1" ht="12.75">
      <c r="B87" s="163" t="s">
        <v>294</v>
      </c>
      <c r="C87" s="112" t="s">
        <v>295</v>
      </c>
    </row>
    <row r="88" spans="2:3" s="112" customFormat="1" ht="12.75">
      <c r="B88" s="163" t="s">
        <v>296</v>
      </c>
      <c r="C88" s="112" t="s">
        <v>298</v>
      </c>
    </row>
    <row r="89" spans="2:3" s="112" customFormat="1" ht="12.75">
      <c r="B89" s="163" t="s">
        <v>297</v>
      </c>
      <c r="C89" s="112" t="s">
        <v>299</v>
      </c>
    </row>
    <row r="90" spans="2:3" s="112" customFormat="1" ht="12.75">
      <c r="B90" s="163" t="s">
        <v>300</v>
      </c>
      <c r="C90" s="112" t="s">
        <v>301</v>
      </c>
    </row>
    <row r="91" spans="2:3" s="112" customFormat="1" ht="12.75">
      <c r="B91" s="163" t="s">
        <v>302</v>
      </c>
      <c r="C91" s="112" t="s">
        <v>286</v>
      </c>
    </row>
    <row r="92" spans="2:3" s="112" customFormat="1" ht="12.75"/>
    <row r="93" spans="2:3" s="112" customFormat="1" ht="12.75">
      <c r="B93" s="163" t="s">
        <v>199</v>
      </c>
      <c r="C93" s="112" t="s">
        <v>304</v>
      </c>
    </row>
    <row r="94" spans="2:3" s="112" customFormat="1" ht="12.75">
      <c r="B94" s="163" t="s">
        <v>200</v>
      </c>
      <c r="C94" s="112" t="s">
        <v>303</v>
      </c>
    </row>
    <row r="95" spans="2:3" s="112" customFormat="1" ht="12.75">
      <c r="B95" s="164"/>
    </row>
    <row r="96" spans="2:3" ht="12.75">
      <c r="B96" s="163" t="s">
        <v>221</v>
      </c>
      <c r="C96" s="112" t="s">
        <v>222</v>
      </c>
    </row>
    <row r="97" spans="2:2">
      <c r="B97" s="167"/>
    </row>
    <row r="98" spans="2:2">
      <c r="B98" s="167"/>
    </row>
    <row r="99" spans="2:2">
      <c r="B99" s="167"/>
    </row>
    <row r="100" spans="2:2">
      <c r="B100" s="167"/>
    </row>
    <row r="101" spans="2:2">
      <c r="B101" s="167"/>
    </row>
    <row r="102" spans="2:2">
      <c r="B102" s="167"/>
    </row>
    <row r="103" spans="2:2">
      <c r="B103" s="167"/>
    </row>
    <row r="104" spans="2:2">
      <c r="B104" s="167"/>
    </row>
    <row r="105" spans="2:2">
      <c r="B105" s="167"/>
    </row>
    <row r="106" spans="2:2">
      <c r="B106" s="167"/>
    </row>
    <row r="107" spans="2:2">
      <c r="B107" s="167"/>
    </row>
    <row r="108" spans="2:2">
      <c r="B108" s="167"/>
    </row>
    <row r="109" spans="2:2">
      <c r="B109" s="166"/>
    </row>
    <row r="110" spans="2:2">
      <c r="B110" s="166"/>
    </row>
    <row r="111" spans="2:2">
      <c r="B111" s="161"/>
    </row>
    <row r="112" spans="2:2">
      <c r="B112" s="161"/>
    </row>
    <row r="113" spans="2:2">
      <c r="B113" s="161"/>
    </row>
    <row r="114" spans="2:2">
      <c r="B114" s="161"/>
    </row>
    <row r="115" spans="2:2">
      <c r="B115" s="161"/>
    </row>
    <row r="116" spans="2:2">
      <c r="B116" s="161"/>
    </row>
    <row r="117" spans="2:2">
      <c r="B117" s="161"/>
    </row>
    <row r="118" spans="2:2">
      <c r="B118" s="161"/>
    </row>
    <row r="119" spans="2:2">
      <c r="B119" s="161"/>
    </row>
    <row r="120" spans="2:2">
      <c r="B120" s="161"/>
    </row>
    <row r="121" spans="2:2">
      <c r="B121" s="161"/>
    </row>
    <row r="122" spans="2:2">
      <c r="B122" s="161"/>
    </row>
    <row r="123" spans="2:2">
      <c r="B123" s="161"/>
    </row>
    <row r="124" spans="2:2">
      <c r="B124" s="161"/>
    </row>
    <row r="125" spans="2:2">
      <c r="B125" s="161"/>
    </row>
    <row r="126" spans="2:2">
      <c r="B126" s="161"/>
    </row>
    <row r="127" spans="2:2">
      <c r="B127" s="161"/>
    </row>
    <row r="128" spans="2:2">
      <c r="B128" s="161"/>
    </row>
    <row r="129" spans="2:2">
      <c r="B129" s="161"/>
    </row>
    <row r="130" spans="2:2">
      <c r="B130" s="161"/>
    </row>
    <row r="131" spans="2:2">
      <c r="B131" s="161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C14" sqref="C14"/>
    </sheetView>
  </sheetViews>
  <sheetFormatPr defaultRowHeight="11.25"/>
  <cols>
    <col min="2" max="7" width="15.83203125" customWidth="1"/>
  </cols>
  <sheetData>
    <row r="1" spans="1:7">
      <c r="A1" t="s">
        <v>422</v>
      </c>
      <c r="B1" t="s">
        <v>423</v>
      </c>
      <c r="C1" t="s">
        <v>424</v>
      </c>
    </row>
    <row r="3" spans="1:7">
      <c r="A3" t="s">
        <v>102</v>
      </c>
      <c r="B3" t="s">
        <v>437</v>
      </c>
      <c r="C3" s="18">
        <f>'Main Page'!B17</f>
        <v>1.2250000000000001</v>
      </c>
    </row>
    <row r="4" spans="1:7">
      <c r="A4" t="s">
        <v>438</v>
      </c>
      <c r="B4" t="s">
        <v>439</v>
      </c>
      <c r="C4">
        <v>5.0000000000000001E-3</v>
      </c>
    </row>
    <row r="5" spans="1:7">
      <c r="A5" t="s">
        <v>440</v>
      </c>
      <c r="B5" t="s">
        <v>441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440</v>
      </c>
      <c r="B6" t="s">
        <v>442</v>
      </c>
      <c r="C6" s="18">
        <v>15</v>
      </c>
      <c r="D6" s="18"/>
      <c r="E6" s="18"/>
      <c r="F6" s="18"/>
    </row>
    <row r="7" spans="1:7">
      <c r="B7" t="s">
        <v>443</v>
      </c>
      <c r="C7" t="s">
        <v>444</v>
      </c>
      <c r="D7" t="s">
        <v>445</v>
      </c>
      <c r="E7" t="s">
        <v>446</v>
      </c>
      <c r="F7" t="s">
        <v>88</v>
      </c>
      <c r="G7" t="s">
        <v>447</v>
      </c>
    </row>
    <row r="8" spans="1:7">
      <c r="C8" s="395">
        <f>C37*('Main Page'!B$13/2-'Main Page'!B$56/2) + 'Main Page'!B$56/2</f>
        <v>2.8583333333333334</v>
      </c>
      <c r="D8" s="396">
        <f>(F39-F38)/($D39-$D38)*($C8-$D39)+F38</f>
        <v>11.1</v>
      </c>
      <c r="E8">
        <f>(1/$C$6)*('Main Page'!B$13/2-'Main Page'!B$56/2)</f>
        <v>2.2166666666666668</v>
      </c>
      <c r="F8" s="396">
        <f>(E$39-E$38)/(D$39-D$38)*(C8-D$38)+E$38</f>
        <v>1.9485391207819456</v>
      </c>
      <c r="G8">
        <f>ROUND((G$39-G$38)/(D$39-D$38)*(C8-D$38)+G$38,0)</f>
        <v>1</v>
      </c>
    </row>
    <row r="9" spans="1:7">
      <c r="C9" s="395">
        <f>C38*('Main Page'!B$13/2-'Main Page'!B$56/2) + 'Main Page'!B$56/2</f>
        <v>5.0750000000000002</v>
      </c>
      <c r="D9" s="396">
        <f>(F39-F38)/($D39-$D38)*($C9-$D39)+F38</f>
        <v>11.1</v>
      </c>
      <c r="E9">
        <f>(1/$C$6)*('Main Page'!B$13/2-'Main Page'!B$56/2)</f>
        <v>2.2166666666666668</v>
      </c>
      <c r="F9" s="396">
        <f t="shared" ref="F9" si="0">(E$39-E$38)/(D$39-D$38)*(C9-D$38)+E$38</f>
        <v>2.268928964524596</v>
      </c>
      <c r="G9">
        <f>ROUNDUP((G$39-G$38)/(D$39-D$38)*(C9-D$38)+G$38,0)</f>
        <v>2</v>
      </c>
    </row>
    <row r="10" spans="1:7">
      <c r="C10" s="395">
        <f>C39*('Main Page'!B$13/2-'Main Page'!B$56/2) + 'Main Page'!B$56/2</f>
        <v>7.2916666666666661</v>
      </c>
      <c r="D10" s="396">
        <f>(F39-F38)/($D39-$D38)*($C10-$D39)+F38</f>
        <v>11.1</v>
      </c>
      <c r="E10">
        <f>(1/$C$6)*('Main Page'!B$13/2-'Main Page'!B$56/2)</f>
        <v>2.2166666666666668</v>
      </c>
      <c r="F10" s="396">
        <f>(E$39-E$38)/(D$39-D$38)*(C10-D$38)+E$38</f>
        <v>2.5893188082672465</v>
      </c>
      <c r="G10">
        <f>ROUND((G$39-G$38)/(D$39-D$38)*(C10-D$38)+G$38,0)</f>
        <v>2</v>
      </c>
    </row>
    <row r="11" spans="1:7">
      <c r="C11" s="395">
        <f>C40*('Main Page'!B$13/2-'Main Page'!B$56/2) + 'Main Page'!B$56/2</f>
        <v>9.5083333333333329</v>
      </c>
      <c r="D11" s="396">
        <f>(F40-F39)/($D40-$D39)*($C11-$D39)+F39</f>
        <v>10.406666666666666</v>
      </c>
      <c r="E11">
        <f>(1/$C$6)*('Main Page'!B$13/2-'Main Page'!B$56/2)</f>
        <v>2.2166666666666668</v>
      </c>
      <c r="F11" s="396">
        <f>(E$40-E$39)/(D$40-D$39)*(C11-D$39)+E$39</f>
        <v>2.7434831936330544</v>
      </c>
      <c r="G11">
        <f>ROUND((G$40-G$39)/(D$40-D$39)*(C11-D$39)+G$39,0)</f>
        <v>2</v>
      </c>
    </row>
    <row r="12" spans="1:7">
      <c r="C12" s="395">
        <f>C41*('Main Page'!B$13/2-'Main Page'!B$56/2) + 'Main Page'!B$56/2</f>
        <v>11.725</v>
      </c>
      <c r="D12" s="396">
        <f>(F40-F39)/($D40-$D39)*($C12-$D39)+F39</f>
        <v>8.379999999999999</v>
      </c>
      <c r="E12">
        <f>(1/$C$6)*('Main Page'!B$13/2-'Main Page'!B$56/2)</f>
        <v>2.2166666666666668</v>
      </c>
      <c r="F12" s="396">
        <f t="shared" ref="F12:F13" si="1">(E$40-E$39)/(D$40-D$39)*(C12-D$39)+E$39</f>
        <v>2.5779832359664723</v>
      </c>
      <c r="G12">
        <f t="shared" ref="G12:G14" si="2">ROUND((G$40-G$39)/(D$40-D$39)*(C12-D$39)+G$39,0)</f>
        <v>2</v>
      </c>
    </row>
    <row r="13" spans="1:7">
      <c r="C13" s="395">
        <f>C42*('Main Page'!B$13/2-'Main Page'!B$56/2) + 'Main Page'!B$56/2</f>
        <v>13.941666666666666</v>
      </c>
      <c r="D13" s="396">
        <f>(F40-F39)/($D40-$D39)*($C13-$D39)+F39</f>
        <v>6.3533333333333335</v>
      </c>
      <c r="E13">
        <f>(1/$C$6)*('Main Page'!B$13/2-'Main Page'!B$56/2)</f>
        <v>2.2166666666666668</v>
      </c>
      <c r="F13" s="396">
        <f t="shared" si="1"/>
        <v>2.4124832782998902</v>
      </c>
      <c r="G13">
        <f t="shared" si="2"/>
        <v>2</v>
      </c>
    </row>
    <row r="14" spans="1:7">
      <c r="C14" s="395">
        <f>C43*('Main Page'!B$13/2-'Main Page'!B$56/2) + 'Main Page'!B$56/2</f>
        <v>16.158333333333331</v>
      </c>
      <c r="D14" s="396">
        <f>(F40-F39)/($D40-$D39)*($C14-$D39)+F39</f>
        <v>4.326666666666668</v>
      </c>
      <c r="E14">
        <f>(1/$C$6)*('Main Page'!B$13/2-'Main Page'!B$56/2)</f>
        <v>2.2166666666666668</v>
      </c>
      <c r="F14" s="396">
        <f>(E$40-E$39)/(D$40-D$39)*(C14-D$39)+E$39</f>
        <v>2.2469833206333085</v>
      </c>
      <c r="G14">
        <f t="shared" si="2"/>
        <v>2</v>
      </c>
    </row>
    <row r="15" spans="1:7">
      <c r="C15" s="395">
        <f>C44*('Main Page'!B$13/2-'Main Page'!B$56/2) + 'Main Page'!B$56/2</f>
        <v>18.375</v>
      </c>
      <c r="D15" s="396">
        <f>(F41-F40)/($D41-$D40)*($C15-$D40)+F40</f>
        <v>2.85</v>
      </c>
      <c r="E15">
        <f>(1/$C$6)*('Main Page'!B$13/2-'Main Page'!B$56/2)</f>
        <v>2.2166666666666668</v>
      </c>
      <c r="F15" s="396">
        <f>(E$41-E$40)/(D$41-D$40)*(C15-D$40)+E$40</f>
        <v>2.0815087630175264</v>
      </c>
      <c r="G15">
        <f>ROUND((G$41-G$40)/(D$41-D$40)*(C15-D$40)+G$40,0)</f>
        <v>3</v>
      </c>
    </row>
    <row r="16" spans="1:7">
      <c r="C16" s="395">
        <f>C45*('Main Page'!B$13/2-'Main Page'!B$56/2) + 'Main Page'!B$56/2</f>
        <v>20.591666666666665</v>
      </c>
      <c r="D16" s="396">
        <f>(F41-F40)/($D41-$D40)*($C16-$D40)+F40</f>
        <v>2.2166666666666672</v>
      </c>
      <c r="E16">
        <f>(1/$C$6)*('Main Page'!B$13/2-'Main Page'!B$56/2)</f>
        <v>2.2166666666666668</v>
      </c>
      <c r="F16" s="396">
        <f t="shared" ref="F16:F18" si="3">(E$41-E$40)/(D$41-D$40)*(C16-D$40)+E$40</f>
        <v>1.9160731521463046</v>
      </c>
      <c r="G16">
        <f t="shared" ref="G16:G18" si="4">ROUND((G$41-G$40)/(D$41-D$40)*(C16-D$40)+G$40,0)</f>
        <v>3</v>
      </c>
    </row>
    <row r="17" spans="3:7">
      <c r="C17" s="395">
        <f>C46*('Main Page'!B$13/2-'Main Page'!B$56/2) + 'Main Page'!B$56/2</f>
        <v>22.808333333333334</v>
      </c>
      <c r="D17" s="396">
        <f>(F41-F40)/($D41-$D40)*($C17-$D40)+F40</f>
        <v>1.5833333333333335</v>
      </c>
      <c r="E17">
        <f>(1/$C$6)*('Main Page'!B$13/2-'Main Page'!B$56/2)</f>
        <v>2.2166666666666668</v>
      </c>
      <c r="F17" s="396">
        <f t="shared" si="3"/>
        <v>1.7506375412750828</v>
      </c>
      <c r="G17">
        <f t="shared" si="4"/>
        <v>3</v>
      </c>
    </row>
    <row r="18" spans="3:7">
      <c r="C18" s="395">
        <f>C47*('Main Page'!B$13/2-'Main Page'!B$56/2) + 'Main Page'!B$56/2</f>
        <v>25.024999999999999</v>
      </c>
      <c r="D18" s="396">
        <f>(F41-F40)/($D41-$D40)*($C18-$D40)+F40</f>
        <v>0.95000000000000062</v>
      </c>
      <c r="E18">
        <f>(1/$C$6)*('Main Page'!B$13/2-'Main Page'!B$56/2)</f>
        <v>2.2166666666666668</v>
      </c>
      <c r="F18" s="396">
        <f t="shared" si="3"/>
        <v>1.5852019304038611</v>
      </c>
      <c r="G18">
        <f t="shared" si="4"/>
        <v>3</v>
      </c>
    </row>
    <row r="19" spans="3:7">
      <c r="C19" s="395">
        <f>C48*('Main Page'!B$13/2-'Main Page'!B$56/2) + 'Main Page'!B$56/2</f>
        <v>27.241666666666667</v>
      </c>
      <c r="D19" s="396">
        <f>(F42-F41)/($D42-$D41)*($C19-$D41)+F41</f>
        <v>0.53199999999999992</v>
      </c>
      <c r="E19">
        <f>(1/$C$6)*('Main Page'!B$13/2-'Main Page'!B$56/2)</f>
        <v>2.2166666666666668</v>
      </c>
      <c r="F19" s="396">
        <f>(E$42-E$41)/(D$42-D$41)*(C19-D$41)+E$41</f>
        <v>1.4271645076623487</v>
      </c>
      <c r="G19">
        <f>ROUND((G$42-G$41)/(D$42-D$41)*(C19-D$41)+G$41,0)</f>
        <v>3</v>
      </c>
    </row>
    <row r="20" spans="3:7">
      <c r="C20" s="395">
        <f>C49*('Main Page'!B$13/2-'Main Page'!B$56/2) + 'Main Page'!B$56/2</f>
        <v>29.458333333333336</v>
      </c>
      <c r="D20" s="396">
        <f>(F42-F41)/($D42-$D41)*($C20-$D41)+F41</f>
        <v>0.37999999999999978</v>
      </c>
      <c r="E20">
        <f>(1/$C$6)*('Main Page'!B$13/2-'Main Page'!B$56/2)</f>
        <v>2.2166666666666668</v>
      </c>
      <c r="F20" s="396">
        <f t="shared" ref="F20:F22" si="5">(E$42-E$41)/(D$42-D$41)*(C20-D$41)+E$41</f>
        <v>1.2782660231987131</v>
      </c>
      <c r="G20">
        <f t="shared" ref="G20:G22" si="6">ROUND((G$42-G$41)/(D$42-D$41)*(C20-D$41)+G$41,0)</f>
        <v>3</v>
      </c>
    </row>
    <row r="21" spans="3:7">
      <c r="C21" s="395">
        <f>C50*('Main Page'!B$13/2-'Main Page'!B$56/2) + 'Main Page'!B$56/2</f>
        <v>31.675000000000001</v>
      </c>
      <c r="D21" s="396">
        <f>(F42-F41)/($D42-$D41)*($C21-$D41)+F41</f>
        <v>0.22799999999999992</v>
      </c>
      <c r="E21">
        <f>(1/$C$6)*('Main Page'!B$13/2-'Main Page'!B$56/2)</f>
        <v>2.2166666666666668</v>
      </c>
      <c r="F21" s="396">
        <f t="shared" si="5"/>
        <v>1.1293675387350777</v>
      </c>
      <c r="G21">
        <f t="shared" si="6"/>
        <v>4</v>
      </c>
    </row>
    <row r="22" spans="3:7">
      <c r="C22" s="395">
        <f>C51*('Main Page'!B$13/2-'Main Page'!B$56/2) + 'Main Page'!B$56/2</f>
        <v>33.891666666666666</v>
      </c>
      <c r="D22" s="396">
        <f>(F42-F41)/($D42-$D41)*($C22-$D41)+F41</f>
        <v>7.6000000000000068E-2</v>
      </c>
      <c r="E22">
        <f>(1/$C$6)*('Main Page'!B$13/2-'Main Page'!B$56/2)</f>
        <v>2.2166666666666668</v>
      </c>
      <c r="F22" s="396">
        <f t="shared" si="5"/>
        <v>0.98046905427144215</v>
      </c>
      <c r="G22">
        <f t="shared" si="6"/>
        <v>4</v>
      </c>
    </row>
    <row r="36" spans="2:7">
      <c r="B36" t="s">
        <v>448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97">
        <f>B37/C$6</f>
        <v>3.3333333333333333E-2</v>
      </c>
      <c r="D37" s="102">
        <f>GECbladedata!$B5*('Main Page'!B$13/2)</f>
        <v>1.75</v>
      </c>
      <c r="E37">
        <f>GECbladedata!$C5</f>
        <v>1.9250698501397006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97">
        <f t="shared" ref="C38:C51" si="7">B38/C$6</f>
        <v>0.1</v>
      </c>
      <c r="D38" s="102">
        <f>GECbladedata!$B6*('Main Page'!B$13/2)</f>
        <v>2.4500000000000002</v>
      </c>
      <c r="E38">
        <f>GECbladedata!$C6</f>
        <v>1.8895199390398785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97">
        <f t="shared" si="7"/>
        <v>0.16666666666666666</v>
      </c>
      <c r="D39" s="102">
        <f>GECbladedata!$B7*('Main Page'!B$13/2)</f>
        <v>8.75</v>
      </c>
      <c r="E39">
        <f>GECbladedata!$C7</f>
        <v>2.8001016002032006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97">
        <f t="shared" si="7"/>
        <v>0.23333333333333334</v>
      </c>
      <c r="D40" s="102">
        <f>GECbladedata!$B8*('Main Page'!B$13/2)</f>
        <v>17.5</v>
      </c>
      <c r="E40">
        <f>GECbladedata!$C8</f>
        <v>2.1468122936245875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97">
        <f t="shared" si="7"/>
        <v>0.3</v>
      </c>
      <c r="D41" s="102">
        <f>GECbladedata!$B9*('Main Page'!B$13/2)</f>
        <v>26.25</v>
      </c>
      <c r="E41">
        <f>GECbladedata!$C9</f>
        <v>1.4937769875539753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97">
        <f t="shared" si="7"/>
        <v>0.36666666666666664</v>
      </c>
      <c r="D42" s="102">
        <f>GECbladedata!$B10*('Main Page'!B$13/2)</f>
        <v>35</v>
      </c>
      <c r="E42">
        <f>GECbladedata!$C10</f>
        <v>0.90601981203962423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97">
        <f t="shared" si="7"/>
        <v>0.43333333333333335</v>
      </c>
    </row>
    <row r="44" spans="2:7">
      <c r="B44">
        <v>7.5</v>
      </c>
      <c r="C44" s="397">
        <f t="shared" si="7"/>
        <v>0.5</v>
      </c>
    </row>
    <row r="45" spans="2:7">
      <c r="B45">
        <v>8.5</v>
      </c>
      <c r="C45" s="397">
        <f t="shared" si="7"/>
        <v>0.56666666666666665</v>
      </c>
    </row>
    <row r="46" spans="2:7">
      <c r="B46">
        <v>9.5</v>
      </c>
      <c r="C46" s="397">
        <f t="shared" si="7"/>
        <v>0.6333333333333333</v>
      </c>
    </row>
    <row r="47" spans="2:7">
      <c r="B47">
        <v>10.5</v>
      </c>
      <c r="C47" s="397">
        <f t="shared" si="7"/>
        <v>0.7</v>
      </c>
    </row>
    <row r="48" spans="2:7">
      <c r="B48">
        <v>11.5</v>
      </c>
      <c r="C48" s="397">
        <f t="shared" si="7"/>
        <v>0.76666666666666672</v>
      </c>
    </row>
    <row r="49" spans="2:3">
      <c r="B49">
        <v>12.5</v>
      </c>
      <c r="C49" s="397">
        <f t="shared" si="7"/>
        <v>0.83333333333333337</v>
      </c>
    </row>
    <row r="50" spans="2:3">
      <c r="B50">
        <v>13.5</v>
      </c>
      <c r="C50" s="397">
        <f t="shared" si="7"/>
        <v>0.9</v>
      </c>
    </row>
    <row r="51" spans="2:3">
      <c r="B51">
        <v>14.5</v>
      </c>
      <c r="C51" s="397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H34" sqref="H34"/>
    </sheetView>
  </sheetViews>
  <sheetFormatPr defaultRowHeight="11.25"/>
  <cols>
    <col min="1" max="1" width="15.1640625" customWidth="1"/>
    <col min="2" max="3" width="13.83203125" bestFit="1" customWidth="1"/>
    <col min="4" max="4" width="16.1640625" bestFit="1" customWidth="1"/>
    <col min="5" max="5" width="17.5" bestFit="1" customWidth="1"/>
    <col min="6" max="7" width="16.33203125" bestFit="1" customWidth="1"/>
    <col min="8" max="8" width="12.33203125" bestFit="1" customWidth="1"/>
    <col min="9" max="9" width="13" bestFit="1" customWidth="1"/>
    <col min="10" max="10" width="11.6640625" bestFit="1" customWidth="1"/>
  </cols>
  <sheetData>
    <row r="1" spans="1:10">
      <c r="A1" t="s">
        <v>422</v>
      </c>
      <c r="B1" t="s">
        <v>423</v>
      </c>
      <c r="C1" t="s">
        <v>424</v>
      </c>
    </row>
    <row r="3" spans="1:10">
      <c r="A3" t="s">
        <v>85</v>
      </c>
      <c r="B3" t="s">
        <v>425</v>
      </c>
      <c r="C3" s="18">
        <f>'Main Page'!B13/2</f>
        <v>35</v>
      </c>
      <c r="D3" s="18"/>
      <c r="E3" s="18"/>
      <c r="F3" s="18"/>
      <c r="G3" s="18"/>
      <c r="H3" s="18"/>
      <c r="I3" s="18"/>
      <c r="J3" s="18"/>
    </row>
    <row r="4" spans="1:10">
      <c r="A4" t="s">
        <v>85</v>
      </c>
      <c r="B4" t="s">
        <v>426</v>
      </c>
      <c r="C4" s="18">
        <f>'Main Page'!B56/2</f>
        <v>1.75</v>
      </c>
      <c r="D4" s="18"/>
      <c r="E4" s="18"/>
      <c r="F4" s="18"/>
      <c r="G4" s="18"/>
      <c r="H4" s="18"/>
      <c r="I4" s="18"/>
      <c r="J4" s="18"/>
    </row>
    <row r="5" spans="1:10">
      <c r="A5" t="s">
        <v>386</v>
      </c>
      <c r="B5" t="s">
        <v>427</v>
      </c>
      <c r="C5" s="18">
        <f>'Main Page'!A151*100</f>
        <v>3.8820000000000001</v>
      </c>
      <c r="D5" s="18">
        <f>'Main Page'!B151*100</f>
        <v>3.8820000000000001</v>
      </c>
      <c r="E5" s="390">
        <f>'Main Page'!C151*100</f>
        <v>5.8999999999999995</v>
      </c>
      <c r="F5" s="18"/>
      <c r="G5" s="18"/>
      <c r="H5" s="18"/>
      <c r="I5" s="18"/>
      <c r="J5" s="18"/>
    </row>
    <row r="6" spans="1:10">
      <c r="B6" t="s">
        <v>428</v>
      </c>
      <c r="C6" s="391" t="s">
        <v>429</v>
      </c>
      <c r="D6" s="391" t="s">
        <v>430</v>
      </c>
      <c r="E6" s="391" t="s">
        <v>431</v>
      </c>
      <c r="F6" s="391" t="s">
        <v>432</v>
      </c>
      <c r="G6" s="391" t="s">
        <v>433</v>
      </c>
      <c r="H6" s="391" t="s">
        <v>434</v>
      </c>
      <c r="I6" s="391" t="s">
        <v>435</v>
      </c>
      <c r="J6" s="391" t="s">
        <v>436</v>
      </c>
    </row>
    <row r="7" spans="1:10">
      <c r="C7" s="422">
        <f>GECbladedata!$C28</f>
        <v>0</v>
      </c>
      <c r="D7" s="392">
        <f>0.25+GECbladedata!$Q28/GECbladedata!$P28</f>
        <v>0.25</v>
      </c>
      <c r="E7" s="392">
        <f>GECbladedata!$K28</f>
        <v>11.1</v>
      </c>
      <c r="F7" s="392">
        <f>GECbladedata!$D28</f>
        <v>1447.6067650097025</v>
      </c>
      <c r="G7" s="393">
        <f>GECbladedata!$O28</f>
        <v>7681455580.9267292</v>
      </c>
      <c r="H7" s="394">
        <f>GECbladedata!$N28</f>
        <v>7681455580.9267292</v>
      </c>
      <c r="I7" s="394">
        <f>GECbladedata!$L28</f>
        <v>2655231266.008985</v>
      </c>
      <c r="J7" s="394">
        <f>GECbladedata!$M28</f>
        <v>17152702552.539173</v>
      </c>
    </row>
    <row r="8" spans="1:10">
      <c r="C8" s="422">
        <f>GECbladedata!$C29</f>
        <v>2.1052631578947371E-2</v>
      </c>
      <c r="D8" s="392">
        <f>0.25+GECbladedata!$Q29/GECbladedata!$P29</f>
        <v>0.25</v>
      </c>
      <c r="E8" s="392">
        <f>GECbladedata!$K29</f>
        <v>11.1</v>
      </c>
      <c r="F8" s="392">
        <f>GECbladedata!$D29</f>
        <v>175.09526752452746</v>
      </c>
      <c r="G8" s="393">
        <f>GECbladedata!$O29</f>
        <v>1135890133.898103</v>
      </c>
      <c r="H8" s="394">
        <f>GECbladedata!$N29</f>
        <v>1135890133.898103</v>
      </c>
      <c r="I8" s="394">
        <f>GECbladedata!$L29</f>
        <v>396922874.29357898</v>
      </c>
      <c r="J8" s="394">
        <f>GECbladedata!$M29</f>
        <v>2564102972.7290158</v>
      </c>
    </row>
    <row r="9" spans="1:10">
      <c r="C9" s="422">
        <f>GECbladedata!$C30</f>
        <v>5.2631578947368411E-2</v>
      </c>
      <c r="D9" s="392">
        <f>0.25+GECbladedata!$Q30/GECbladedata!$P30</f>
        <v>0.22942396389819822</v>
      </c>
      <c r="E9" s="392">
        <f>GECbladedata!$K30</f>
        <v>11.1</v>
      </c>
      <c r="F9" s="392">
        <f>GECbladedata!$D30</f>
        <v>177.06368875697348</v>
      </c>
      <c r="G9" s="393">
        <f>GECbladedata!$O30</f>
        <v>991868967.89679074</v>
      </c>
      <c r="H9" s="394">
        <f>GECbladedata!$N30</f>
        <v>1063797342.2559701</v>
      </c>
      <c r="I9" s="394">
        <f>GECbladedata!$L30</f>
        <v>333909521.38682187</v>
      </c>
      <c r="J9" s="394">
        <f>GECbladedata!$M30</f>
        <v>2543929754.0773292</v>
      </c>
    </row>
    <row r="10" spans="1:10">
      <c r="C10" s="422">
        <f>GECbladedata!$C31</f>
        <v>0.10526315789473684</v>
      </c>
      <c r="D10" s="392">
        <f>0.25+GECbladedata!$Q31/GECbladedata!$P31</f>
        <v>0.20117995551794043</v>
      </c>
      <c r="E10" s="392">
        <f>GECbladedata!$K31</f>
        <v>11.1</v>
      </c>
      <c r="F10" s="392">
        <f>GECbladedata!$D31</f>
        <v>180.34439081105018</v>
      </c>
      <c r="G10" s="393">
        <f>GECbladedata!$O31</f>
        <v>751833691.22793698</v>
      </c>
      <c r="H10" s="394">
        <f>GECbladedata!$N31</f>
        <v>943642689.51908183</v>
      </c>
      <c r="I10" s="394">
        <f>GECbladedata!$L31</f>
        <v>228887266.54222673</v>
      </c>
      <c r="J10" s="394">
        <f>GECbladedata!$M31</f>
        <v>2510307722.9911847</v>
      </c>
    </row>
    <row r="11" spans="1:10">
      <c r="C11" s="422">
        <f>GECbladedata!$C32</f>
        <v>0.15789473684210525</v>
      </c>
      <c r="D11" s="392">
        <f>0.25+GECbladedata!$Q32/GECbladedata!$P32</f>
        <v>0.178545343343645</v>
      </c>
      <c r="E11" s="392">
        <f>GECbladedata!$K32</f>
        <v>11.1</v>
      </c>
      <c r="F11" s="392">
        <f>GECbladedata!$D32</f>
        <v>183.6250928651269</v>
      </c>
      <c r="G11" s="393">
        <f>GECbladedata!$O32</f>
        <v>511798414.55908298</v>
      </c>
      <c r="H11" s="394">
        <f>GECbladedata!$N32</f>
        <v>823488036.78219366</v>
      </c>
      <c r="I11" s="394">
        <f>GECbladedata!$L32</f>
        <v>123865011.69763154</v>
      </c>
      <c r="J11" s="394">
        <f>GECbladedata!$M32</f>
        <v>2476685691.9050398</v>
      </c>
    </row>
    <row r="12" spans="1:10">
      <c r="C12" s="422">
        <f>GECbladedata!$C33</f>
        <v>0.21052631578947367</v>
      </c>
      <c r="D12" s="392">
        <f>0.25+GECbladedata!$Q33/GECbladedata!$P33</f>
        <v>0.15999999999999998</v>
      </c>
      <c r="E12" s="392">
        <f>GECbladedata!$K33</f>
        <v>11.1</v>
      </c>
      <c r="F12" s="392">
        <f>GECbladedata!$D33</f>
        <v>186.9057949192036</v>
      </c>
      <c r="G12" s="393">
        <f>GECbladedata!$O33</f>
        <v>271763137.89022917</v>
      </c>
      <c r="H12" s="394">
        <f>GECbladedata!$N33</f>
        <v>703333384.04530549</v>
      </c>
      <c r="I12" s="394">
        <f>GECbladedata!$L33</f>
        <v>18842756.85303637</v>
      </c>
      <c r="J12" s="394">
        <f>GECbladedata!$M33</f>
        <v>2443063660.8188953</v>
      </c>
    </row>
    <row r="13" spans="1:10">
      <c r="C13" s="422">
        <f>GECbladedata!$C34</f>
        <v>0.26315789473684209</v>
      </c>
      <c r="D13" s="392">
        <f>0.25+GECbladedata!$Q34/GECbladedata!$P34</f>
        <v>0.16482530258049782</v>
      </c>
      <c r="E13" s="392">
        <f>GECbladedata!$K34</f>
        <v>9.5</v>
      </c>
      <c r="F13" s="392">
        <f>GECbladedata!$D34</f>
        <v>177.14922865011621</v>
      </c>
      <c r="G13" s="393">
        <f>GECbladedata!$O34</f>
        <v>232457473.04013637</v>
      </c>
      <c r="H13" s="394">
        <f>GECbladedata!$N34</f>
        <v>613840725.91390061</v>
      </c>
      <c r="I13" s="394">
        <f>GECbladedata!$L34</f>
        <v>16769674.583370119</v>
      </c>
      <c r="J13" s="394">
        <f>GECbladedata!$M34</f>
        <v>2316361926.0390568</v>
      </c>
    </row>
    <row r="14" spans="1:10">
      <c r="C14" s="422">
        <f>GECbladedata!$C35</f>
        <v>0.31578947368421051</v>
      </c>
      <c r="D14" s="392">
        <f>0.25+GECbladedata!$Q35/GECbladedata!$P35</f>
        <v>0.17014727068993116</v>
      </c>
      <c r="E14" s="392">
        <f>GECbladedata!$K35</f>
        <v>7.9</v>
      </c>
      <c r="F14" s="392">
        <f>GECbladedata!$D35</f>
        <v>167.39266238102883</v>
      </c>
      <c r="G14" s="393">
        <f>GECbladedata!$O35</f>
        <v>193151808.19004357</v>
      </c>
      <c r="H14" s="394">
        <f>GECbladedata!$N35</f>
        <v>524348067.78249586</v>
      </c>
      <c r="I14" s="394">
        <f>GECbladedata!$L35</f>
        <v>14696592.313703869</v>
      </c>
      <c r="J14" s="394">
        <f>GECbladedata!$M35</f>
        <v>2189660191.2592182</v>
      </c>
    </row>
    <row r="15" spans="1:10">
      <c r="C15" s="422">
        <f>GECbladedata!$C36</f>
        <v>0.36842105263157893</v>
      </c>
      <c r="D15" s="392">
        <f>0.25+GECbladedata!$Q36/GECbladedata!$P36</f>
        <v>0.17604674710994853</v>
      </c>
      <c r="E15" s="392">
        <f>GECbladedata!$K36</f>
        <v>6.2999999999999989</v>
      </c>
      <c r="F15" s="392">
        <f>GECbladedata!$D36</f>
        <v>157.63609611194141</v>
      </c>
      <c r="G15" s="393">
        <f>GECbladedata!$O36</f>
        <v>153846143.33995068</v>
      </c>
      <c r="H15" s="394">
        <f>GECbladedata!$N36</f>
        <v>434855409.65109092</v>
      </c>
      <c r="I15" s="394">
        <f>GECbladedata!$L36</f>
        <v>12623510.044037616</v>
      </c>
      <c r="J15" s="394">
        <f>GECbladedata!$M36</f>
        <v>2062958456.4793797</v>
      </c>
    </row>
    <row r="16" spans="1:10">
      <c r="C16" s="422">
        <f>GECbladedata!$C37</f>
        <v>0.42105263157894735</v>
      </c>
      <c r="D16" s="392">
        <f>0.25+GECbladedata!$Q37/GECbladedata!$P37</f>
        <v>0.18262312633832978</v>
      </c>
      <c r="E16" s="392">
        <f>GECbladedata!$K37</f>
        <v>4.6999999999999993</v>
      </c>
      <c r="F16" s="392">
        <f>GECbladedata!$D37</f>
        <v>147.87952984285403</v>
      </c>
      <c r="G16" s="393">
        <f>GECbladedata!$O37</f>
        <v>114540478.48985788</v>
      </c>
      <c r="H16" s="394">
        <f>GECbladedata!$N37</f>
        <v>345362751.51968604</v>
      </c>
      <c r="I16" s="394">
        <f>GECbladedata!$L37</f>
        <v>10550427.774371365</v>
      </c>
      <c r="J16" s="394">
        <f>GECbladedata!$M37</f>
        <v>1936256721.6995411</v>
      </c>
    </row>
    <row r="17" spans="2:10">
      <c r="C17" s="422">
        <f>GECbladedata!$C38</f>
        <v>0.47368421052631576</v>
      </c>
      <c r="D17" s="392">
        <f>0.25+GECbladedata!$Q38/GECbladedata!$P38</f>
        <v>0.19</v>
      </c>
      <c r="E17" s="392">
        <f>GECbladedata!$K38</f>
        <v>3.1</v>
      </c>
      <c r="F17" s="392">
        <f>GECbladedata!$D38</f>
        <v>138.12296357376664</v>
      </c>
      <c r="G17" s="393">
        <f>GECbladedata!$O38</f>
        <v>75234813.639765084</v>
      </c>
      <c r="H17" s="394">
        <f>GECbladedata!$N38</f>
        <v>255870093.3882812</v>
      </c>
      <c r="I17" s="394">
        <f>GECbladedata!$L38</f>
        <v>8477345.5047051143</v>
      </c>
      <c r="J17" s="394">
        <f>GECbladedata!$M38</f>
        <v>1809554986.9197025</v>
      </c>
    </row>
    <row r="18" spans="2:10">
      <c r="C18" s="422">
        <f>GECbladedata!$C39</f>
        <v>0.52631578947368418</v>
      </c>
      <c r="D18" s="392">
        <f>0.25+GECbladedata!$Q39/GECbladedata!$P39</f>
        <v>0.19444531230315704</v>
      </c>
      <c r="E18" s="392">
        <f>GECbladedata!$K39</f>
        <v>2.5999999999999996</v>
      </c>
      <c r="F18" s="392">
        <f>GECbladedata!$D39</f>
        <v>122.89599194954269</v>
      </c>
      <c r="G18" s="393">
        <f>GECbladedata!$O39</f>
        <v>62494737.508431502</v>
      </c>
      <c r="H18" s="394">
        <f>GECbladedata!$N39</f>
        <v>217865844.56904829</v>
      </c>
      <c r="I18" s="394">
        <f>GECbladedata!$L39</f>
        <v>7117485.089523036</v>
      </c>
      <c r="J18" s="394">
        <f>GECbladedata!$M39</f>
        <v>1605306500.3754306</v>
      </c>
    </row>
    <row r="19" spans="2:10">
      <c r="C19" s="422">
        <f>GECbladedata!$C40</f>
        <v>0.57894736842105254</v>
      </c>
      <c r="D19" s="392">
        <f>0.25+GECbladedata!$Q40/GECbladedata!$P40</f>
        <v>0.199506438924511</v>
      </c>
      <c r="E19" s="392">
        <f>GECbladedata!$K40</f>
        <v>2.1000000000000005</v>
      </c>
      <c r="F19" s="392">
        <f>GECbladedata!$D40</f>
        <v>107.66902032531875</v>
      </c>
      <c r="G19" s="393">
        <f>GECbladedata!$O40</f>
        <v>49754661.377097949</v>
      </c>
      <c r="H19" s="394">
        <f>GECbladedata!$N40</f>
        <v>179861595.74981546</v>
      </c>
      <c r="I19" s="394">
        <f>GECbladedata!$L40</f>
        <v>5757624.6743409615</v>
      </c>
      <c r="J19" s="394">
        <f>GECbladedata!$M40</f>
        <v>1401058013.8311591</v>
      </c>
    </row>
    <row r="20" spans="2:10">
      <c r="B20" s="352"/>
      <c r="C20" s="422">
        <f>GECbladedata!$C41</f>
        <v>0.63157894736842102</v>
      </c>
      <c r="D20" s="392">
        <f>0.25+GECbladedata!$Q41/GECbladedata!$P41</f>
        <v>0.20532086722436099</v>
      </c>
      <c r="E20" s="392">
        <f>GECbladedata!$K41</f>
        <v>1.5999999999999999</v>
      </c>
      <c r="F20" s="392">
        <f>GECbladedata!$D41</f>
        <v>92.442048701094791</v>
      </c>
      <c r="G20" s="393">
        <f>GECbladedata!$O41</f>
        <v>37014585.245764367</v>
      </c>
      <c r="H20" s="394">
        <f>GECbladedata!$N41</f>
        <v>141857346.93058252</v>
      </c>
      <c r="I20" s="394">
        <f>GECbladedata!$L41</f>
        <v>4397764.2591588832</v>
      </c>
      <c r="J20" s="394">
        <f>GECbladedata!$M41</f>
        <v>1196809527.2868872</v>
      </c>
    </row>
    <row r="21" spans="2:10">
      <c r="B21" s="352"/>
      <c r="C21" s="422">
        <f>GECbladedata!$C42</f>
        <v>0.68421052631578938</v>
      </c>
      <c r="D21" s="392">
        <f>0.25+GECbladedata!$Q42/GECbladedata!$P42</f>
        <v>0.21207030272704525</v>
      </c>
      <c r="E21" s="392">
        <f>GECbladedata!$K42</f>
        <v>1.1000000000000005</v>
      </c>
      <c r="F21" s="392">
        <f>GECbladedata!$D42</f>
        <v>77.21507707687087</v>
      </c>
      <c r="G21" s="393">
        <f>GECbladedata!$O42</f>
        <v>24274509.114430815</v>
      </c>
      <c r="H21" s="394">
        <f>GECbladedata!$N42</f>
        <v>103853098.1113497</v>
      </c>
      <c r="I21" s="394">
        <f>GECbladedata!$L42</f>
        <v>3037903.8439768078</v>
      </c>
      <c r="J21" s="394">
        <f>GECbladedata!$M42</f>
        <v>992561040.74261582</v>
      </c>
    </row>
    <row r="22" spans="2:10">
      <c r="C22" s="422">
        <f>GECbladedata!$C43</f>
        <v>0.73684210526315785</v>
      </c>
      <c r="D22" s="392">
        <f>0.25+GECbladedata!$Q43/GECbladedata!$P43</f>
        <v>0.21999999999999997</v>
      </c>
      <c r="E22" s="392">
        <f>GECbladedata!$K43</f>
        <v>0.6</v>
      </c>
      <c r="F22" s="392">
        <f>GECbladedata!$D43</f>
        <v>61.988105452646913</v>
      </c>
      <c r="G22" s="393">
        <f>GECbladedata!$O43</f>
        <v>11534432.983097235</v>
      </c>
      <c r="H22" s="394">
        <f>GECbladedata!$N43</f>
        <v>65848849.292116806</v>
      </c>
      <c r="I22" s="394">
        <f>GECbladedata!$L43</f>
        <v>1678043.4287947295</v>
      </c>
      <c r="J22" s="394">
        <f>GECbladedata!$M43</f>
        <v>788312554.19834387</v>
      </c>
    </row>
    <row r="23" spans="2:10">
      <c r="C23" s="422">
        <f>GECbladedata!$C44</f>
        <v>0.78947368421052622</v>
      </c>
      <c r="D23" s="392">
        <f>0.25+GECbladedata!$Q44/GECbladedata!$P44</f>
        <v>0.22395002030194527</v>
      </c>
      <c r="E23" s="392">
        <f>GECbladedata!$K44</f>
        <v>0.47999999999999987</v>
      </c>
      <c r="F23" s="392">
        <f>GECbladedata!$D44</f>
        <v>51.861062495499205</v>
      </c>
      <c r="G23" s="393">
        <f>GECbladedata!$O44</f>
        <v>9273805.0162072163</v>
      </c>
      <c r="H23" s="394">
        <f>GECbladedata!$N44</f>
        <v>54253893.479183525</v>
      </c>
      <c r="I23" s="394">
        <f>GECbladedata!$L44</f>
        <v>1378321.3526189467</v>
      </c>
      <c r="J23" s="394">
        <f>GECbladedata!$M44</f>
        <v>654344501.53916144</v>
      </c>
    </row>
    <row r="24" spans="2:10">
      <c r="C24" s="422">
        <f>GECbladedata!$C45</f>
        <v>0.84210526315789458</v>
      </c>
      <c r="D24" s="392">
        <f>0.25+GECbladedata!$Q45/GECbladedata!$P45</f>
        <v>0.22863784961859787</v>
      </c>
      <c r="E24" s="392">
        <f>GECbladedata!$K45</f>
        <v>0.36000000000000004</v>
      </c>
      <c r="F24" s="392">
        <f>GECbladedata!$D45</f>
        <v>41.734019538351525</v>
      </c>
      <c r="G24" s="393">
        <f>GECbladedata!$O45</f>
        <v>7013177.0493172016</v>
      </c>
      <c r="H24" s="394">
        <f>GECbladedata!$N45</f>
        <v>42658937.666250259</v>
      </c>
      <c r="I24" s="394">
        <f>GECbladedata!$L45</f>
        <v>1078599.2764431648</v>
      </c>
      <c r="J24" s="394">
        <f>GECbladedata!$M45</f>
        <v>520376448.87997925</v>
      </c>
    </row>
    <row r="25" spans="2:10">
      <c r="C25" s="422">
        <f>GECbladedata!$C46</f>
        <v>0.89473684210526305</v>
      </c>
      <c r="D25" s="392">
        <f>0.25+GECbladedata!$Q46/GECbladedata!$P46</f>
        <v>0.23429150158037659</v>
      </c>
      <c r="E25" s="392">
        <f>GECbladedata!$K46</f>
        <v>0.23999999999999994</v>
      </c>
      <c r="F25" s="392">
        <f>GECbladedata!$D46</f>
        <v>31.606976581203817</v>
      </c>
      <c r="G25" s="393">
        <f>GECbladedata!$O46</f>
        <v>4752549.0824271832</v>
      </c>
      <c r="H25" s="394">
        <f>GECbladedata!$N46</f>
        <v>31063981.853316978</v>
      </c>
      <c r="I25" s="394">
        <f>GECbladedata!$L46</f>
        <v>778877.20026738197</v>
      </c>
      <c r="J25" s="394">
        <f>GECbladedata!$M46</f>
        <v>386408396.22079682</v>
      </c>
    </row>
    <row r="26" spans="2:10">
      <c r="C26" s="422">
        <f>GECbladedata!$C47</f>
        <v>0.94736842105263142</v>
      </c>
      <c r="D26" s="392">
        <f>0.25+GECbladedata!$Q47/GECbladedata!$P47</f>
        <v>0.24124373418035633</v>
      </c>
      <c r="E26" s="392">
        <f>GECbladedata!$K47</f>
        <v>0.12000000000000011</v>
      </c>
      <c r="F26" s="392">
        <f>GECbladedata!$D47</f>
        <v>21.479933624056137</v>
      </c>
      <c r="G26" s="393">
        <f>GECbladedata!$O47</f>
        <v>2491921.1155371685</v>
      </c>
      <c r="H26" s="394">
        <f>GECbladedata!$N47</f>
        <v>19469026.040383719</v>
      </c>
      <c r="I26" s="394">
        <f>GECbladedata!$L47</f>
        <v>479155.12409160007</v>
      </c>
      <c r="J26" s="394">
        <f>GECbladedata!$M47</f>
        <v>252440343.56161463</v>
      </c>
    </row>
    <row r="27" spans="2:10">
      <c r="C27" s="422">
        <f>GECbladedata!$C48</f>
        <v>0.99999999999999989</v>
      </c>
      <c r="D27" s="392">
        <f>0.25+GECbladedata!$Q48/GECbladedata!$P48</f>
        <v>0.25</v>
      </c>
      <c r="E27" s="392">
        <f>GECbladedata!$K48</f>
        <v>0</v>
      </c>
      <c r="F27" s="392">
        <f>GECbladedata!$D48</f>
        <v>11.352890666908433</v>
      </c>
      <c r="G27" s="393">
        <f>GECbladedata!$O48</f>
        <v>231293.14864714985</v>
      </c>
      <c r="H27" s="394">
        <f>GECbladedata!$N48</f>
        <v>7874070.2274504323</v>
      </c>
      <c r="I27" s="394">
        <f>GECbladedata!$L48</f>
        <v>179433.04791581735</v>
      </c>
      <c r="J27" s="394">
        <f>GECbladedata!$M48</f>
        <v>118472290.90243222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C8" sqref="C8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422</v>
      </c>
      <c r="B2" t="s">
        <v>423</v>
      </c>
      <c r="C2" t="s">
        <v>424</v>
      </c>
    </row>
    <row r="3" spans="1:14">
      <c r="K3" s="396"/>
      <c r="L3" s="356"/>
      <c r="M3" s="356"/>
      <c r="N3" s="352"/>
    </row>
    <row r="4" spans="1:14">
      <c r="A4" t="s">
        <v>395</v>
      </c>
      <c r="B4" t="s">
        <v>490</v>
      </c>
      <c r="C4" s="101">
        <f>'Main Page'!B87</f>
        <v>1800</v>
      </c>
      <c r="K4" s="396"/>
      <c r="L4" s="356"/>
      <c r="M4" s="356"/>
      <c r="N4" s="352"/>
    </row>
    <row r="5" spans="1:14">
      <c r="A5" t="s">
        <v>512</v>
      </c>
      <c r="B5" t="s">
        <v>491</v>
      </c>
      <c r="C5" s="397">
        <f>'Main Page'!$B$31</f>
        <v>8376.5759522050193</v>
      </c>
      <c r="K5" s="396"/>
    </row>
    <row r="6" spans="1:14">
      <c r="A6" t="s">
        <v>492</v>
      </c>
      <c r="B6" t="s">
        <v>493</v>
      </c>
      <c r="C6" s="395">
        <f>'Main Page'!B43</f>
        <v>2.5853629482114255E-3</v>
      </c>
      <c r="K6" s="396"/>
    </row>
    <row r="7" spans="1:14">
      <c r="A7" t="s">
        <v>464</v>
      </c>
      <c r="B7" t="s">
        <v>494</v>
      </c>
      <c r="C7" s="395">
        <v>2.6</v>
      </c>
      <c r="K7" s="396"/>
    </row>
    <row r="8" spans="1:14">
      <c r="A8" t="s">
        <v>395</v>
      </c>
      <c r="B8" t="s">
        <v>495</v>
      </c>
      <c r="C8">
        <f>'Main Page'!$B$29</f>
        <v>20.462778397529398</v>
      </c>
      <c r="G8" t="s">
        <v>496</v>
      </c>
      <c r="K8" s="396"/>
    </row>
    <row r="9" spans="1:14">
      <c r="A9" t="s">
        <v>464</v>
      </c>
      <c r="B9" t="s">
        <v>497</v>
      </c>
      <c r="C9" s="102">
        <f>'Main Page'!$B$34</f>
        <v>2.6</v>
      </c>
      <c r="G9" t="s">
        <v>498</v>
      </c>
      <c r="K9" s="396"/>
    </row>
    <row r="10" spans="1:14">
      <c r="A10" t="s">
        <v>464</v>
      </c>
      <c r="B10" t="s">
        <v>499</v>
      </c>
      <c r="C10" s="102">
        <f>'Main Page'!$B$35</f>
        <v>90</v>
      </c>
      <c r="G10" t="s">
        <v>500</v>
      </c>
      <c r="K10" s="396"/>
    </row>
    <row r="11" spans="1:14">
      <c r="A11" t="s">
        <v>438</v>
      </c>
      <c r="B11" t="s">
        <v>501</v>
      </c>
      <c r="C11">
        <f>'Main Page'!$B$40</f>
        <v>2.5000000000000001E-2</v>
      </c>
      <c r="G11" t="s">
        <v>502</v>
      </c>
      <c r="K11" s="396"/>
    </row>
    <row r="12" spans="1:14">
      <c r="A12" t="s">
        <v>503</v>
      </c>
      <c r="B12" t="s">
        <v>504</v>
      </c>
      <c r="C12">
        <f>'Main Page'!$B$37*PI()/180</f>
        <v>4.5378560551852569E-2</v>
      </c>
      <c r="G12" t="s">
        <v>505</v>
      </c>
      <c r="K12" s="396"/>
    </row>
    <row r="13" spans="1:14">
      <c r="A13" t="s">
        <v>503</v>
      </c>
      <c r="B13" t="s">
        <v>506</v>
      </c>
      <c r="C13">
        <f>'Main Page'!$B$38*PI()/180</f>
        <v>0.52359877559829882</v>
      </c>
      <c r="G13" t="s">
        <v>507</v>
      </c>
      <c r="K13" s="396"/>
    </row>
    <row r="14" spans="1:14">
      <c r="A14" t="s">
        <v>440</v>
      </c>
      <c r="B14" t="s">
        <v>508</v>
      </c>
      <c r="C14">
        <f>1/C12^C15</f>
        <v>0.21302244142778143</v>
      </c>
      <c r="G14" t="s">
        <v>509</v>
      </c>
      <c r="K14" s="396"/>
    </row>
    <row r="15" spans="1:14">
      <c r="A15" t="s">
        <v>440</v>
      </c>
      <c r="B15" t="s">
        <v>510</v>
      </c>
      <c r="C15">
        <f>'Main Page'!$B$39</f>
        <v>-0.5</v>
      </c>
      <c r="G15" t="s">
        <v>511</v>
      </c>
      <c r="K15" s="396"/>
    </row>
    <row r="16" spans="1:14">
      <c r="B16" t="s">
        <v>513</v>
      </c>
      <c r="C16" s="101">
        <f>(4*'Main Page'!$B$29/30*PI())^2</f>
        <v>73.469387755102005</v>
      </c>
      <c r="D16" s="101">
        <v>0</v>
      </c>
      <c r="E16" s="101">
        <v>0</v>
      </c>
      <c r="G16" t="s">
        <v>514</v>
      </c>
      <c r="K16" s="396"/>
    </row>
    <row r="17" spans="2:11">
      <c r="B17" t="s">
        <v>515</v>
      </c>
      <c r="C17" s="101">
        <f>(4*'Main Page'!$B$29/30*PI())^2</f>
        <v>73.469387755102005</v>
      </c>
      <c r="D17" s="101">
        <f>2*0.8*(4*'Main Page'!$B$29/30*PI())</f>
        <v>13.714285714285712</v>
      </c>
      <c r="E17" s="101">
        <v>1</v>
      </c>
      <c r="G17" t="s">
        <v>516</v>
      </c>
      <c r="K17" s="102"/>
    </row>
    <row r="19" spans="2:11">
      <c r="K19" s="397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I6" sqref="I6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422</v>
      </c>
      <c r="B1" t="s">
        <v>423</v>
      </c>
      <c r="C1" t="s">
        <v>424</v>
      </c>
    </row>
    <row r="3" spans="1:13">
      <c r="A3" t="s">
        <v>85</v>
      </c>
      <c r="B3" t="s">
        <v>458</v>
      </c>
      <c r="C3" s="397">
        <f>'Main Page'!B61</f>
        <v>-3.3</v>
      </c>
    </row>
    <row r="4" spans="1:13">
      <c r="A4" t="s">
        <v>85</v>
      </c>
      <c r="B4" t="s">
        <v>459</v>
      </c>
      <c r="C4" s="397">
        <f>('Main Page'!B5*'Main Page'!E5+'Main Page'!B6*'Main Page'!E6+'Main Page'!B7*'Main Page'!E7)/C11</f>
        <v>-0.16805247318887553</v>
      </c>
      <c r="I4" s="102"/>
    </row>
    <row r="5" spans="1:13">
      <c r="A5" t="s">
        <v>85</v>
      </c>
      <c r="B5" t="s">
        <v>460</v>
      </c>
      <c r="C5" s="397">
        <f>('Main Page'!C5*'Main Page'!E5+'Main Page'!C6*'Main Page'!E6+'Main Page'!C7*'Main Page'!E7)/C11</f>
        <v>0</v>
      </c>
    </row>
    <row r="6" spans="1:13">
      <c r="A6" t="s">
        <v>85</v>
      </c>
      <c r="B6" t="s">
        <v>461</v>
      </c>
      <c r="C6" s="397">
        <f>('Main Page'!D5*'Main Page'!E5+'Main Page'!D6*'Main Page'!E6+'Main Page'!D7*'Main Page'!E7)/C11+'Main Page'!B46</f>
        <v>1.3845180373045847</v>
      </c>
      <c r="I6" s="103"/>
      <c r="J6" s="103"/>
      <c r="K6" s="103"/>
    </row>
    <row r="7" spans="1:13">
      <c r="A7" t="s">
        <v>85</v>
      </c>
      <c r="B7" t="s">
        <v>462</v>
      </c>
      <c r="C7" s="397">
        <f>'Main Page'!B9-'Main Page'!B46</f>
        <v>82.39</v>
      </c>
      <c r="I7" s="103"/>
      <c r="J7" s="103"/>
      <c r="K7" s="103"/>
    </row>
    <row r="8" spans="1:13">
      <c r="A8" t="s">
        <v>85</v>
      </c>
      <c r="B8" t="s">
        <v>463</v>
      </c>
      <c r="C8" s="397">
        <f>'Main Page'!B46</f>
        <v>1.61</v>
      </c>
      <c r="I8" s="103"/>
      <c r="J8" s="103"/>
      <c r="K8" s="103"/>
    </row>
    <row r="9" spans="1:13">
      <c r="A9" t="s">
        <v>464</v>
      </c>
      <c r="B9" t="s">
        <v>465</v>
      </c>
      <c r="C9" s="397">
        <f>-'Main Page'!B11</f>
        <v>-5</v>
      </c>
      <c r="I9" s="103"/>
    </row>
    <row r="10" spans="1:13">
      <c r="A10" t="s">
        <v>464</v>
      </c>
      <c r="B10" t="s">
        <v>466</v>
      </c>
      <c r="C10" s="397">
        <f>-'Main Page'!B18</f>
        <v>0</v>
      </c>
      <c r="I10" s="103"/>
      <c r="M10" s="352"/>
    </row>
    <row r="11" spans="1:13">
      <c r="A11" t="s">
        <v>117</v>
      </c>
      <c r="B11" t="s">
        <v>467</v>
      </c>
      <c r="C11" s="397">
        <f>SUM('Main Page'!E5+'Main Page'!E6+'Main Page'!E7)</f>
        <v>52838.90825962169</v>
      </c>
      <c r="I11" s="103"/>
      <c r="M11" s="352"/>
    </row>
    <row r="12" spans="1:13">
      <c r="A12" t="s">
        <v>117</v>
      </c>
      <c r="B12" t="s">
        <v>468</v>
      </c>
      <c r="C12" s="397">
        <f>'Main Page'!E8</f>
        <v>19186.870177541427</v>
      </c>
      <c r="I12" s="103"/>
      <c r="M12" s="352"/>
    </row>
    <row r="13" spans="1:13">
      <c r="A13" t="s">
        <v>469</v>
      </c>
      <c r="B13" t="s">
        <v>470</v>
      </c>
      <c r="C13" s="397">
        <f>SUM('Main Page'!H5:H7)</f>
        <v>45376.990833681382</v>
      </c>
      <c r="I13" s="103"/>
    </row>
    <row r="14" spans="1:13">
      <c r="A14" t="s">
        <v>469</v>
      </c>
      <c r="B14" t="s">
        <v>471</v>
      </c>
      <c r="C14" s="397">
        <f>SUM(GECdrivetrain!M11:'GECdrivetrain'!M12)/('Main Page'!$B$88)^2</f>
        <v>56.442477248189412</v>
      </c>
      <c r="I14" s="103"/>
    </row>
    <row r="15" spans="1:13">
      <c r="A15" t="s">
        <v>469</v>
      </c>
      <c r="B15" t="s">
        <v>472</v>
      </c>
      <c r="C15" s="397">
        <f>GECdrivetrain!M5</f>
        <v>29975.370571214964</v>
      </c>
    </row>
    <row r="16" spans="1:13">
      <c r="A16" t="s">
        <v>440</v>
      </c>
      <c r="B16" t="s">
        <v>473</v>
      </c>
      <c r="C16" s="403">
        <f>'Main Page'!B19*100</f>
        <v>95</v>
      </c>
    </row>
    <row r="17" spans="1:13">
      <c r="A17" t="s">
        <v>440</v>
      </c>
      <c r="B17" t="s">
        <v>474</v>
      </c>
      <c r="C17">
        <f>'Main Page'!$B$88</f>
        <v>87.964594300514221</v>
      </c>
    </row>
    <row r="18" spans="1:13">
      <c r="A18" t="s">
        <v>475</v>
      </c>
      <c r="B18" t="s">
        <v>476</v>
      </c>
      <c r="C18" s="348">
        <f>'Main Page'!B14</f>
        <v>483129639.71309441</v>
      </c>
      <c r="I18" s="103"/>
    </row>
    <row r="19" spans="1:13">
      <c r="A19" t="s">
        <v>477</v>
      </c>
      <c r="B19" t="s">
        <v>478</v>
      </c>
      <c r="C19" s="348">
        <f>2*'Main Page'!B15/100*SQRT(C18*'Main Page'!B16*C14*C17^2/('Main Page'!B16+C14*C17^2))</f>
        <v>1355794.0774545206</v>
      </c>
      <c r="I19" s="103"/>
    </row>
    <row r="20" spans="1:13">
      <c r="A20" t="s">
        <v>479</v>
      </c>
      <c r="B20" t="s">
        <v>480</v>
      </c>
      <c r="C20" s="332">
        <f>'Main Page'!B92*1000</f>
        <v>1500000</v>
      </c>
      <c r="M20" s="352"/>
    </row>
    <row r="21" spans="1:13">
      <c r="I21" s="103"/>
      <c r="M21" s="352"/>
    </row>
    <row r="22" spans="1:13">
      <c r="I22" s="103"/>
      <c r="M22" s="3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C2" workbookViewId="0">
      <selection activeCell="D17" sqref="D17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422</v>
      </c>
      <c r="B1" t="s">
        <v>423</v>
      </c>
      <c r="C1" t="s">
        <v>424</v>
      </c>
    </row>
    <row r="3" spans="1:14">
      <c r="A3" t="s">
        <v>386</v>
      </c>
      <c r="B3" t="s">
        <v>481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482</v>
      </c>
      <c r="C4" t="s">
        <v>483</v>
      </c>
      <c r="D4" t="s">
        <v>484</v>
      </c>
      <c r="E4" t="s">
        <v>485</v>
      </c>
      <c r="F4" t="s">
        <v>486</v>
      </c>
      <c r="G4" t="s">
        <v>487</v>
      </c>
      <c r="H4" t="s">
        <v>488</v>
      </c>
    </row>
    <row r="5" spans="1:14">
      <c r="C5" s="396">
        <f>GECtwrdata!$B15/9</f>
        <v>0</v>
      </c>
      <c r="D5">
        <f>GECtwrdata!$G15</f>
        <v>2549.9967909929578</v>
      </c>
      <c r="E5" s="400">
        <f>GECtwrdata!$N15</f>
        <v>248017961443.11847</v>
      </c>
      <c r="F5" s="400">
        <f>GECtwrdata!$N15</f>
        <v>248017961443.11847</v>
      </c>
      <c r="G5" s="400">
        <f>GECtwrdata!$K15</f>
        <v>190783047263.93729</v>
      </c>
      <c r="H5" s="400">
        <f>GECtwrdata!$H15</f>
        <v>61874353436.286514</v>
      </c>
      <c r="N5" s="352"/>
    </row>
    <row r="6" spans="1:14">
      <c r="C6" s="396">
        <f>GECtwrdata!$B16/9</f>
        <v>0.1111111111111111</v>
      </c>
      <c r="D6">
        <f>GECtwrdata!$G16</f>
        <v>2285.8940826504545</v>
      </c>
      <c r="E6" s="400">
        <f>GECtwrdata!$N16</f>
        <v>196124484340.01657</v>
      </c>
      <c r="F6" s="400">
        <f>GECtwrdata!$N16</f>
        <v>196124484340.01657</v>
      </c>
      <c r="G6" s="400">
        <f>GECtwrdata!$K16</f>
        <v>150864987953.85889</v>
      </c>
      <c r="H6" s="400">
        <f>GECtwrdata!$H16</f>
        <v>55466037795.582756</v>
      </c>
      <c r="N6" s="352"/>
    </row>
    <row r="7" spans="1:14">
      <c r="C7" s="396">
        <f>GECtwrdata!$B17/9</f>
        <v>0.22222222222222221</v>
      </c>
      <c r="D7">
        <f>GECtwrdata!$G17</f>
        <v>2035.9133906776767</v>
      </c>
      <c r="E7" s="400">
        <f>GECtwrdata!$N17</f>
        <v>152799439475.66925</v>
      </c>
      <c r="F7" s="400">
        <f>GECtwrdata!$N17</f>
        <v>152799439475.66925</v>
      </c>
      <c r="G7" s="400">
        <f>GECtwrdata!$K17</f>
        <v>117538030365.89941</v>
      </c>
      <c r="H7" s="400">
        <f>GECtwrdata!$H17</f>
        <v>49400385579.076172</v>
      </c>
      <c r="N7" s="352"/>
    </row>
    <row r="8" spans="1:14">
      <c r="C8" s="396">
        <f>GECtwrdata!$B18/9</f>
        <v>0.33333333333333331</v>
      </c>
      <c r="D8">
        <f>GECtwrdata!$G18</f>
        <v>1800.0547150746263</v>
      </c>
      <c r="E8" s="400">
        <f>GECtwrdata!$N18</f>
        <v>117048609933.02327</v>
      </c>
      <c r="F8" s="400">
        <f>GECtwrdata!$N18</f>
        <v>117048609933.02327</v>
      </c>
      <c r="G8" s="400">
        <f>GECtwrdata!$K18</f>
        <v>90037392256.171738</v>
      </c>
      <c r="H8" s="400">
        <f>GECtwrdata!$H18</f>
        <v>43677396786.766785</v>
      </c>
      <c r="N8" s="352"/>
    </row>
    <row r="9" spans="1:14">
      <c r="C9" s="396">
        <f>GECtwrdata!$B19/9</f>
        <v>0.44444444444444442</v>
      </c>
      <c r="D9">
        <f>GECtwrdata!$G19</f>
        <v>1578.3180558413023</v>
      </c>
      <c r="E9" s="400">
        <f>GECtwrdata!$N19</f>
        <v>87938673669.764404</v>
      </c>
      <c r="F9" s="400">
        <f>GECtwrdata!$N19</f>
        <v>87938673669.764404</v>
      </c>
      <c r="G9" s="400">
        <f>GECtwrdata!$K19</f>
        <v>67645133592.126465</v>
      </c>
      <c r="H9" s="400">
        <f>GECtwrdata!$H19</f>
        <v>38297071418.654587</v>
      </c>
      <c r="N9" s="352"/>
    </row>
    <row r="10" spans="1:14">
      <c r="C10" s="396">
        <f>GECtwrdata!$B20/9</f>
        <v>0.55555555555555558</v>
      </c>
      <c r="D10">
        <f>GECtwrdata!$G20</f>
        <v>1370.7034129777046</v>
      </c>
      <c r="E10" s="400">
        <f>GECtwrdata!$N20</f>
        <v>64597203518.317947</v>
      </c>
      <c r="F10" s="400">
        <f>GECtwrdata!$N20</f>
        <v>64597203518.317947</v>
      </c>
      <c r="G10" s="400">
        <f>GECtwrdata!$K20</f>
        <v>49690156552.552261</v>
      </c>
      <c r="H10" s="400">
        <f>GECtwrdata!$H20</f>
        <v>33259409474.739571</v>
      </c>
      <c r="N10" s="352"/>
    </row>
    <row r="11" spans="1:14">
      <c r="C11" s="396">
        <f>GECtwrdata!$B21/9</f>
        <v>0.66666666666666663</v>
      </c>
      <c r="D11">
        <f>GECtwrdata!$G21</f>
        <v>1177.2107864838345</v>
      </c>
      <c r="E11" s="400">
        <f>GECtwrdata!$N21</f>
        <v>46212667185.848305</v>
      </c>
      <c r="F11" s="400">
        <f>GECtwrdata!$N21</f>
        <v>46212667185.848305</v>
      </c>
      <c r="G11" s="400">
        <f>GECtwrdata!$K21</f>
        <v>35548205527.575615</v>
      </c>
      <c r="H11" s="400">
        <f>GECtwrdata!$H21</f>
        <v>28564410955.021763</v>
      </c>
      <c r="N11" s="352"/>
    </row>
    <row r="12" spans="1:14">
      <c r="C12" s="396">
        <f>GECtwrdata!$B22/9</f>
        <v>0.77777777777777779</v>
      </c>
      <c r="D12">
        <f>GECtwrdata!$G22</f>
        <v>997.84017635969042</v>
      </c>
      <c r="E12" s="400">
        <f>GECtwrdata!$N22</f>
        <v>32034427254.259068</v>
      </c>
      <c r="F12" s="400">
        <f>GECtwrdata!$N22</f>
        <v>32034427254.259068</v>
      </c>
      <c r="G12" s="400">
        <f>GECtwrdata!$K22</f>
        <v>24641867118.66082</v>
      </c>
      <c r="H12" s="400">
        <f>GECtwrdata!$H22</f>
        <v>24212075859.501129</v>
      </c>
      <c r="N12" s="352"/>
    </row>
    <row r="13" spans="1:14">
      <c r="C13" s="396">
        <f>GECtwrdata!$B23/9</f>
        <v>0.88888888888888884</v>
      </c>
      <c r="D13">
        <f>GECtwrdata!$G23</f>
        <v>832.5915826052734</v>
      </c>
      <c r="E13" s="400">
        <f>GECtwrdata!$N23</f>
        <v>21372741180.19326</v>
      </c>
      <c r="F13" s="400">
        <f>GECtwrdata!$N23</f>
        <v>21372741180.19326</v>
      </c>
      <c r="G13" s="400">
        <f>GECtwrdata!$K23</f>
        <v>16440570138.610201</v>
      </c>
      <c r="H13" s="400">
        <f>GECtwrdata!$H23</f>
        <v>20202404188.177696</v>
      </c>
      <c r="N13" s="352"/>
    </row>
    <row r="14" spans="1:14">
      <c r="C14" s="396">
        <f>GECtwrdata!$B24/9</f>
        <v>1</v>
      </c>
      <c r="D14">
        <f>GECtwrdata!$G24</f>
        <v>681.46500522058295</v>
      </c>
      <c r="E14" s="400">
        <f>GECtwrdata!$N24</f>
        <v>13598761295.033031</v>
      </c>
      <c r="F14" s="400">
        <f>GECtwrdata!$N24</f>
        <v>13598761295.033031</v>
      </c>
      <c r="G14" s="400">
        <f>GECtwrdata!$K24</f>
        <v>10460585611.563871</v>
      </c>
      <c r="H14" s="400">
        <f>GECtwrdata!$H24</f>
        <v>16535395941.051451</v>
      </c>
      <c r="I14" s="356"/>
      <c r="J14" s="356"/>
      <c r="K14" s="356"/>
      <c r="L14" s="356"/>
      <c r="N14" s="352"/>
    </row>
    <row r="15" spans="1:14">
      <c r="N15" s="3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35" sqref="E35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18" t="s">
        <v>84</v>
      </c>
      <c r="B2" s="419"/>
      <c r="C2" s="419"/>
      <c r="D2" s="420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363">
        <v>3.4349999999999999E-2</v>
      </c>
      <c r="B4" s="364">
        <v>3.4349999999999999E-2</v>
      </c>
      <c r="C4" s="364">
        <v>3.4349999999999999E-2</v>
      </c>
      <c r="D4" s="365">
        <v>3.4349999999999999E-2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U35" sqref="U35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404" t="s">
        <v>84</v>
      </c>
      <c r="E2" s="406"/>
      <c r="F2" s="407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4">
        <v>0.01</v>
      </c>
      <c r="E4" s="265">
        <v>0.01</v>
      </c>
      <c r="F4" s="266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 t="s">
        <v>405</v>
      </c>
    </row>
    <row r="10" spans="1:20">
      <c r="A10" s="7">
        <v>1</v>
      </c>
      <c r="B10" s="91">
        <f>GECbladedata!C28</f>
        <v>0</v>
      </c>
      <c r="C10" s="104">
        <f>GECbladedata!D28</f>
        <v>1447.6067650097025</v>
      </c>
      <c r="D10" s="104">
        <f>GECbladedata!E28</f>
        <v>0</v>
      </c>
      <c r="E10" s="104">
        <f>GECbladedata!F28</f>
        <v>1292.0872285403536</v>
      </c>
      <c r="F10" s="65">
        <f>GECbladedata!G28</f>
        <v>0</v>
      </c>
      <c r="G10" s="105">
        <f>GECbladedata!H28</f>
        <v>0.48126746253492514</v>
      </c>
      <c r="H10" s="65">
        <f>GECbladedata!I28</f>
        <v>0</v>
      </c>
      <c r="I10" s="105">
        <f>GECbladedata!J28</f>
        <v>0.48126746253492514</v>
      </c>
      <c r="J10" s="104">
        <f>GECbladedata!K28</f>
        <v>11.1</v>
      </c>
      <c r="K10" s="253">
        <f>GECbladedata!L28</f>
        <v>2655231266.008985</v>
      </c>
      <c r="L10" s="253">
        <f>GECbladedata!M28</f>
        <v>17152702552.539173</v>
      </c>
      <c r="M10" s="253">
        <f>GECbladedata!N28</f>
        <v>7681455580.9267292</v>
      </c>
      <c r="N10" s="253">
        <f>GECbladedata!O28</f>
        <v>7681455580.9267292</v>
      </c>
      <c r="O10" s="105">
        <f>GECbladedata!P28</f>
        <v>1.9250698501397006</v>
      </c>
      <c r="P10" s="105">
        <f>GECbladedata!Q28</f>
        <v>0</v>
      </c>
      <c r="Q10" s="67">
        <f>GECbladedata!R28</f>
        <v>1</v>
      </c>
      <c r="R10" s="332">
        <f>C10*(B11-B10)/2*B$2</f>
        <v>506.66236775339593</v>
      </c>
      <c r="S10" s="9"/>
      <c r="T10" s="9">
        <f>R10*(B10*($B$2+$B$3))^2</f>
        <v>0</v>
      </c>
    </row>
    <row r="11" spans="1:20">
      <c r="A11" s="7">
        <v>2</v>
      </c>
      <c r="B11" s="91">
        <f>GECbladedata!C29</f>
        <v>2.1052631578947371E-2</v>
      </c>
      <c r="C11" s="104">
        <f>GECbladedata!D29</f>
        <v>175.09526752452746</v>
      </c>
      <c r="D11" s="104">
        <f>GECbladedata!E29</f>
        <v>0</v>
      </c>
      <c r="E11" s="104">
        <f>GECbladedata!F29</f>
        <v>156.28440292953599</v>
      </c>
      <c r="F11" s="65">
        <f>GECbladedata!G29</f>
        <v>0</v>
      </c>
      <c r="G11" s="105">
        <f>GECbladedata!H29</f>
        <v>0.47237998475996962</v>
      </c>
      <c r="H11" s="65">
        <f>GECbladedata!I29</f>
        <v>0</v>
      </c>
      <c r="I11" s="105">
        <f>GECbladedata!J29</f>
        <v>0.47237998475996962</v>
      </c>
      <c r="J11" s="104">
        <f>GECbladedata!K29</f>
        <v>11.1</v>
      </c>
      <c r="K11" s="253">
        <f>GECbladedata!L29</f>
        <v>396922874.29357898</v>
      </c>
      <c r="L11" s="253">
        <f>GECbladedata!M29</f>
        <v>2564102972.7290158</v>
      </c>
      <c r="M11" s="253">
        <f>GECbladedata!N29</f>
        <v>1135890133.898103</v>
      </c>
      <c r="N11" s="253">
        <f>GECbladedata!O29</f>
        <v>1135890133.898103</v>
      </c>
      <c r="O11" s="105">
        <f>GECbladedata!P29</f>
        <v>1.8895199390398785</v>
      </c>
      <c r="P11" s="105">
        <f>GECbladedata!Q29</f>
        <v>0</v>
      </c>
      <c r="Q11" s="67">
        <f>GECbladedata!R29</f>
        <v>1</v>
      </c>
      <c r="R11" s="332">
        <f>C11*(B12-B10)/2*B$2</f>
        <v>153.20835908396148</v>
      </c>
      <c r="S11" s="9"/>
      <c r="T11" s="9">
        <f t="shared" ref="T11:T30" si="0">R11*(B11*($B$2+$B$3))^2</f>
        <v>83.182377785197943</v>
      </c>
    </row>
    <row r="12" spans="1:20">
      <c r="A12" s="7">
        <v>3</v>
      </c>
      <c r="B12" s="91">
        <f>GECbladedata!C30</f>
        <v>5.2631578947368411E-2</v>
      </c>
      <c r="C12" s="104">
        <f>GECbladedata!D30</f>
        <v>177.06368875697348</v>
      </c>
      <c r="D12" s="104">
        <f>GECbladedata!E30</f>
        <v>0</v>
      </c>
      <c r="E12" s="104">
        <f>GECbladedata!F30</f>
        <v>144.39998024993218</v>
      </c>
      <c r="F12" s="65">
        <f>GECbladedata!G30</f>
        <v>0</v>
      </c>
      <c r="G12" s="105">
        <f>GECbladedata!H30</f>
        <v>0.42633178762045676</v>
      </c>
      <c r="H12" s="65">
        <f>GECbladedata!I30</f>
        <v>0</v>
      </c>
      <c r="I12" s="105">
        <f>GECbladedata!J30</f>
        <v>0.38839178166193</v>
      </c>
      <c r="J12" s="104">
        <f>GECbladedata!K30</f>
        <v>11.1</v>
      </c>
      <c r="K12" s="253">
        <f>GECbladedata!L30</f>
        <v>333909521.38682187</v>
      </c>
      <c r="L12" s="253">
        <f>GECbladedata!M30</f>
        <v>2543929754.0773292</v>
      </c>
      <c r="M12" s="253">
        <f>GECbladedata!N30</f>
        <v>1063797342.2559701</v>
      </c>
      <c r="N12" s="253">
        <f>GECbladedata!O30</f>
        <v>991868967.89679074</v>
      </c>
      <c r="O12" s="105">
        <f>GECbladedata!P30</f>
        <v>2.0412835492337655</v>
      </c>
      <c r="P12" s="105">
        <f>GECbladedata!Q30</f>
        <v>-4.2001524003048019E-2</v>
      </c>
      <c r="Q12" s="67">
        <f>GECbladedata!R30</f>
        <v>1</v>
      </c>
      <c r="R12" s="332">
        <f t="shared" ref="R12:R29" si="1">C12*(B13-B11)/2*B$2</f>
        <v>247.88916425976282</v>
      </c>
      <c r="S12" s="9"/>
      <c r="T12" s="9">
        <f t="shared" si="0"/>
        <v>841.17514187869631</v>
      </c>
    </row>
    <row r="13" spans="1:20">
      <c r="A13" s="7">
        <v>4</v>
      </c>
      <c r="B13" s="91">
        <f>GECbladedata!C31</f>
        <v>0.10526315789473684</v>
      </c>
      <c r="C13" s="104">
        <f>GECbladedata!D31</f>
        <v>180.34439081105018</v>
      </c>
      <c r="D13" s="104">
        <f>GECbladedata!E31</f>
        <v>0</v>
      </c>
      <c r="E13" s="104">
        <f>GECbladedata!F31</f>
        <v>124.59260911725914</v>
      </c>
      <c r="F13" s="65">
        <f>GECbladedata!G31</f>
        <v>0</v>
      </c>
      <c r="G13" s="105">
        <f>GECbladedata!H31</f>
        <v>0.34958479238793538</v>
      </c>
      <c r="H13" s="65">
        <f>GECbladedata!I31</f>
        <v>0</v>
      </c>
      <c r="I13" s="105">
        <f>GECbladedata!J31</f>
        <v>0.24841144316519728</v>
      </c>
      <c r="J13" s="104">
        <f>GECbladedata!K31</f>
        <v>11.1</v>
      </c>
      <c r="K13" s="253">
        <f>GECbladedata!L31</f>
        <v>228887266.54222673</v>
      </c>
      <c r="L13" s="253">
        <f>GECbladedata!M31</f>
        <v>2510307722.9911847</v>
      </c>
      <c r="M13" s="253">
        <f>GECbladedata!N31</f>
        <v>943642689.51908183</v>
      </c>
      <c r="N13" s="253">
        <f>GECbladedata!O31</f>
        <v>751833691.22793698</v>
      </c>
      <c r="O13" s="105">
        <f>GECbladedata!P31</f>
        <v>2.2942228995569103</v>
      </c>
      <c r="P13" s="105">
        <f>GECbladedata!Q31</f>
        <v>-0.11200406400812804</v>
      </c>
      <c r="Q13" s="67">
        <f>GECbladedata!R31</f>
        <v>2</v>
      </c>
      <c r="R13" s="332">
        <f t="shared" si="1"/>
        <v>315.60268391933778</v>
      </c>
      <c r="S13" s="9"/>
      <c r="T13" s="9">
        <f t="shared" si="0"/>
        <v>4283.8037429494598</v>
      </c>
    </row>
    <row r="14" spans="1:20">
      <c r="A14" s="7">
        <v>5</v>
      </c>
      <c r="B14" s="91">
        <f>GECbladedata!C32</f>
        <v>0.15789473684210525</v>
      </c>
      <c r="C14" s="104">
        <f>GECbladedata!D32</f>
        <v>183.6250928651269</v>
      </c>
      <c r="D14" s="104">
        <f>GECbladedata!E32</f>
        <v>0</v>
      </c>
      <c r="E14" s="104">
        <f>GECbladedata!F32</f>
        <v>104.7852379845861</v>
      </c>
      <c r="F14" s="65">
        <f>GECbladedata!G32</f>
        <v>0</v>
      </c>
      <c r="G14" s="105">
        <f>GECbladedata!H32</f>
        <v>0.27283779715541395</v>
      </c>
      <c r="H14" s="65">
        <f>GECbladedata!I32</f>
        <v>0</v>
      </c>
      <c r="I14" s="105">
        <f>GECbladedata!J32</f>
        <v>0.10843110466846451</v>
      </c>
      <c r="J14" s="104">
        <f>GECbladedata!K32</f>
        <v>11.1</v>
      </c>
      <c r="K14" s="253">
        <f>GECbladedata!L32</f>
        <v>123865011.69763154</v>
      </c>
      <c r="L14" s="253">
        <f>GECbladedata!M32</f>
        <v>2476685691.9050398</v>
      </c>
      <c r="M14" s="253">
        <f>GECbladedata!N32</f>
        <v>823488036.78219366</v>
      </c>
      <c r="N14" s="253">
        <f>GECbladedata!O32</f>
        <v>511798414.55908298</v>
      </c>
      <c r="O14" s="105">
        <f>GECbladedata!P32</f>
        <v>2.5471622498800555</v>
      </c>
      <c r="P14" s="105">
        <f>GECbladedata!Q32</f>
        <v>-0.18200660401320809</v>
      </c>
      <c r="Q14" s="67">
        <f>GECbladedata!R32</f>
        <v>2</v>
      </c>
      <c r="R14" s="332">
        <f t="shared" si="1"/>
        <v>321.3439125139721</v>
      </c>
      <c r="S14" s="9"/>
      <c r="T14" s="9">
        <f t="shared" si="0"/>
        <v>9813.8964971372352</v>
      </c>
    </row>
    <row r="15" spans="1:20">
      <c r="A15" s="7">
        <v>6</v>
      </c>
      <c r="B15" s="91">
        <f>GECbladedata!C33</f>
        <v>0.21052631578947367</v>
      </c>
      <c r="C15" s="104">
        <f>GECbladedata!D33</f>
        <v>186.9057949192036</v>
      </c>
      <c r="D15" s="104">
        <f>GECbladedata!E33</f>
        <v>0</v>
      </c>
      <c r="E15" s="104">
        <f>GECbladedata!F33</f>
        <v>84.977866851913092</v>
      </c>
      <c r="F15" s="65">
        <f>GECbladedata!G33</f>
        <v>0</v>
      </c>
      <c r="G15" s="105">
        <f>GECbladedata!H33</f>
        <v>0.19609080192289258</v>
      </c>
      <c r="H15" s="65">
        <f>GECbladedata!I33</f>
        <v>0</v>
      </c>
      <c r="I15" s="105">
        <f>GECbladedata!J33</f>
        <v>-3.1549233828268214E-2</v>
      </c>
      <c r="J15" s="104">
        <f>GECbladedata!K33</f>
        <v>11.1</v>
      </c>
      <c r="K15" s="253">
        <f>GECbladedata!L33</f>
        <v>18842756.85303637</v>
      </c>
      <c r="L15" s="253">
        <f>GECbladedata!M33</f>
        <v>2443063660.8188953</v>
      </c>
      <c r="M15" s="253">
        <f>GECbladedata!N33</f>
        <v>703333384.04530549</v>
      </c>
      <c r="N15" s="253">
        <f>GECbladedata!O33</f>
        <v>271763137.89022917</v>
      </c>
      <c r="O15" s="105">
        <f>GECbladedata!P33</f>
        <v>2.8001016002032006</v>
      </c>
      <c r="P15" s="105">
        <f>GECbladedata!Q33</f>
        <v>-0.25200914401828811</v>
      </c>
      <c r="Q15" s="67">
        <f>GECbladedata!R33</f>
        <v>2</v>
      </c>
      <c r="R15" s="332">
        <f t="shared" si="1"/>
        <v>327.08514110860631</v>
      </c>
      <c r="S15" s="9"/>
      <c r="T15" s="9">
        <f t="shared" si="0"/>
        <v>17758.639240245659</v>
      </c>
    </row>
    <row r="16" spans="1:20">
      <c r="A16" s="7">
        <v>7</v>
      </c>
      <c r="B16" s="91">
        <f>GECbladedata!C34</f>
        <v>0.26315789473684209</v>
      </c>
      <c r="C16" s="104">
        <f>GECbladedata!D34</f>
        <v>177.14922865011621</v>
      </c>
      <c r="D16" s="104">
        <f>GECbladedata!E34</f>
        <v>0</v>
      </c>
      <c r="E16" s="104">
        <f>GECbladedata!F34</f>
        <v>73.986669813116748</v>
      </c>
      <c r="F16" s="65">
        <f>GECbladedata!G34</f>
        <v>0</v>
      </c>
      <c r="G16" s="105">
        <f>GECbladedata!H34</f>
        <v>0.18971830966017467</v>
      </c>
      <c r="H16" s="65">
        <f>GECbladedata!I34</f>
        <v>0</v>
      </c>
      <c r="I16" s="105">
        <f>GECbladedata!J34</f>
        <v>-1.9210503470170389E-2</v>
      </c>
      <c r="J16" s="104">
        <f>GECbladedata!K34</f>
        <v>9.5</v>
      </c>
      <c r="K16" s="253">
        <f>GECbladedata!L34</f>
        <v>16769674.583370119</v>
      </c>
      <c r="L16" s="253">
        <f>GECbladedata!M34</f>
        <v>2316361926.0390568</v>
      </c>
      <c r="M16" s="253">
        <f>GECbladedata!N34</f>
        <v>613840725.91390061</v>
      </c>
      <c r="N16" s="253">
        <f>GECbladedata!O34</f>
        <v>232457473.04013637</v>
      </c>
      <c r="O16" s="105">
        <f>GECbladedata!P34</f>
        <v>2.6694437388874781</v>
      </c>
      <c r="P16" s="105">
        <f>GECbladedata!Q34</f>
        <v>-0.22736906273812554</v>
      </c>
      <c r="Q16" s="67">
        <f>GECbladedata!R34</f>
        <v>2</v>
      </c>
      <c r="R16" s="332">
        <f t="shared" si="1"/>
        <v>310.01115013770334</v>
      </c>
      <c r="S16" s="9"/>
      <c r="T16" s="9">
        <f t="shared" si="0"/>
        <v>26299.422362789923</v>
      </c>
    </row>
    <row r="17" spans="1:20">
      <c r="A17" s="7">
        <v>8</v>
      </c>
      <c r="B17" s="91">
        <f>GECbladedata!C35</f>
        <v>0.31578947368421051</v>
      </c>
      <c r="C17" s="104">
        <f>GECbladedata!D35</f>
        <v>167.39266238102883</v>
      </c>
      <c r="D17" s="104">
        <f>GECbladedata!E35</f>
        <v>0</v>
      </c>
      <c r="E17" s="104">
        <f>GECbladedata!F35</f>
        <v>62.995472774320405</v>
      </c>
      <c r="F17" s="65">
        <f>GECbladedata!G35</f>
        <v>0</v>
      </c>
      <c r="G17" s="105">
        <f>GECbladedata!H35</f>
        <v>0.18334581739745676</v>
      </c>
      <c r="H17" s="65">
        <f>GECbladedata!I35</f>
        <v>0</v>
      </c>
      <c r="I17" s="105">
        <f>GECbladedata!J35</f>
        <v>-6.8717731120725642E-3</v>
      </c>
      <c r="J17" s="104">
        <f>GECbladedata!K35</f>
        <v>7.9</v>
      </c>
      <c r="K17" s="253">
        <f>GECbladedata!L35</f>
        <v>14696592.313703869</v>
      </c>
      <c r="L17" s="253">
        <f>GECbladedata!M35</f>
        <v>2189660191.2592182</v>
      </c>
      <c r="M17" s="253">
        <f>GECbladedata!N35</f>
        <v>524348067.78249586</v>
      </c>
      <c r="N17" s="253">
        <f>GECbladedata!O35</f>
        <v>193151808.19004357</v>
      </c>
      <c r="O17" s="105">
        <f>GECbladedata!P35</f>
        <v>2.5387858775717556</v>
      </c>
      <c r="P17" s="105">
        <f>GECbladedata!Q35</f>
        <v>-0.20272898145796298</v>
      </c>
      <c r="Q17" s="67">
        <f>GECbladedata!R35</f>
        <v>2</v>
      </c>
      <c r="R17" s="332">
        <f t="shared" si="1"/>
        <v>292.93715916680043</v>
      </c>
      <c r="S17" s="9"/>
      <c r="T17" s="9">
        <f t="shared" si="0"/>
        <v>35785.398114282267</v>
      </c>
    </row>
    <row r="18" spans="1:20">
      <c r="A18" s="7">
        <v>9</v>
      </c>
      <c r="B18" s="91">
        <f>GECbladedata!C36</f>
        <v>0.36842105263157893</v>
      </c>
      <c r="C18" s="104">
        <f>GECbladedata!D36</f>
        <v>157.63609611194141</v>
      </c>
      <c r="D18" s="104">
        <f>GECbladedata!E36</f>
        <v>0</v>
      </c>
      <c r="E18" s="104">
        <f>GECbladedata!F36</f>
        <v>52.004275735524047</v>
      </c>
      <c r="F18" s="65">
        <f>GECbladedata!G36</f>
        <v>0</v>
      </c>
      <c r="G18" s="105">
        <f>GECbladedata!H36</f>
        <v>0.17697332513473882</v>
      </c>
      <c r="H18" s="65">
        <f>GECbladedata!I36</f>
        <v>0</v>
      </c>
      <c r="I18" s="105">
        <f>GECbladedata!J36</f>
        <v>5.4669572460252711E-3</v>
      </c>
      <c r="J18" s="104">
        <f>GECbladedata!K36</f>
        <v>6.2999999999999989</v>
      </c>
      <c r="K18" s="253">
        <f>GECbladedata!L36</f>
        <v>12623510.044037616</v>
      </c>
      <c r="L18" s="253">
        <f>GECbladedata!M36</f>
        <v>2062958456.4793797</v>
      </c>
      <c r="M18" s="253">
        <f>GECbladedata!N36</f>
        <v>434855409.65109092</v>
      </c>
      <c r="N18" s="253">
        <f>GECbladedata!O36</f>
        <v>153846143.33995068</v>
      </c>
      <c r="O18" s="105">
        <f>GECbladedata!P36</f>
        <v>2.4081280162560326</v>
      </c>
      <c r="P18" s="105">
        <f>GECbladedata!Q36</f>
        <v>-0.17808890017780038</v>
      </c>
      <c r="Q18" s="67">
        <f>GECbladedata!R36</f>
        <v>2</v>
      </c>
      <c r="R18" s="332">
        <f t="shared" si="1"/>
        <v>275.86316819589746</v>
      </c>
      <c r="S18" s="9"/>
      <c r="T18" s="9">
        <f t="shared" si="0"/>
        <v>45868.938146700115</v>
      </c>
    </row>
    <row r="19" spans="1:20">
      <c r="A19" s="7">
        <v>10</v>
      </c>
      <c r="B19" s="91">
        <f>GECbladedata!C37</f>
        <v>0.42105263157894735</v>
      </c>
      <c r="C19" s="104">
        <f>GECbladedata!D37</f>
        <v>147.87952984285403</v>
      </c>
      <c r="D19" s="104">
        <f>GECbladedata!E37</f>
        <v>0</v>
      </c>
      <c r="E19" s="104">
        <f>GECbladedata!F37</f>
        <v>41.013078696727703</v>
      </c>
      <c r="F19" s="65">
        <f>GECbladedata!G37</f>
        <v>0</v>
      </c>
      <c r="G19" s="105">
        <f>GECbladedata!H37</f>
        <v>0.17060083287202091</v>
      </c>
      <c r="H19" s="65">
        <f>GECbladedata!I37</f>
        <v>0</v>
      </c>
      <c r="I19" s="105">
        <f>GECbladedata!J37</f>
        <v>1.7805687604123099E-2</v>
      </c>
      <c r="J19" s="104">
        <f>GECbladedata!K37</f>
        <v>4.6999999999999993</v>
      </c>
      <c r="K19" s="253">
        <f>GECbladedata!L37</f>
        <v>10550427.774371365</v>
      </c>
      <c r="L19" s="253">
        <f>GECbladedata!M37</f>
        <v>1936256721.6995411</v>
      </c>
      <c r="M19" s="253">
        <f>GECbladedata!N37</f>
        <v>345362751.51968604</v>
      </c>
      <c r="N19" s="253">
        <f>GECbladedata!O37</f>
        <v>114540478.48985788</v>
      </c>
      <c r="O19" s="105">
        <f>GECbladedata!P37</f>
        <v>2.27747015494031</v>
      </c>
      <c r="P19" s="105">
        <f>GECbladedata!Q37</f>
        <v>-0.15344881889763781</v>
      </c>
      <c r="Q19" s="67">
        <f>GECbladedata!R37</f>
        <v>2</v>
      </c>
      <c r="R19" s="332">
        <f t="shared" si="1"/>
        <v>258.78917722499455</v>
      </c>
      <c r="S19" s="9"/>
      <c r="T19" s="9">
        <f t="shared" si="0"/>
        <v>56202.414112020975</v>
      </c>
    </row>
    <row r="20" spans="1:20">
      <c r="A20" s="7">
        <v>11</v>
      </c>
      <c r="B20" s="91">
        <f>GECbladedata!C38</f>
        <v>0.47368421052631576</v>
      </c>
      <c r="C20" s="104">
        <f>GECbladedata!D38</f>
        <v>138.12296357376664</v>
      </c>
      <c r="D20" s="104">
        <f>GECbladedata!E38</f>
        <v>0</v>
      </c>
      <c r="E20" s="104">
        <f>GECbladedata!F38</f>
        <v>30.021881657931356</v>
      </c>
      <c r="F20" s="65">
        <f>GECbladedata!G38</f>
        <v>0</v>
      </c>
      <c r="G20" s="105">
        <f>GECbladedata!H38</f>
        <v>0.164228340609303</v>
      </c>
      <c r="H20" s="65">
        <f>GECbladedata!I38</f>
        <v>0</v>
      </c>
      <c r="I20" s="105">
        <f>GECbladedata!J38</f>
        <v>3.0144417962220917E-2</v>
      </c>
      <c r="J20" s="104">
        <f>GECbladedata!K38</f>
        <v>3.1</v>
      </c>
      <c r="K20" s="253">
        <f>GECbladedata!L38</f>
        <v>8477345.5047051143</v>
      </c>
      <c r="L20" s="253">
        <f>GECbladedata!M38</f>
        <v>1809554986.9197025</v>
      </c>
      <c r="M20" s="253">
        <f>GECbladedata!N38</f>
        <v>255870093.3882812</v>
      </c>
      <c r="N20" s="253">
        <f>GECbladedata!O38</f>
        <v>75234813.639765084</v>
      </c>
      <c r="O20" s="105">
        <f>GECbladedata!P38</f>
        <v>2.1468122936245875</v>
      </c>
      <c r="P20" s="105">
        <f>GECbladedata!Q38</f>
        <v>-0.12880873761747524</v>
      </c>
      <c r="Q20" s="67">
        <f>GECbladedata!R38</f>
        <v>2</v>
      </c>
      <c r="R20" s="332">
        <f t="shared" si="1"/>
        <v>241.71518625409161</v>
      </c>
      <c r="S20" s="9"/>
      <c r="T20" s="9">
        <f t="shared" si="0"/>
        <v>66438.197662222257</v>
      </c>
    </row>
    <row r="21" spans="1:20">
      <c r="A21" s="7">
        <v>12</v>
      </c>
      <c r="B21" s="91">
        <f>GECbladedata!C39</f>
        <v>0.52631578947368418</v>
      </c>
      <c r="C21" s="104">
        <f>GECbladedata!D39</f>
        <v>122.89599194954269</v>
      </c>
      <c r="D21" s="104">
        <f>GECbladedata!E39</f>
        <v>0</v>
      </c>
      <c r="E21" s="104">
        <f>GECbladedata!F39</f>
        <v>25.417479874083746</v>
      </c>
      <c r="F21" s="65">
        <f>GECbladedata!G39</f>
        <v>0</v>
      </c>
      <c r="G21" s="105">
        <f>GECbladedata!H39</f>
        <v>0.16800350195777142</v>
      </c>
      <c r="H21" s="65">
        <f>GECbladedata!I39</f>
        <v>0</v>
      </c>
      <c r="I21" s="105">
        <f>GECbladedata!J39</f>
        <v>3.8406303707377354E-2</v>
      </c>
      <c r="J21" s="104">
        <f>GECbladedata!K39</f>
        <v>2.5999999999999996</v>
      </c>
      <c r="K21" s="253">
        <f>GECbladedata!L39</f>
        <v>7117485.089523036</v>
      </c>
      <c r="L21" s="253">
        <f>GECbladedata!M39</f>
        <v>1605306500.3754306</v>
      </c>
      <c r="M21" s="253">
        <f>GECbladedata!N39</f>
        <v>217865844.56904829</v>
      </c>
      <c r="N21" s="253">
        <f>GECbladedata!O39</f>
        <v>62494737.508431502</v>
      </c>
      <c r="O21" s="105">
        <f>GECbladedata!P39</f>
        <v>2.0162052324104649</v>
      </c>
      <c r="P21" s="105">
        <f>GECbladedata!Q39</f>
        <v>-0.11200965201930405</v>
      </c>
      <c r="Q21" s="67">
        <f>GECbladedata!R39</f>
        <v>3</v>
      </c>
      <c r="R21" s="332">
        <f t="shared" si="1"/>
        <v>215.06798591169959</v>
      </c>
      <c r="S21" s="9"/>
      <c r="T21" s="9">
        <f t="shared" si="0"/>
        <v>72980.133723499152</v>
      </c>
    </row>
    <row r="22" spans="1:20">
      <c r="A22" s="7">
        <v>13</v>
      </c>
      <c r="B22" s="91">
        <f>GECbladedata!C40</f>
        <v>0.57894736842105254</v>
      </c>
      <c r="C22" s="104">
        <f>GECbladedata!D40</f>
        <v>107.66902032531875</v>
      </c>
      <c r="D22" s="104">
        <f>GECbladedata!E40</f>
        <v>0</v>
      </c>
      <c r="E22" s="104">
        <f>GECbladedata!F40</f>
        <v>20.813078090236147</v>
      </c>
      <c r="F22" s="65">
        <f>GECbladedata!G40</f>
        <v>0</v>
      </c>
      <c r="G22" s="105">
        <f>GECbladedata!H40</f>
        <v>0.17177866330623981</v>
      </c>
      <c r="H22" s="65">
        <f>GECbladedata!I40</f>
        <v>0</v>
      </c>
      <c r="I22" s="105">
        <f>GECbladedata!J40</f>
        <v>4.6668189452533773E-2</v>
      </c>
      <c r="J22" s="104">
        <f>GECbladedata!K40</f>
        <v>2.1000000000000005</v>
      </c>
      <c r="K22" s="253">
        <f>GECbladedata!L40</f>
        <v>5757624.6743409615</v>
      </c>
      <c r="L22" s="253">
        <f>GECbladedata!M40</f>
        <v>1401058013.8311591</v>
      </c>
      <c r="M22" s="253">
        <f>GECbladedata!N40</f>
        <v>179861595.74981546</v>
      </c>
      <c r="N22" s="253">
        <f>GECbladedata!O40</f>
        <v>49754661.377097949</v>
      </c>
      <c r="O22" s="105">
        <f>GECbladedata!P40</f>
        <v>1.8855981711963428</v>
      </c>
      <c r="P22" s="105">
        <f>GECbladedata!Q40</f>
        <v>-9.5210566421132875E-2</v>
      </c>
      <c r="Q22" s="67">
        <f>GECbladedata!R40</f>
        <v>3</v>
      </c>
      <c r="R22" s="332">
        <f t="shared" si="1"/>
        <v>188.42078556930781</v>
      </c>
      <c r="S22" s="9"/>
      <c r="T22" s="9">
        <f t="shared" si="0"/>
        <v>77364.739448782944</v>
      </c>
    </row>
    <row r="23" spans="1:20">
      <c r="A23" s="7">
        <v>14</v>
      </c>
      <c r="B23" s="91">
        <f>GECbladedata!C41</f>
        <v>0.63157894736842102</v>
      </c>
      <c r="C23" s="104">
        <f>GECbladedata!D41</f>
        <v>92.442048701094791</v>
      </c>
      <c r="D23" s="104">
        <f>GECbladedata!E41</f>
        <v>0</v>
      </c>
      <c r="E23" s="104">
        <f>GECbladedata!F41</f>
        <v>16.208676306388536</v>
      </c>
      <c r="F23" s="65">
        <f>GECbladedata!G41</f>
        <v>0</v>
      </c>
      <c r="G23" s="105">
        <f>GECbladedata!H41</f>
        <v>0.17555382465470823</v>
      </c>
      <c r="H23" s="65">
        <f>GECbladedata!I41</f>
        <v>0</v>
      </c>
      <c r="I23" s="105">
        <f>GECbladedata!J41</f>
        <v>5.4930075197690206E-2</v>
      </c>
      <c r="J23" s="104">
        <f>GECbladedata!K41</f>
        <v>1.5999999999999999</v>
      </c>
      <c r="K23" s="253">
        <f>GECbladedata!L41</f>
        <v>4397764.2591588832</v>
      </c>
      <c r="L23" s="253">
        <f>GECbladedata!M41</f>
        <v>1196809527.2868872</v>
      </c>
      <c r="M23" s="253">
        <f>GECbladedata!N41</f>
        <v>141857346.93058252</v>
      </c>
      <c r="N23" s="253">
        <f>GECbladedata!O41</f>
        <v>37014585.245764367</v>
      </c>
      <c r="O23" s="105">
        <f>GECbladedata!P41</f>
        <v>1.7549911099822202</v>
      </c>
      <c r="P23" s="105">
        <f>GECbladedata!Q41</f>
        <v>-7.8411480822961677E-2</v>
      </c>
      <c r="Q23" s="67">
        <f>GECbladedata!R41</f>
        <v>3</v>
      </c>
      <c r="R23" s="332">
        <f t="shared" si="1"/>
        <v>161.77358522691588</v>
      </c>
      <c r="S23" s="9"/>
      <c r="T23" s="9">
        <f t="shared" si="0"/>
        <v>79049.474886504046</v>
      </c>
    </row>
    <row r="24" spans="1:20">
      <c r="A24" s="7">
        <v>15</v>
      </c>
      <c r="B24" s="91">
        <f>GECbladedata!C42</f>
        <v>0.68421052631578938</v>
      </c>
      <c r="C24" s="104">
        <f>GECbladedata!D42</f>
        <v>77.21507707687087</v>
      </c>
      <c r="D24" s="104">
        <f>GECbladedata!E42</f>
        <v>0</v>
      </c>
      <c r="E24" s="104">
        <f>GECbladedata!F42</f>
        <v>11.604274522540937</v>
      </c>
      <c r="F24" s="65">
        <f>GECbladedata!G42</f>
        <v>0</v>
      </c>
      <c r="G24" s="105">
        <f>GECbladedata!H42</f>
        <v>0.17932898600317662</v>
      </c>
      <c r="H24" s="65">
        <f>GECbladedata!I42</f>
        <v>0</v>
      </c>
      <c r="I24" s="105">
        <f>GECbladedata!J42</f>
        <v>6.3191960942846626E-2</v>
      </c>
      <c r="J24" s="104">
        <f>GECbladedata!K42</f>
        <v>1.1000000000000005</v>
      </c>
      <c r="K24" s="253">
        <f>GECbladedata!L42</f>
        <v>3037903.8439768078</v>
      </c>
      <c r="L24" s="253">
        <f>GECbladedata!M42</f>
        <v>992561040.74261582</v>
      </c>
      <c r="M24" s="253">
        <f>GECbladedata!N42</f>
        <v>103853098.1113497</v>
      </c>
      <c r="N24" s="253">
        <f>GECbladedata!O42</f>
        <v>24274509.114430815</v>
      </c>
      <c r="O24" s="105">
        <f>GECbladedata!P42</f>
        <v>1.6243840487680978</v>
      </c>
      <c r="P24" s="105">
        <f>GECbladedata!Q42</f>
        <v>-6.1612395224790506E-2</v>
      </c>
      <c r="Q24" s="67">
        <f>GECbladedata!R42</f>
        <v>3</v>
      </c>
      <c r="R24" s="332">
        <f t="shared" si="1"/>
        <v>135.12638488452401</v>
      </c>
      <c r="S24" s="9"/>
      <c r="T24" s="9">
        <f t="shared" si="0"/>
        <v>77491.800085093026</v>
      </c>
    </row>
    <row r="25" spans="1:20">
      <c r="A25" s="7">
        <v>16</v>
      </c>
      <c r="B25" s="91">
        <f>GECbladedata!C43</f>
        <v>0.73684210526315785</v>
      </c>
      <c r="C25" s="104">
        <f>GECbladedata!D43</f>
        <v>61.988105452646913</v>
      </c>
      <c r="D25" s="104">
        <f>GECbladedata!E43</f>
        <v>0</v>
      </c>
      <c r="E25" s="104">
        <f>GECbladedata!F43</f>
        <v>6.9998727386933259</v>
      </c>
      <c r="F25" s="65">
        <f>GECbladedata!G43</f>
        <v>0</v>
      </c>
      <c r="G25" s="105">
        <f>GECbladedata!H43</f>
        <v>0.18310414735164504</v>
      </c>
      <c r="H25" s="65">
        <f>GECbladedata!I43</f>
        <v>0</v>
      </c>
      <c r="I25" s="105">
        <f>GECbladedata!J43</f>
        <v>7.1453846688003059E-2</v>
      </c>
      <c r="J25" s="104">
        <f>GECbladedata!K43</f>
        <v>0.6</v>
      </c>
      <c r="K25" s="253">
        <f>GECbladedata!L43</f>
        <v>1678043.4287947295</v>
      </c>
      <c r="L25" s="253">
        <f>GECbladedata!M43</f>
        <v>788312554.19834387</v>
      </c>
      <c r="M25" s="253">
        <f>GECbladedata!N43</f>
        <v>65848849.292116806</v>
      </c>
      <c r="N25" s="253">
        <f>GECbladedata!O43</f>
        <v>11534432.983097235</v>
      </c>
      <c r="O25" s="105">
        <f>GECbladedata!P43</f>
        <v>1.4937769875539753</v>
      </c>
      <c r="P25" s="105">
        <f>GECbladedata!Q43</f>
        <v>-4.4813309626619301E-2</v>
      </c>
      <c r="Q25" s="67">
        <f>GECbladedata!R43</f>
        <v>3</v>
      </c>
      <c r="R25" s="332">
        <f t="shared" si="1"/>
        <v>108.47918454213209</v>
      </c>
      <c r="S25" s="9"/>
      <c r="T25" s="9">
        <f t="shared" si="0"/>
        <v>72149.175092980353</v>
      </c>
    </row>
    <row r="26" spans="1:20">
      <c r="A26" s="7">
        <v>17</v>
      </c>
      <c r="B26" s="91">
        <f>GECbladedata!C44</f>
        <v>0.78947368421052622</v>
      </c>
      <c r="C26" s="104">
        <f>GECbladedata!D44</f>
        <v>51.861062495499205</v>
      </c>
      <c r="D26" s="104">
        <f>GECbladedata!E44</f>
        <v>0</v>
      </c>
      <c r="E26" s="104">
        <f>GECbladedata!F44</f>
        <v>5.7532227668845772</v>
      </c>
      <c r="F26" s="65">
        <f>GECbladedata!G44</f>
        <v>0</v>
      </c>
      <c r="G26" s="105">
        <f>GECbladedata!H44</f>
        <v>0.19042527876523782</v>
      </c>
      <c r="H26" s="65">
        <f>GECbladedata!I44</f>
        <v>0</v>
      </c>
      <c r="I26" s="105">
        <f>GECbladedata!J44</f>
        <v>7.6696864497976747E-2</v>
      </c>
      <c r="J26" s="104">
        <f>GECbladedata!K44</f>
        <v>0.47999999999999987</v>
      </c>
      <c r="K26" s="253">
        <f>GECbladedata!L44</f>
        <v>1378321.3526189467</v>
      </c>
      <c r="L26" s="253">
        <f>GECbladedata!M44</f>
        <v>654344501.53916144</v>
      </c>
      <c r="M26" s="253">
        <f>GECbladedata!N44</f>
        <v>54253893.479183525</v>
      </c>
      <c r="N26" s="253">
        <f>GECbladedata!O44</f>
        <v>9273805.0162072163</v>
      </c>
      <c r="O26" s="105">
        <f>GECbladedata!P44</f>
        <v>1.3762255524511049</v>
      </c>
      <c r="P26" s="105">
        <f>GECbladedata!Q44</f>
        <v>-3.5850647701295431E-2</v>
      </c>
      <c r="Q26" s="67">
        <f>GECbladedata!R44</f>
        <v>3</v>
      </c>
      <c r="R26" s="332">
        <f t="shared" si="1"/>
        <v>90.756859367123496</v>
      </c>
      <c r="S26" s="9"/>
      <c r="T26" s="9">
        <f t="shared" si="0"/>
        <v>69293.23923286263</v>
      </c>
    </row>
    <row r="27" spans="1:20">
      <c r="A27" s="7">
        <v>18</v>
      </c>
      <c r="B27" s="91">
        <f>GECbladedata!C45</f>
        <v>0.84210526315789458</v>
      </c>
      <c r="C27" s="104">
        <f>GECbladedata!D45</f>
        <v>41.734019538351525</v>
      </c>
      <c r="D27" s="104">
        <f>GECbladedata!E45</f>
        <v>0</v>
      </c>
      <c r="E27" s="104">
        <f>GECbladedata!F45</f>
        <v>4.5065727950758321</v>
      </c>
      <c r="F27" s="65">
        <f>GECbladedata!G45</f>
        <v>0</v>
      </c>
      <c r="G27" s="105">
        <f>GECbladedata!H45</f>
        <v>0.19774641017883057</v>
      </c>
      <c r="H27" s="65">
        <f>GECbladedata!I45</f>
        <v>0</v>
      </c>
      <c r="I27" s="105">
        <f>GECbladedata!J45</f>
        <v>8.1939882307950435E-2</v>
      </c>
      <c r="J27" s="104">
        <f>GECbladedata!K45</f>
        <v>0.36000000000000004</v>
      </c>
      <c r="K27" s="253">
        <f>GECbladedata!L45</f>
        <v>1078599.2764431648</v>
      </c>
      <c r="L27" s="253">
        <f>GECbladedata!M45</f>
        <v>520376448.87997925</v>
      </c>
      <c r="M27" s="253">
        <f>GECbladedata!N45</f>
        <v>42658937.666250259</v>
      </c>
      <c r="N27" s="253">
        <f>GECbladedata!O45</f>
        <v>7013177.0493172016</v>
      </c>
      <c r="O27" s="105">
        <f>GECbladedata!P45</f>
        <v>1.258674117348235</v>
      </c>
      <c r="P27" s="105">
        <f>GECbladedata!Q45</f>
        <v>-2.6887985775971585E-2</v>
      </c>
      <c r="Q27" s="67">
        <f>GECbladedata!R45</f>
        <v>3</v>
      </c>
      <c r="R27" s="332">
        <f t="shared" si="1"/>
        <v>73.03453419211516</v>
      </c>
      <c r="S27" s="9"/>
      <c r="T27" s="9">
        <f t="shared" si="0"/>
        <v>63444.958234480073</v>
      </c>
    </row>
    <row r="28" spans="1:20">
      <c r="A28" s="7">
        <v>19</v>
      </c>
      <c r="B28" s="91">
        <f>GECbladedata!C46</f>
        <v>0.89473684210526305</v>
      </c>
      <c r="C28" s="104">
        <f>GECbladedata!D46</f>
        <v>31.606976581203817</v>
      </c>
      <c r="D28" s="104">
        <f>GECbladedata!E46</f>
        <v>0</v>
      </c>
      <c r="E28" s="104">
        <f>GECbladedata!F46</f>
        <v>3.2599228232670834</v>
      </c>
      <c r="F28" s="65">
        <f>GECbladedata!G46</f>
        <v>0</v>
      </c>
      <c r="G28" s="105">
        <f>GECbladedata!H46</f>
        <v>0.20506754159242332</v>
      </c>
      <c r="H28" s="65">
        <f>GECbladedata!I46</f>
        <v>0</v>
      </c>
      <c r="I28" s="105">
        <f>GECbladedata!J46</f>
        <v>8.7182900117924123E-2</v>
      </c>
      <c r="J28" s="104">
        <f>GECbladedata!K46</f>
        <v>0.23999999999999994</v>
      </c>
      <c r="K28" s="253">
        <f>GECbladedata!L46</f>
        <v>778877.20026738197</v>
      </c>
      <c r="L28" s="253">
        <f>GECbladedata!M46</f>
        <v>386408396.22079682</v>
      </c>
      <c r="M28" s="253">
        <f>GECbladedata!N46</f>
        <v>31063981.853316978</v>
      </c>
      <c r="N28" s="253">
        <f>GECbladedata!O46</f>
        <v>4752549.0824271832</v>
      </c>
      <c r="O28" s="105">
        <f>GECbladedata!P46</f>
        <v>1.1411226822453646</v>
      </c>
      <c r="P28" s="105">
        <f>GECbladedata!Q46</f>
        <v>-1.7925323850647715E-2</v>
      </c>
      <c r="Q28" s="67">
        <f>GECbladedata!R46</f>
        <v>4</v>
      </c>
      <c r="R28" s="332">
        <f t="shared" si="1"/>
        <v>55.312209017106674</v>
      </c>
      <c r="S28" s="9"/>
      <c r="T28" s="9">
        <f t="shared" si="0"/>
        <v>54243.503593576686</v>
      </c>
    </row>
    <row r="29" spans="1:20">
      <c r="A29" s="7">
        <v>20</v>
      </c>
      <c r="B29" s="91">
        <f>GECbladedata!C47</f>
        <v>0.94736842105263142</v>
      </c>
      <c r="C29" s="104">
        <f>GECbladedata!D47</f>
        <v>21.479933624056137</v>
      </c>
      <c r="D29" s="104">
        <f>GECbladedata!E47</f>
        <v>0</v>
      </c>
      <c r="E29" s="104">
        <f>GECbladedata!F47</f>
        <v>2.0132728514583382</v>
      </c>
      <c r="F29" s="65">
        <f>GECbladedata!G47</f>
        <v>0</v>
      </c>
      <c r="G29" s="105">
        <f>GECbladedata!H47</f>
        <v>0.21238867300601608</v>
      </c>
      <c r="H29" s="65">
        <f>GECbladedata!I47</f>
        <v>0</v>
      </c>
      <c r="I29" s="105">
        <f>GECbladedata!J47</f>
        <v>9.242591792789781E-2</v>
      </c>
      <c r="J29" s="104">
        <f>GECbladedata!K47</f>
        <v>0.12000000000000011</v>
      </c>
      <c r="K29" s="253">
        <f>GECbladedata!L47</f>
        <v>479155.12409160007</v>
      </c>
      <c r="L29" s="253">
        <f>GECbladedata!M47</f>
        <v>252440343.56161463</v>
      </c>
      <c r="M29" s="253">
        <f>GECbladedata!N47</f>
        <v>19469026.040383719</v>
      </c>
      <c r="N29" s="253">
        <f>GECbladedata!O47</f>
        <v>2491921.1155371685</v>
      </c>
      <c r="O29" s="105">
        <f>GECbladedata!P47</f>
        <v>1.0235712471424945</v>
      </c>
      <c r="P29" s="105">
        <f>GECbladedata!Q47</f>
        <v>-8.9626619253238698E-3</v>
      </c>
      <c r="Q29" s="67">
        <f>GECbladedata!R47</f>
        <v>4</v>
      </c>
      <c r="R29" s="332">
        <f t="shared" si="1"/>
        <v>37.589883842098239</v>
      </c>
      <c r="S29" s="9"/>
      <c r="T29" s="9">
        <f t="shared" si="0"/>
        <v>41328.046805896927</v>
      </c>
    </row>
    <row r="30" spans="1:20">
      <c r="A30" s="7">
        <v>21</v>
      </c>
      <c r="B30" s="91">
        <f>GECbladedata!C48</f>
        <v>0.99999999999999989</v>
      </c>
      <c r="C30" s="252">
        <f>GECbladedata!D48</f>
        <v>11.352890666908433</v>
      </c>
      <c r="D30" s="104">
        <f>GECbladedata!E48</f>
        <v>0</v>
      </c>
      <c r="E30" s="104">
        <f>GECbladedata!F48</f>
        <v>0.76662287964958964</v>
      </c>
      <c r="F30" s="65">
        <f>GECbladedata!G48</f>
        <v>0</v>
      </c>
      <c r="G30" s="105">
        <f>GECbladedata!H48</f>
        <v>0.21970980441960886</v>
      </c>
      <c r="H30" s="65">
        <f>GECbladedata!I48</f>
        <v>0</v>
      </c>
      <c r="I30" s="105">
        <f>GECbladedata!J48</f>
        <v>9.7668935737871498E-2</v>
      </c>
      <c r="J30" s="104">
        <f>GECbladedata!K48</f>
        <v>0</v>
      </c>
      <c r="K30" s="253">
        <f>GECbladedata!L48</f>
        <v>179433.04791581735</v>
      </c>
      <c r="L30" s="253">
        <f>GECbladedata!M48</f>
        <v>118472290.90243222</v>
      </c>
      <c r="M30" s="253">
        <f>GECbladedata!N48</f>
        <v>7874070.2274504323</v>
      </c>
      <c r="N30" s="253">
        <f>GECbladedata!O48</f>
        <v>231293.14864714985</v>
      </c>
      <c r="O30" s="254">
        <f>GECbladedata!P48</f>
        <v>0.90601981203962423</v>
      </c>
      <c r="P30" s="105">
        <f>GECbladedata!Q48</f>
        <v>0</v>
      </c>
      <c r="Q30" s="67">
        <f>GECbladedata!R48</f>
        <v>4</v>
      </c>
      <c r="R30" s="332">
        <f>C30*(B30-B29)/2*B$2</f>
        <v>9.933779333544889</v>
      </c>
      <c r="S30" s="9"/>
      <c r="T30" s="9">
        <f t="shared" si="0"/>
        <v>12168.879683592484</v>
      </c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1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1">
        <f>SUM(R10:R31)</f>
        <v>4326.6026615050905</v>
      </c>
      <c r="S32" s="8"/>
      <c r="T32" s="382">
        <f>SUM(T10:T30)</f>
        <v>882889.01818528015</v>
      </c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3"/>
      <c r="C3" s="187" t="s">
        <v>88</v>
      </c>
      <c r="D3" s="187" t="s">
        <v>322</v>
      </c>
      <c r="E3" s="187" t="s">
        <v>89</v>
      </c>
      <c r="F3" s="194" t="s">
        <v>323</v>
      </c>
      <c r="G3" s="187" t="s">
        <v>324</v>
      </c>
      <c r="H3" s="187" t="s">
        <v>325</v>
      </c>
      <c r="I3" s="187" t="s">
        <v>326</v>
      </c>
      <c r="J3" s="187" t="s">
        <v>342</v>
      </c>
      <c r="K3" s="187" t="s">
        <v>343</v>
      </c>
      <c r="L3" s="187" t="s">
        <v>113</v>
      </c>
      <c r="M3" s="187" t="s">
        <v>112</v>
      </c>
      <c r="N3" s="195" t="s">
        <v>344</v>
      </c>
    </row>
    <row r="4" spans="2:21" ht="13.5">
      <c r="B4" s="191" t="s">
        <v>87</v>
      </c>
      <c r="C4" s="175" t="s">
        <v>90</v>
      </c>
      <c r="D4" s="175" t="s">
        <v>327</v>
      </c>
      <c r="E4" s="175" t="s">
        <v>328</v>
      </c>
      <c r="F4" s="175" t="s">
        <v>329</v>
      </c>
      <c r="G4" s="175" t="s">
        <v>329</v>
      </c>
      <c r="H4" s="175" t="s">
        <v>329</v>
      </c>
      <c r="I4" s="175" t="s">
        <v>330</v>
      </c>
      <c r="J4" s="175" t="s">
        <v>345</v>
      </c>
      <c r="K4" s="175" t="s">
        <v>345</v>
      </c>
      <c r="L4" s="175" t="s">
        <v>331</v>
      </c>
      <c r="M4" s="175" t="s">
        <v>345</v>
      </c>
      <c r="N4" s="193" t="s">
        <v>356</v>
      </c>
    </row>
    <row r="5" spans="2:21">
      <c r="B5" s="199">
        <f>'Main Page'!A124</f>
        <v>0.05</v>
      </c>
      <c r="C5" s="200">
        <f>'Main Page'!B124</f>
        <v>1.9250698501397006</v>
      </c>
      <c r="D5" s="201">
        <f>'Main Page'!C124</f>
        <v>1</v>
      </c>
      <c r="E5" s="201" t="str">
        <f>'Main Page'!D124</f>
        <v>NA</v>
      </c>
      <c r="F5" s="202">
        <f>'Main Page'!E124</f>
        <v>0.25</v>
      </c>
      <c r="G5" s="200">
        <f>'Main Page'!F124</f>
        <v>0.5</v>
      </c>
      <c r="H5" s="200">
        <f>'Main Page'!G124</f>
        <v>0.5</v>
      </c>
      <c r="I5" s="203">
        <f>'Main Page'!H124</f>
        <v>1447.6067650097025</v>
      </c>
      <c r="J5" s="204">
        <f>'Main Page'!I124</f>
        <v>7681455580.9267292</v>
      </c>
      <c r="K5" s="204">
        <f>'Main Page'!J124</f>
        <v>7681455580.9267292</v>
      </c>
      <c r="L5" s="204">
        <f>'Main Page'!K124</f>
        <v>17152702552.539173</v>
      </c>
      <c r="M5" s="204">
        <f>'Main Page'!L124</f>
        <v>2655231266.008985</v>
      </c>
      <c r="N5" s="205">
        <f>'Main Page'!M124</f>
        <v>1292.0872285403536</v>
      </c>
    </row>
    <row r="6" spans="2:21">
      <c r="B6" s="206">
        <f>'Main Page'!A125</f>
        <v>7.0000000000000007E-2</v>
      </c>
      <c r="C6" s="207">
        <f>'Main Page'!B125</f>
        <v>1.8895199390398785</v>
      </c>
      <c r="D6" s="208">
        <f>'Main Page'!C125</f>
        <v>1</v>
      </c>
      <c r="E6" s="208" t="str">
        <f>'Main Page'!D125</f>
        <v>NA</v>
      </c>
      <c r="F6" s="202">
        <f>'Main Page'!E125</f>
        <v>0.25</v>
      </c>
      <c r="G6" s="207">
        <f>'Main Page'!F125</f>
        <v>0.5</v>
      </c>
      <c r="H6" s="207">
        <f>'Main Page'!G125</f>
        <v>0.5</v>
      </c>
      <c r="I6" s="209">
        <f>'Main Page'!H125</f>
        <v>175.09526752452746</v>
      </c>
      <c r="J6" s="210">
        <f>'Main Page'!I125</f>
        <v>1135890133.898103</v>
      </c>
      <c r="K6" s="210">
        <f>'Main Page'!J125</f>
        <v>1135890133.898103</v>
      </c>
      <c r="L6" s="210">
        <f>'Main Page'!K125</f>
        <v>2564102972.7290158</v>
      </c>
      <c r="M6" s="210">
        <f>'Main Page'!L125</f>
        <v>396922874.29357898</v>
      </c>
      <c r="N6" s="211">
        <f>'Main Page'!M125</f>
        <v>156.28440292953599</v>
      </c>
    </row>
    <row r="7" spans="2:21">
      <c r="B7" s="196">
        <f>'Main Page'!A126</f>
        <v>0.25</v>
      </c>
      <c r="C7" s="207">
        <f>'Main Page'!B126</f>
        <v>2.8001016002032006</v>
      </c>
      <c r="D7" s="208">
        <f>'Main Page'!C126</f>
        <v>0.3</v>
      </c>
      <c r="E7" s="208">
        <f>'Main Page'!D126</f>
        <v>4.0013725457641511</v>
      </c>
      <c r="F7" s="202">
        <f>'Main Page'!E126</f>
        <v>0.34</v>
      </c>
      <c r="G7" s="207">
        <f>'Main Page'!F126</f>
        <v>0.41002988816858021</v>
      </c>
      <c r="H7" s="207">
        <f>'Main Page'!G126</f>
        <v>0.32873282532820286</v>
      </c>
      <c r="I7" s="209">
        <f>'Main Page'!H126</f>
        <v>186.9057949192036</v>
      </c>
      <c r="J7" s="210">
        <f>'Main Page'!I126</f>
        <v>271763137.89022917</v>
      </c>
      <c r="K7" s="210">
        <f>'Main Page'!J126</f>
        <v>703333384.04530549</v>
      </c>
      <c r="L7" s="197">
        <f>'Main Page'!K126</f>
        <v>2443063660.8188953</v>
      </c>
      <c r="M7" s="197">
        <f>'Main Page'!L126</f>
        <v>18842756.85303637</v>
      </c>
      <c r="N7" s="212">
        <f>'Main Page'!M126</f>
        <v>84.977866851913092</v>
      </c>
    </row>
    <row r="8" spans="2:21">
      <c r="B8" s="196">
        <f>'Main Page'!A127</f>
        <v>0.5</v>
      </c>
      <c r="C8" s="207">
        <f>'Main Page'!B127</f>
        <v>2.1468122936245875</v>
      </c>
      <c r="D8" s="213">
        <f>'Main Page'!C127</f>
        <v>0.24</v>
      </c>
      <c r="E8" s="208">
        <f>'Main Page'!D127</f>
        <v>6.7200108877128066</v>
      </c>
      <c r="F8" s="202">
        <f>'Main Page'!E127</f>
        <v>0.31</v>
      </c>
      <c r="G8" s="207">
        <f>'Main Page'!F127</f>
        <v>0.38649869580913698</v>
      </c>
      <c r="H8" s="207">
        <f>'Main Page'!G127</f>
        <v>0.3240414781728897</v>
      </c>
      <c r="I8" s="209">
        <f>'Main Page'!H127</f>
        <v>138.12296357376664</v>
      </c>
      <c r="J8" s="210">
        <f>'Main Page'!I127</f>
        <v>75234813.639765084</v>
      </c>
      <c r="K8" s="210">
        <f>'Main Page'!J127</f>
        <v>255870093.3882812</v>
      </c>
      <c r="L8" s="197">
        <f>'Main Page'!K127</f>
        <v>1809554986.9197025</v>
      </c>
      <c r="M8" s="197">
        <f>'Main Page'!L127</f>
        <v>8477345.5047051143</v>
      </c>
      <c r="N8" s="212">
        <f>'Main Page'!M127</f>
        <v>30.021881657931356</v>
      </c>
    </row>
    <row r="9" spans="2:21">
      <c r="B9" s="196">
        <f>'Main Page'!A128</f>
        <v>0.75</v>
      </c>
      <c r="C9" s="207">
        <f>'Main Page'!B128</f>
        <v>1.4937769875539753</v>
      </c>
      <c r="D9" s="213">
        <f>'Main Page'!C128</f>
        <v>0.21</v>
      </c>
      <c r="E9" s="208">
        <f>'Main Page'!D128</f>
        <v>6.2038591936354734</v>
      </c>
      <c r="F9" s="202">
        <f>'Main Page'!E128</f>
        <v>0.28000000000000003</v>
      </c>
      <c r="G9" s="207">
        <f>'Main Page'!F128</f>
        <v>0.40257796771355664</v>
      </c>
      <c r="H9" s="207">
        <f>'Main Page'!G128</f>
        <v>0.327834346949612</v>
      </c>
      <c r="I9" s="209">
        <f>'Main Page'!H128</f>
        <v>61.988105452646913</v>
      </c>
      <c r="J9" s="210">
        <f>'Main Page'!I128</f>
        <v>11534432.983097235</v>
      </c>
      <c r="K9" s="210">
        <f>'Main Page'!J128</f>
        <v>65848849.292116806</v>
      </c>
      <c r="L9" s="197">
        <f>'Main Page'!K128</f>
        <v>788312554.19834387</v>
      </c>
      <c r="M9" s="197">
        <f>'Main Page'!L128</f>
        <v>1678043.4287947295</v>
      </c>
      <c r="N9" s="212">
        <f>'Main Page'!M128</f>
        <v>6.9998727386933259</v>
      </c>
    </row>
    <row r="10" spans="2:21">
      <c r="B10" s="214">
        <f>'Main Page'!A129</f>
        <v>1</v>
      </c>
      <c r="C10" s="215">
        <f>'Main Page'!B129</f>
        <v>0.90601981203962423</v>
      </c>
      <c r="D10" s="216">
        <f>'Main Page'!C129</f>
        <v>0.16</v>
      </c>
      <c r="E10" s="216">
        <f>'Main Page'!D129</f>
        <v>0</v>
      </c>
      <c r="F10" s="215">
        <f>'Main Page'!E129</f>
        <v>0.25</v>
      </c>
      <c r="G10" s="215">
        <f>'Main Page'!F129</f>
        <v>0.49249999999999999</v>
      </c>
      <c r="H10" s="215">
        <f>'Main Page'!G129</f>
        <v>0.35780000000000001</v>
      </c>
      <c r="I10" s="217">
        <f>'Main Page'!H129</f>
        <v>11.352890666908433</v>
      </c>
      <c r="J10" s="218">
        <f>'Main Page'!I129</f>
        <v>231293.14864714985</v>
      </c>
      <c r="K10" s="218">
        <f>'Main Page'!J129</f>
        <v>7874070.2274504323</v>
      </c>
      <c r="L10" s="219">
        <f>'Main Page'!K129</f>
        <v>118472290.90243222</v>
      </c>
      <c r="M10" s="219">
        <f>'Main Page'!L129</f>
        <v>179433.04791581735</v>
      </c>
      <c r="N10" s="220">
        <f>'Main Page'!M129</f>
        <v>0.76662287964958964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3"/>
      <c r="C12" s="221" t="s">
        <v>352</v>
      </c>
      <c r="D12" s="226">
        <f>'Main Page'!B13/2</f>
        <v>35</v>
      </c>
      <c r="E12" s="188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2"/>
      <c r="C13" s="223" t="s">
        <v>353</v>
      </c>
      <c r="D13" s="227">
        <f>'Main Page'!B56/2</f>
        <v>1.75</v>
      </c>
      <c r="E13" s="225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8" t="s">
        <v>87</v>
      </c>
      <c r="C16" s="229" t="s">
        <v>138</v>
      </c>
      <c r="D16" s="229" t="s">
        <v>153</v>
      </c>
      <c r="E16" s="187" t="s">
        <v>357</v>
      </c>
      <c r="F16" s="187" t="s">
        <v>358</v>
      </c>
      <c r="G16" s="230" t="s">
        <v>359</v>
      </c>
      <c r="H16" s="230" t="s">
        <v>359</v>
      </c>
      <c r="I16" s="230" t="s">
        <v>362</v>
      </c>
      <c r="J16" s="230" t="s">
        <v>362</v>
      </c>
      <c r="K16" s="229" t="s">
        <v>363</v>
      </c>
      <c r="L16" s="187" t="s">
        <v>112</v>
      </c>
      <c r="M16" s="187" t="s">
        <v>113</v>
      </c>
      <c r="N16" s="187" t="s">
        <v>343</v>
      </c>
      <c r="O16" s="187" t="s">
        <v>342</v>
      </c>
      <c r="P16" s="187" t="s">
        <v>88</v>
      </c>
      <c r="Q16" s="257" t="s">
        <v>365</v>
      </c>
      <c r="R16" s="231" t="s">
        <v>369</v>
      </c>
      <c r="S16" s="108"/>
      <c r="T16" s="108"/>
      <c r="U16" s="108"/>
    </row>
    <row r="17" spans="2:21" ht="13.5">
      <c r="B17" s="191" t="s">
        <v>354</v>
      </c>
      <c r="C17" s="232" t="s">
        <v>355</v>
      </c>
      <c r="D17" s="232" t="s">
        <v>330</v>
      </c>
      <c r="E17" s="175" t="s">
        <v>356</v>
      </c>
      <c r="F17" s="175" t="s">
        <v>356</v>
      </c>
      <c r="G17" s="233" t="s">
        <v>360</v>
      </c>
      <c r="H17" s="233" t="s">
        <v>361</v>
      </c>
      <c r="I17" s="233" t="s">
        <v>360</v>
      </c>
      <c r="J17" s="233" t="s">
        <v>361</v>
      </c>
      <c r="K17" s="232" t="s">
        <v>364</v>
      </c>
      <c r="L17" s="175" t="s">
        <v>345</v>
      </c>
      <c r="M17" s="175" t="s">
        <v>331</v>
      </c>
      <c r="N17" s="175" t="s">
        <v>345</v>
      </c>
      <c r="O17" s="175" t="s">
        <v>345</v>
      </c>
      <c r="P17" s="175" t="s">
        <v>90</v>
      </c>
      <c r="Q17" s="259" t="s">
        <v>90</v>
      </c>
      <c r="R17" s="260" t="s">
        <v>370</v>
      </c>
      <c r="S17" s="108"/>
      <c r="T17" s="108"/>
      <c r="U17" s="108"/>
    </row>
    <row r="18" spans="2:21">
      <c r="B18" s="235">
        <f t="shared" ref="B18:B23" si="0">B5</f>
        <v>0.05</v>
      </c>
      <c r="C18" s="236">
        <f t="shared" ref="C18:C23" si="1">(1/(B$23-B$18))*B18-(B$18/(B$23-B$18))</f>
        <v>0</v>
      </c>
      <c r="D18" s="237">
        <f t="shared" ref="D18:D23" si="2">I5</f>
        <v>1447.6067650097025</v>
      </c>
      <c r="E18" s="237">
        <f>N5*'Main Page'!C$131/('Main Page'!C$131+1)</f>
        <v>0</v>
      </c>
      <c r="F18" s="237">
        <f t="shared" ref="F18:F23" si="3">N5-E18</f>
        <v>1292.0872285403536</v>
      </c>
      <c r="G18" s="184">
        <v>0</v>
      </c>
      <c r="H18" s="226">
        <f t="shared" ref="H18:H23" si="4">C5*(G5-F5)</f>
        <v>0.48126746253492514</v>
      </c>
      <c r="I18" s="184">
        <v>0</v>
      </c>
      <c r="J18" s="238">
        <f t="shared" ref="J18:J23" si="5">C5*(H5-F5)</f>
        <v>0.48126746253492514</v>
      </c>
      <c r="K18" s="237">
        <f>'Main Page'!B136-'Main Page'!B$141</f>
        <v>11.1</v>
      </c>
      <c r="L18" s="239">
        <f t="shared" ref="L18:L23" si="6">M5</f>
        <v>2655231266.008985</v>
      </c>
      <c r="M18" s="239">
        <f t="shared" ref="M18:M23" si="7">L5</f>
        <v>17152702552.539173</v>
      </c>
      <c r="N18" s="239">
        <f t="shared" ref="N18:N23" si="8">K5</f>
        <v>7681455580.9267292</v>
      </c>
      <c r="O18" s="239">
        <f t="shared" ref="O18:O23" si="9">J5</f>
        <v>7681455580.9267292</v>
      </c>
      <c r="P18" s="226">
        <f t="shared" ref="P18:P23" si="10">C5</f>
        <v>1.9250698501397006</v>
      </c>
      <c r="Q18" s="226">
        <v>0</v>
      </c>
      <c r="R18" s="263">
        <f>'Main Page'!D136</f>
        <v>1</v>
      </c>
      <c r="S18" s="108"/>
      <c r="T18" s="108"/>
      <c r="U18" s="108"/>
    </row>
    <row r="19" spans="2:21">
      <c r="B19" s="240">
        <f t="shared" si="0"/>
        <v>7.0000000000000007E-2</v>
      </c>
      <c r="C19" s="241">
        <f t="shared" si="1"/>
        <v>2.1052631578947371E-2</v>
      </c>
      <c r="D19" s="242">
        <f t="shared" si="2"/>
        <v>175.09526752452746</v>
      </c>
      <c r="E19" s="242">
        <f>N6*'Main Page'!C$131/('Main Page'!C$131+1)</f>
        <v>0</v>
      </c>
      <c r="F19" s="242">
        <f t="shared" si="3"/>
        <v>156.28440292953599</v>
      </c>
      <c r="G19" s="8">
        <v>0</v>
      </c>
      <c r="H19" s="243">
        <f t="shared" si="4"/>
        <v>0.47237998475996962</v>
      </c>
      <c r="I19" s="8">
        <v>0</v>
      </c>
      <c r="J19" s="244">
        <f t="shared" si="5"/>
        <v>0.47237998475996962</v>
      </c>
      <c r="K19" s="242">
        <f>'Main Page'!B137-'Main Page'!B$141</f>
        <v>11.1</v>
      </c>
      <c r="L19" s="245">
        <f t="shared" si="6"/>
        <v>396922874.29357898</v>
      </c>
      <c r="M19" s="245">
        <f t="shared" si="7"/>
        <v>2564102972.7290158</v>
      </c>
      <c r="N19" s="245">
        <f t="shared" si="8"/>
        <v>1135890133.898103</v>
      </c>
      <c r="O19" s="245">
        <f t="shared" si="9"/>
        <v>1135890133.898103</v>
      </c>
      <c r="P19" s="243">
        <f t="shared" si="10"/>
        <v>1.8895199390398785</v>
      </c>
      <c r="Q19" s="243">
        <v>0</v>
      </c>
      <c r="R19" s="261">
        <f>'Main Page'!D137</f>
        <v>1</v>
      </c>
      <c r="S19" s="108"/>
      <c r="T19" s="108"/>
      <c r="U19" s="108"/>
    </row>
    <row r="20" spans="2:21">
      <c r="B20" s="240">
        <f t="shared" si="0"/>
        <v>0.25</v>
      </c>
      <c r="C20" s="241">
        <f t="shared" si="1"/>
        <v>0.21052631578947367</v>
      </c>
      <c r="D20" s="242">
        <f t="shared" si="2"/>
        <v>186.9057949192036</v>
      </c>
      <c r="E20" s="242">
        <f>N7*'Main Page'!C$131/('Main Page'!C$131+1)</f>
        <v>0</v>
      </c>
      <c r="F20" s="242">
        <f t="shared" si="3"/>
        <v>84.977866851913092</v>
      </c>
      <c r="G20" s="8">
        <v>0</v>
      </c>
      <c r="H20" s="243">
        <f t="shared" si="4"/>
        <v>0.19609080192289258</v>
      </c>
      <c r="I20" s="8">
        <v>0</v>
      </c>
      <c r="J20" s="244">
        <f t="shared" si="5"/>
        <v>-3.1549233828268214E-2</v>
      </c>
      <c r="K20" s="242">
        <f>'Main Page'!B138-'Main Page'!B$141</f>
        <v>11.1</v>
      </c>
      <c r="L20" s="245">
        <f t="shared" si="6"/>
        <v>18842756.85303637</v>
      </c>
      <c r="M20" s="245">
        <f t="shared" si="7"/>
        <v>2443063660.8188953</v>
      </c>
      <c r="N20" s="245">
        <f t="shared" si="8"/>
        <v>703333384.04530549</v>
      </c>
      <c r="O20" s="245">
        <f t="shared" si="9"/>
        <v>271763137.89022917</v>
      </c>
      <c r="P20" s="243">
        <f t="shared" si="10"/>
        <v>2.8001016002032006</v>
      </c>
      <c r="Q20" s="243">
        <f>C7*(0.25-F7)</f>
        <v>-0.25200914401828811</v>
      </c>
      <c r="R20" s="261">
        <f>'Main Page'!D138</f>
        <v>2</v>
      </c>
      <c r="S20" s="108"/>
      <c r="T20" s="108"/>
      <c r="U20" s="108"/>
    </row>
    <row r="21" spans="2:21">
      <c r="B21" s="240">
        <f t="shared" si="0"/>
        <v>0.5</v>
      </c>
      <c r="C21" s="241">
        <f t="shared" si="1"/>
        <v>0.47368421052631576</v>
      </c>
      <c r="D21" s="242">
        <f t="shared" si="2"/>
        <v>138.12296357376664</v>
      </c>
      <c r="E21" s="242">
        <f>N8*'Main Page'!C$131/('Main Page'!C$131+1)</f>
        <v>0</v>
      </c>
      <c r="F21" s="242">
        <f t="shared" si="3"/>
        <v>30.021881657931356</v>
      </c>
      <c r="G21" s="8">
        <v>0</v>
      </c>
      <c r="H21" s="243">
        <f t="shared" si="4"/>
        <v>0.164228340609303</v>
      </c>
      <c r="I21" s="8">
        <v>0</v>
      </c>
      <c r="J21" s="244">
        <f t="shared" si="5"/>
        <v>3.0144417962220917E-2</v>
      </c>
      <c r="K21" s="242">
        <f>'Main Page'!B139-'Main Page'!B$141</f>
        <v>3.1</v>
      </c>
      <c r="L21" s="245">
        <f t="shared" si="6"/>
        <v>8477345.5047051143</v>
      </c>
      <c r="M21" s="245">
        <f t="shared" si="7"/>
        <v>1809554986.9197025</v>
      </c>
      <c r="N21" s="245">
        <f t="shared" si="8"/>
        <v>255870093.3882812</v>
      </c>
      <c r="O21" s="245">
        <f t="shared" si="9"/>
        <v>75234813.639765084</v>
      </c>
      <c r="P21" s="243">
        <f t="shared" si="10"/>
        <v>2.1468122936245875</v>
      </c>
      <c r="Q21" s="243">
        <f>C8*(0.25-F8)</f>
        <v>-0.12880873761747524</v>
      </c>
      <c r="R21" s="261"/>
      <c r="S21" s="108"/>
      <c r="T21" s="108"/>
      <c r="U21" s="108"/>
    </row>
    <row r="22" spans="2:21">
      <c r="B22" s="240">
        <f t="shared" si="0"/>
        <v>0.75</v>
      </c>
      <c r="C22" s="241">
        <f t="shared" si="1"/>
        <v>0.73684210526315785</v>
      </c>
      <c r="D22" s="242">
        <f t="shared" si="2"/>
        <v>61.988105452646913</v>
      </c>
      <c r="E22" s="242">
        <f>N9*'Main Page'!C$131/('Main Page'!C$131+1)</f>
        <v>0</v>
      </c>
      <c r="F22" s="242">
        <f t="shared" si="3"/>
        <v>6.9998727386933259</v>
      </c>
      <c r="G22" s="8">
        <v>0</v>
      </c>
      <c r="H22" s="243">
        <f t="shared" si="4"/>
        <v>0.18310414735164504</v>
      </c>
      <c r="I22" s="8">
        <v>0</v>
      </c>
      <c r="J22" s="244">
        <f t="shared" si="5"/>
        <v>7.1453846688003059E-2</v>
      </c>
      <c r="K22" s="242">
        <f>'Main Page'!B140-'Main Page'!B$141</f>
        <v>0.6</v>
      </c>
      <c r="L22" s="245">
        <f t="shared" si="6"/>
        <v>1678043.4287947295</v>
      </c>
      <c r="M22" s="245">
        <f t="shared" si="7"/>
        <v>788312554.19834387</v>
      </c>
      <c r="N22" s="245">
        <f t="shared" si="8"/>
        <v>65848849.292116806</v>
      </c>
      <c r="O22" s="245">
        <f t="shared" si="9"/>
        <v>11534432.983097235</v>
      </c>
      <c r="P22" s="243">
        <f t="shared" si="10"/>
        <v>1.4937769875539753</v>
      </c>
      <c r="Q22" s="243">
        <f>C9*(0.25-F9)</f>
        <v>-4.4813309626619301E-2</v>
      </c>
      <c r="R22" s="261">
        <f>'Main Page'!D140</f>
        <v>3</v>
      </c>
      <c r="S22" s="108"/>
      <c r="T22" s="108"/>
      <c r="U22" s="108"/>
    </row>
    <row r="23" spans="2:21">
      <c r="B23" s="246">
        <f t="shared" si="0"/>
        <v>1</v>
      </c>
      <c r="C23" s="247">
        <f t="shared" si="1"/>
        <v>0.99999999999999989</v>
      </c>
      <c r="D23" s="248">
        <f t="shared" si="2"/>
        <v>11.352890666908433</v>
      </c>
      <c r="E23" s="248">
        <f>N10*'Main Page'!C$131/('Main Page'!C$131+1)</f>
        <v>0</v>
      </c>
      <c r="F23" s="248">
        <f t="shared" si="3"/>
        <v>0.76662287964958964</v>
      </c>
      <c r="G23" s="224">
        <v>0</v>
      </c>
      <c r="H23" s="227">
        <f t="shared" si="4"/>
        <v>0.21970980441960886</v>
      </c>
      <c r="I23" s="224">
        <v>0</v>
      </c>
      <c r="J23" s="249">
        <f t="shared" si="5"/>
        <v>9.7668935737871498E-2</v>
      </c>
      <c r="K23" s="248">
        <f>'Main Page'!B141-'Main Page'!B$141</f>
        <v>0</v>
      </c>
      <c r="L23" s="250">
        <f t="shared" si="6"/>
        <v>179433.04791581735</v>
      </c>
      <c r="M23" s="250">
        <f t="shared" si="7"/>
        <v>118472290.90243222</v>
      </c>
      <c r="N23" s="250">
        <f t="shared" si="8"/>
        <v>7874070.2274504323</v>
      </c>
      <c r="O23" s="250">
        <f t="shared" si="9"/>
        <v>231293.14864714985</v>
      </c>
      <c r="P23" s="227">
        <f t="shared" si="10"/>
        <v>0.90601981203962423</v>
      </c>
      <c r="Q23" s="227">
        <f>C10*(0.25-F10)</f>
        <v>0</v>
      </c>
      <c r="R23" s="262">
        <f>'Main Page'!D141</f>
        <v>4</v>
      </c>
      <c r="S23" s="108"/>
      <c r="T23" s="108"/>
      <c r="U23" s="108"/>
    </row>
    <row r="25" spans="2:21">
      <c r="B25" t="s">
        <v>367</v>
      </c>
    </row>
    <row r="26" spans="2:21" ht="13.5">
      <c r="B26" s="228" t="s">
        <v>87</v>
      </c>
      <c r="C26" s="229" t="s">
        <v>138</v>
      </c>
      <c r="D26" s="229" t="s">
        <v>153</v>
      </c>
      <c r="E26" s="187" t="s">
        <v>357</v>
      </c>
      <c r="F26" s="187" t="s">
        <v>358</v>
      </c>
      <c r="G26" s="230" t="s">
        <v>359</v>
      </c>
      <c r="H26" s="230" t="s">
        <v>359</v>
      </c>
      <c r="I26" s="230" t="s">
        <v>362</v>
      </c>
      <c r="J26" s="230" t="s">
        <v>362</v>
      </c>
      <c r="K26" s="229" t="s">
        <v>363</v>
      </c>
      <c r="L26" s="187" t="s">
        <v>112</v>
      </c>
      <c r="M26" s="187" t="s">
        <v>113</v>
      </c>
      <c r="N26" s="187" t="s">
        <v>343</v>
      </c>
      <c r="O26" s="187" t="s">
        <v>342</v>
      </c>
      <c r="P26" s="187" t="s">
        <v>88</v>
      </c>
      <c r="Q26" s="257" t="s">
        <v>365</v>
      </c>
      <c r="R26" s="231" t="s">
        <v>369</v>
      </c>
      <c r="S26" s="335" t="s">
        <v>400</v>
      </c>
      <c r="T26" t="s">
        <v>381</v>
      </c>
    </row>
    <row r="27" spans="2:21" ht="13.5">
      <c r="B27" s="191" t="s">
        <v>354</v>
      </c>
      <c r="C27" s="232" t="s">
        <v>355</v>
      </c>
      <c r="D27" s="232" t="s">
        <v>330</v>
      </c>
      <c r="E27" s="175" t="s">
        <v>356</v>
      </c>
      <c r="F27" s="175" t="s">
        <v>356</v>
      </c>
      <c r="G27" s="233" t="s">
        <v>360</v>
      </c>
      <c r="H27" s="233" t="s">
        <v>361</v>
      </c>
      <c r="I27" s="233" t="s">
        <v>360</v>
      </c>
      <c r="J27" s="233" t="s">
        <v>361</v>
      </c>
      <c r="K27" s="232" t="s">
        <v>364</v>
      </c>
      <c r="L27" s="175" t="s">
        <v>345</v>
      </c>
      <c r="M27" s="175" t="s">
        <v>331</v>
      </c>
      <c r="N27" s="175" t="s">
        <v>345</v>
      </c>
      <c r="O27" s="175" t="s">
        <v>345</v>
      </c>
      <c r="P27" s="175" t="s">
        <v>90</v>
      </c>
      <c r="Q27" s="258" t="s">
        <v>90</v>
      </c>
      <c r="R27" s="234" t="s">
        <v>370</v>
      </c>
    </row>
    <row r="28" spans="2:21">
      <c r="B28" s="235">
        <v>0.05</v>
      </c>
      <c r="C28" s="236">
        <f>(1/(B$23-B$18))*B28-(B$18/(B$23-B$18))</f>
        <v>0</v>
      </c>
      <c r="D28" s="237">
        <f>D18</f>
        <v>1447.6067650097025</v>
      </c>
      <c r="E28" s="237">
        <f t="shared" ref="E28:Q28" si="11">E18</f>
        <v>0</v>
      </c>
      <c r="F28" s="237">
        <f t="shared" si="11"/>
        <v>1292.0872285403536</v>
      </c>
      <c r="G28" s="184">
        <f t="shared" si="11"/>
        <v>0</v>
      </c>
      <c r="H28" s="226">
        <f t="shared" si="11"/>
        <v>0.48126746253492514</v>
      </c>
      <c r="I28" s="184">
        <f t="shared" si="11"/>
        <v>0</v>
      </c>
      <c r="J28" s="238">
        <f t="shared" si="11"/>
        <v>0.48126746253492514</v>
      </c>
      <c r="K28" s="237">
        <f t="shared" si="11"/>
        <v>11.1</v>
      </c>
      <c r="L28" s="239">
        <f t="shared" si="11"/>
        <v>2655231266.008985</v>
      </c>
      <c r="M28" s="239">
        <f t="shared" si="11"/>
        <v>17152702552.539173</v>
      </c>
      <c r="N28" s="239">
        <f t="shared" si="11"/>
        <v>7681455580.9267292</v>
      </c>
      <c r="O28" s="239">
        <f t="shared" si="11"/>
        <v>7681455580.9267292</v>
      </c>
      <c r="P28" s="226">
        <f t="shared" si="11"/>
        <v>1.9250698501397006</v>
      </c>
      <c r="Q28" s="226">
        <f t="shared" si="11"/>
        <v>0</v>
      </c>
      <c r="R28" s="263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0">
        <f>B19</f>
        <v>7.0000000000000007E-2</v>
      </c>
      <c r="C29" s="241">
        <f>(1/(B$23-B$18))*B29-(B$18/(B$23-B$18))</f>
        <v>2.1052631578947371E-2</v>
      </c>
      <c r="D29" s="242">
        <f>D19</f>
        <v>175.09526752452746</v>
      </c>
      <c r="E29" s="242">
        <f t="shared" ref="E29:Q29" si="12">E19</f>
        <v>0</v>
      </c>
      <c r="F29" s="242">
        <f t="shared" si="12"/>
        <v>156.28440292953599</v>
      </c>
      <c r="G29" s="8">
        <f t="shared" si="12"/>
        <v>0</v>
      </c>
      <c r="H29" s="243">
        <f t="shared" si="12"/>
        <v>0.47237998475996962</v>
      </c>
      <c r="I29" s="8">
        <f t="shared" si="12"/>
        <v>0</v>
      </c>
      <c r="J29" s="244">
        <f t="shared" si="12"/>
        <v>0.47237998475996962</v>
      </c>
      <c r="K29" s="242">
        <f t="shared" si="12"/>
        <v>11.1</v>
      </c>
      <c r="L29" s="245">
        <f t="shared" si="12"/>
        <v>396922874.29357898</v>
      </c>
      <c r="M29" s="245">
        <f t="shared" si="12"/>
        <v>2564102972.7290158</v>
      </c>
      <c r="N29" s="245">
        <f t="shared" si="12"/>
        <v>1135890133.898103</v>
      </c>
      <c r="O29" s="245">
        <f t="shared" si="12"/>
        <v>1135890133.898103</v>
      </c>
      <c r="P29" s="243">
        <f t="shared" si="12"/>
        <v>1.8895199390398785</v>
      </c>
      <c r="Q29" s="243">
        <f t="shared" si="12"/>
        <v>0</v>
      </c>
      <c r="R29" s="261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0">
        <v>0.1</v>
      </c>
      <c r="C30" s="241">
        <f>(1/(B$23-B$18))*B30-(B$18/(B$23-B$18))</f>
        <v>5.2631578947368411E-2</v>
      </c>
      <c r="D30" s="242">
        <f>D$29+($B30-$B$29)*(D$33-D$29)/($B$33-$B$29)</f>
        <v>177.06368875697348</v>
      </c>
      <c r="E30" s="242">
        <f>E$29+($B30-$B$29)*(E$33-E$29)/($B$33-$B$29)</f>
        <v>0</v>
      </c>
      <c r="F30" s="242">
        <f>F$29+($B30-$B$29)*(F$33-F$29)/($B$33-$B$29)</f>
        <v>144.39998024993218</v>
      </c>
      <c r="G30" s="251">
        <f>G$29+($B30-$B$29)*(G$33-G$29)/($B$33-$B$29)</f>
        <v>0</v>
      </c>
      <c r="H30" s="243">
        <f>H$29+($B30-$B$29)*(H$33-H$29)/($B$33-$B$29)</f>
        <v>0.42633178762045676</v>
      </c>
      <c r="I30" s="8">
        <f t="shared" ref="I30:Q32" si="13">I$29+($B30-$B$29)*(I$33-I$29)/($B$33-$B$29)</f>
        <v>0</v>
      </c>
      <c r="J30" s="244">
        <f t="shared" si="13"/>
        <v>0.38839178166193</v>
      </c>
      <c r="K30" s="242">
        <f t="shared" si="13"/>
        <v>11.1</v>
      </c>
      <c r="L30" s="245">
        <f t="shared" si="13"/>
        <v>333909521.38682187</v>
      </c>
      <c r="M30" s="245">
        <f t="shared" si="13"/>
        <v>2543929754.0773292</v>
      </c>
      <c r="N30" s="245">
        <f t="shared" si="13"/>
        <v>1063797342.2559701</v>
      </c>
      <c r="O30" s="245">
        <f t="shared" si="13"/>
        <v>991868967.89679074</v>
      </c>
      <c r="P30" s="243">
        <f t="shared" si="13"/>
        <v>2.0412835492337655</v>
      </c>
      <c r="Q30" s="243">
        <f t="shared" si="13"/>
        <v>-4.2001524003048019E-2</v>
      </c>
      <c r="R30" s="261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0">
        <v>0.15</v>
      </c>
      <c r="C31" s="241">
        <f t="shared" ref="C31:C48" si="16">(1/(B$23-B$18))*B31-(B$18/(B$23-B$18))</f>
        <v>0.10526315789473684</v>
      </c>
      <c r="D31" s="242">
        <f t="shared" ref="D31:H32" si="17">D$29+($B31-$B$29)*(D$33-D$29)/($B$33-$B$29)</f>
        <v>180.34439081105018</v>
      </c>
      <c r="E31" s="242">
        <f t="shared" si="17"/>
        <v>0</v>
      </c>
      <c r="F31" s="242">
        <f t="shared" si="17"/>
        <v>124.59260911725914</v>
      </c>
      <c r="G31" s="251">
        <f t="shared" si="17"/>
        <v>0</v>
      </c>
      <c r="H31" s="243">
        <f t="shared" si="17"/>
        <v>0.34958479238793538</v>
      </c>
      <c r="I31" s="8">
        <f t="shared" si="13"/>
        <v>0</v>
      </c>
      <c r="J31" s="244">
        <f t="shared" si="13"/>
        <v>0.24841144316519728</v>
      </c>
      <c r="K31" s="242">
        <f t="shared" si="13"/>
        <v>11.1</v>
      </c>
      <c r="L31" s="245">
        <f t="shared" si="13"/>
        <v>228887266.54222673</v>
      </c>
      <c r="M31" s="245">
        <f t="shared" si="13"/>
        <v>2510307722.9911847</v>
      </c>
      <c r="N31" s="245">
        <f t="shared" si="13"/>
        <v>943642689.51908183</v>
      </c>
      <c r="O31" s="245">
        <f t="shared" si="13"/>
        <v>751833691.22793698</v>
      </c>
      <c r="P31" s="243">
        <f t="shared" si="13"/>
        <v>2.2942228995569103</v>
      </c>
      <c r="Q31" s="243">
        <f t="shared" si="13"/>
        <v>-0.11200406400812804</v>
      </c>
      <c r="R31" s="261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0">
        <v>0.2</v>
      </c>
      <c r="C32" s="241">
        <f t="shared" si="16"/>
        <v>0.15789473684210525</v>
      </c>
      <c r="D32" s="242">
        <f t="shared" si="17"/>
        <v>183.6250928651269</v>
      </c>
      <c r="E32" s="242">
        <f t="shared" si="17"/>
        <v>0</v>
      </c>
      <c r="F32" s="242">
        <f t="shared" si="17"/>
        <v>104.7852379845861</v>
      </c>
      <c r="G32" s="251">
        <f t="shared" si="17"/>
        <v>0</v>
      </c>
      <c r="H32" s="243">
        <f t="shared" si="17"/>
        <v>0.27283779715541395</v>
      </c>
      <c r="I32" s="8">
        <f t="shared" si="13"/>
        <v>0</v>
      </c>
      <c r="J32" s="244">
        <f t="shared" si="13"/>
        <v>0.10843110466846451</v>
      </c>
      <c r="K32" s="242">
        <f t="shared" si="13"/>
        <v>11.1</v>
      </c>
      <c r="L32" s="245">
        <f t="shared" si="13"/>
        <v>123865011.69763154</v>
      </c>
      <c r="M32" s="245">
        <f t="shared" si="13"/>
        <v>2476685691.9050398</v>
      </c>
      <c r="N32" s="245">
        <f t="shared" si="13"/>
        <v>823488036.78219366</v>
      </c>
      <c r="O32" s="245">
        <f t="shared" si="13"/>
        <v>511798414.55908298</v>
      </c>
      <c r="P32" s="243">
        <f t="shared" si="13"/>
        <v>2.5471622498800555</v>
      </c>
      <c r="Q32" s="243">
        <f t="shared" si="13"/>
        <v>-0.18200660401320809</v>
      </c>
      <c r="R32" s="261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0">
        <v>0.25</v>
      </c>
      <c r="C33" s="241">
        <f t="shared" si="16"/>
        <v>0.21052631578947367</v>
      </c>
      <c r="D33" s="242">
        <f>D20</f>
        <v>186.9057949192036</v>
      </c>
      <c r="E33" s="242">
        <f t="shared" ref="E33:Q33" si="19">E20</f>
        <v>0</v>
      </c>
      <c r="F33" s="242">
        <f t="shared" si="19"/>
        <v>84.977866851913092</v>
      </c>
      <c r="G33" s="8">
        <f t="shared" si="19"/>
        <v>0</v>
      </c>
      <c r="H33" s="243">
        <f t="shared" si="19"/>
        <v>0.19609080192289258</v>
      </c>
      <c r="I33" s="8">
        <f t="shared" si="19"/>
        <v>0</v>
      </c>
      <c r="J33" s="244">
        <f t="shared" si="19"/>
        <v>-3.1549233828268214E-2</v>
      </c>
      <c r="K33" s="242">
        <f t="shared" si="19"/>
        <v>11.1</v>
      </c>
      <c r="L33" s="245">
        <f t="shared" si="19"/>
        <v>18842756.85303637</v>
      </c>
      <c r="M33" s="245">
        <f t="shared" si="19"/>
        <v>2443063660.8188953</v>
      </c>
      <c r="N33" s="245">
        <f t="shared" si="19"/>
        <v>703333384.04530549</v>
      </c>
      <c r="O33" s="245">
        <f t="shared" si="19"/>
        <v>271763137.89022917</v>
      </c>
      <c r="P33" s="243">
        <f t="shared" si="19"/>
        <v>2.8001016002032006</v>
      </c>
      <c r="Q33" s="243">
        <f t="shared" si="19"/>
        <v>-0.25200914401828811</v>
      </c>
      <c r="R33" s="261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0">
        <v>0.3</v>
      </c>
      <c r="C34" s="241">
        <f t="shared" si="16"/>
        <v>0.26315789473684209</v>
      </c>
      <c r="D34" s="242">
        <f>D$33+($B34-$B$33)*(D$38-D$33)/($B$38-$B$33)</f>
        <v>177.14922865011621</v>
      </c>
      <c r="E34" s="242">
        <f t="shared" ref="E34:Q37" si="20">E$33+($B34-$B$33)*(E$38-E$33)/($B$38-$B$33)</f>
        <v>0</v>
      </c>
      <c r="F34" s="242">
        <f t="shared" si="20"/>
        <v>73.986669813116748</v>
      </c>
      <c r="G34" s="8">
        <f t="shared" si="20"/>
        <v>0</v>
      </c>
      <c r="H34" s="243">
        <f t="shared" si="20"/>
        <v>0.18971830966017467</v>
      </c>
      <c r="I34" s="8">
        <f t="shared" si="20"/>
        <v>0</v>
      </c>
      <c r="J34" s="244">
        <f t="shared" si="20"/>
        <v>-1.9210503470170389E-2</v>
      </c>
      <c r="K34" s="242">
        <f t="shared" si="20"/>
        <v>9.5</v>
      </c>
      <c r="L34" s="245">
        <f t="shared" si="20"/>
        <v>16769674.583370119</v>
      </c>
      <c r="M34" s="245">
        <f t="shared" si="20"/>
        <v>2316361926.0390568</v>
      </c>
      <c r="N34" s="245">
        <f t="shared" si="20"/>
        <v>613840725.91390061</v>
      </c>
      <c r="O34" s="245">
        <f t="shared" si="20"/>
        <v>232457473.04013637</v>
      </c>
      <c r="P34" s="243">
        <f t="shared" si="20"/>
        <v>2.6694437388874781</v>
      </c>
      <c r="Q34" s="243">
        <f t="shared" si="20"/>
        <v>-0.22736906273812554</v>
      </c>
      <c r="R34" s="261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0">
        <v>0.35</v>
      </c>
      <c r="C35" s="241">
        <f t="shared" si="16"/>
        <v>0.31578947368421051</v>
      </c>
      <c r="D35" s="242">
        <f>D$33+($B35-$B$33)*(D$38-D$33)/($B$38-$B$33)</f>
        <v>167.39266238102883</v>
      </c>
      <c r="E35" s="242">
        <f t="shared" si="20"/>
        <v>0</v>
      </c>
      <c r="F35" s="242">
        <f t="shared" si="20"/>
        <v>62.995472774320405</v>
      </c>
      <c r="G35" s="8">
        <f t="shared" si="20"/>
        <v>0</v>
      </c>
      <c r="H35" s="243">
        <f t="shared" si="20"/>
        <v>0.18334581739745676</v>
      </c>
      <c r="I35" s="8">
        <f t="shared" si="20"/>
        <v>0</v>
      </c>
      <c r="J35" s="244">
        <f t="shared" si="20"/>
        <v>-6.8717731120725642E-3</v>
      </c>
      <c r="K35" s="242">
        <f t="shared" si="20"/>
        <v>7.9</v>
      </c>
      <c r="L35" s="245">
        <f t="shared" si="20"/>
        <v>14696592.313703869</v>
      </c>
      <c r="M35" s="245">
        <f t="shared" si="20"/>
        <v>2189660191.2592182</v>
      </c>
      <c r="N35" s="245">
        <f t="shared" si="20"/>
        <v>524348067.78249586</v>
      </c>
      <c r="O35" s="245">
        <f t="shared" si="20"/>
        <v>193151808.19004357</v>
      </c>
      <c r="P35" s="243">
        <f t="shared" si="20"/>
        <v>2.5387858775717556</v>
      </c>
      <c r="Q35" s="243">
        <f t="shared" si="20"/>
        <v>-0.20272898145796298</v>
      </c>
      <c r="R35" s="261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0">
        <v>0.4</v>
      </c>
      <c r="C36" s="241">
        <f t="shared" si="16"/>
        <v>0.36842105263157893</v>
      </c>
      <c r="D36" s="242">
        <f>D$33+($B36-$B$33)*(D$38-D$33)/($B$38-$B$33)</f>
        <v>157.63609611194141</v>
      </c>
      <c r="E36" s="242">
        <f t="shared" si="20"/>
        <v>0</v>
      </c>
      <c r="F36" s="242">
        <f t="shared" si="20"/>
        <v>52.004275735524047</v>
      </c>
      <c r="G36" s="8">
        <f t="shared" si="20"/>
        <v>0</v>
      </c>
      <c r="H36" s="243">
        <f t="shared" si="20"/>
        <v>0.17697332513473882</v>
      </c>
      <c r="I36" s="8">
        <f t="shared" si="20"/>
        <v>0</v>
      </c>
      <c r="J36" s="244">
        <f t="shared" si="20"/>
        <v>5.4669572460252711E-3</v>
      </c>
      <c r="K36" s="242">
        <f t="shared" si="20"/>
        <v>6.2999999999999989</v>
      </c>
      <c r="L36" s="245">
        <f t="shared" si="20"/>
        <v>12623510.044037616</v>
      </c>
      <c r="M36" s="245">
        <f t="shared" si="20"/>
        <v>2062958456.4793797</v>
      </c>
      <c r="N36" s="245">
        <f t="shared" si="20"/>
        <v>434855409.65109092</v>
      </c>
      <c r="O36" s="245">
        <f t="shared" si="20"/>
        <v>153846143.33995068</v>
      </c>
      <c r="P36" s="243">
        <f t="shared" si="20"/>
        <v>2.4081280162560326</v>
      </c>
      <c r="Q36" s="243">
        <f t="shared" si="20"/>
        <v>-0.17808890017780038</v>
      </c>
      <c r="R36" s="261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0">
        <v>0.45</v>
      </c>
      <c r="C37" s="241">
        <f t="shared" si="16"/>
        <v>0.42105263157894735</v>
      </c>
      <c r="D37" s="242">
        <f>D$33+($B37-$B$33)*(D$38-D$33)/($B$38-$B$33)</f>
        <v>147.87952984285403</v>
      </c>
      <c r="E37" s="242">
        <f t="shared" si="20"/>
        <v>0</v>
      </c>
      <c r="F37" s="242">
        <f t="shared" si="20"/>
        <v>41.013078696727703</v>
      </c>
      <c r="G37" s="8">
        <f t="shared" si="20"/>
        <v>0</v>
      </c>
      <c r="H37" s="243">
        <f t="shared" si="20"/>
        <v>0.17060083287202091</v>
      </c>
      <c r="I37" s="8">
        <f t="shared" si="20"/>
        <v>0</v>
      </c>
      <c r="J37" s="244">
        <f t="shared" si="20"/>
        <v>1.7805687604123099E-2</v>
      </c>
      <c r="K37" s="242">
        <f t="shared" si="20"/>
        <v>4.6999999999999993</v>
      </c>
      <c r="L37" s="245">
        <f t="shared" si="20"/>
        <v>10550427.774371365</v>
      </c>
      <c r="M37" s="245">
        <f t="shared" si="20"/>
        <v>1936256721.6995411</v>
      </c>
      <c r="N37" s="245">
        <f t="shared" si="20"/>
        <v>345362751.51968604</v>
      </c>
      <c r="O37" s="245">
        <f t="shared" si="20"/>
        <v>114540478.48985788</v>
      </c>
      <c r="P37" s="243">
        <f t="shared" si="20"/>
        <v>2.27747015494031</v>
      </c>
      <c r="Q37" s="243">
        <f t="shared" si="20"/>
        <v>-0.15344881889763781</v>
      </c>
      <c r="R37" s="261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0">
        <v>0.5</v>
      </c>
      <c r="C38" s="241">
        <f t="shared" si="16"/>
        <v>0.47368421052631576</v>
      </c>
      <c r="D38" s="242">
        <f>D21</f>
        <v>138.12296357376664</v>
      </c>
      <c r="E38" s="242">
        <f t="shared" ref="E38:Q38" si="21">E21</f>
        <v>0</v>
      </c>
      <c r="F38" s="242">
        <f t="shared" si="21"/>
        <v>30.021881657931356</v>
      </c>
      <c r="G38" s="8">
        <f t="shared" si="21"/>
        <v>0</v>
      </c>
      <c r="H38" s="243">
        <f t="shared" si="21"/>
        <v>0.164228340609303</v>
      </c>
      <c r="I38" s="8">
        <f t="shared" si="21"/>
        <v>0</v>
      </c>
      <c r="J38" s="244">
        <f t="shared" si="21"/>
        <v>3.0144417962220917E-2</v>
      </c>
      <c r="K38" s="242">
        <f t="shared" si="21"/>
        <v>3.1</v>
      </c>
      <c r="L38" s="245">
        <f t="shared" si="21"/>
        <v>8477345.5047051143</v>
      </c>
      <c r="M38" s="245">
        <f t="shared" si="21"/>
        <v>1809554986.9197025</v>
      </c>
      <c r="N38" s="245">
        <f t="shared" si="21"/>
        <v>255870093.3882812</v>
      </c>
      <c r="O38" s="245">
        <f t="shared" si="21"/>
        <v>75234813.639765084</v>
      </c>
      <c r="P38" s="243">
        <f t="shared" si="21"/>
        <v>2.1468122936245875</v>
      </c>
      <c r="Q38" s="243">
        <f t="shared" si="21"/>
        <v>-0.12880873761747524</v>
      </c>
      <c r="R38" s="261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0">
        <v>0.55000000000000004</v>
      </c>
      <c r="C39" s="241">
        <f t="shared" si="16"/>
        <v>0.52631578947368418</v>
      </c>
      <c r="D39" s="242">
        <f>D$38+($B39-$B$38)*(D$43-D$38)/($B$43-$B$38)</f>
        <v>122.89599194954269</v>
      </c>
      <c r="E39" s="242">
        <f t="shared" ref="E39:Q42" si="22">E$38+($B39-$B$38)*(E$43-E$38)/($B$43-$B$38)</f>
        <v>0</v>
      </c>
      <c r="F39" s="242">
        <f t="shared" si="22"/>
        <v>25.417479874083746</v>
      </c>
      <c r="G39" s="8">
        <f t="shared" si="22"/>
        <v>0</v>
      </c>
      <c r="H39" s="243">
        <f t="shared" si="22"/>
        <v>0.16800350195777142</v>
      </c>
      <c r="I39" s="8">
        <f t="shared" si="22"/>
        <v>0</v>
      </c>
      <c r="J39" s="244">
        <f t="shared" si="22"/>
        <v>3.8406303707377354E-2</v>
      </c>
      <c r="K39" s="242">
        <f t="shared" si="22"/>
        <v>2.5999999999999996</v>
      </c>
      <c r="L39" s="245">
        <f t="shared" si="22"/>
        <v>7117485.089523036</v>
      </c>
      <c r="M39" s="245">
        <f t="shared" si="22"/>
        <v>1605306500.3754306</v>
      </c>
      <c r="N39" s="245">
        <f t="shared" si="22"/>
        <v>217865844.56904829</v>
      </c>
      <c r="O39" s="245">
        <f t="shared" si="22"/>
        <v>62494737.508431502</v>
      </c>
      <c r="P39" s="243">
        <f t="shared" si="22"/>
        <v>2.0162052324104649</v>
      </c>
      <c r="Q39" s="243">
        <f t="shared" si="22"/>
        <v>-0.11200965201930405</v>
      </c>
      <c r="R39" s="261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0">
        <v>0.6</v>
      </c>
      <c r="C40" s="241">
        <f t="shared" si="16"/>
        <v>0.57894736842105254</v>
      </c>
      <c r="D40" s="242">
        <f>D$38+($B40-$B$38)*(D$43-D$38)/($B$43-$B$38)</f>
        <v>107.66902032531875</v>
      </c>
      <c r="E40" s="242">
        <f t="shared" si="22"/>
        <v>0</v>
      </c>
      <c r="F40" s="242">
        <f t="shared" si="22"/>
        <v>20.813078090236147</v>
      </c>
      <c r="G40" s="8">
        <f t="shared" si="22"/>
        <v>0</v>
      </c>
      <c r="H40" s="243">
        <f t="shared" si="22"/>
        <v>0.17177866330623981</v>
      </c>
      <c r="I40" s="8">
        <f t="shared" si="22"/>
        <v>0</v>
      </c>
      <c r="J40" s="244">
        <f t="shared" si="22"/>
        <v>4.6668189452533773E-2</v>
      </c>
      <c r="K40" s="242">
        <f t="shared" si="22"/>
        <v>2.1000000000000005</v>
      </c>
      <c r="L40" s="245">
        <f t="shared" si="22"/>
        <v>5757624.6743409615</v>
      </c>
      <c r="M40" s="245">
        <f t="shared" si="22"/>
        <v>1401058013.8311591</v>
      </c>
      <c r="N40" s="245">
        <f t="shared" si="22"/>
        <v>179861595.74981546</v>
      </c>
      <c r="O40" s="245">
        <f t="shared" si="22"/>
        <v>49754661.377097949</v>
      </c>
      <c r="P40" s="243">
        <f t="shared" si="22"/>
        <v>1.8855981711963428</v>
      </c>
      <c r="Q40" s="243">
        <f t="shared" si="22"/>
        <v>-9.5210566421132875E-2</v>
      </c>
      <c r="R40" s="261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0">
        <v>0.65</v>
      </c>
      <c r="C41" s="241">
        <f t="shared" si="16"/>
        <v>0.63157894736842102</v>
      </c>
      <c r="D41" s="242">
        <f>D$38+($B41-$B$38)*(D$43-D$38)/($B$43-$B$38)</f>
        <v>92.442048701094791</v>
      </c>
      <c r="E41" s="242">
        <f t="shared" si="22"/>
        <v>0</v>
      </c>
      <c r="F41" s="242">
        <f t="shared" si="22"/>
        <v>16.208676306388536</v>
      </c>
      <c r="G41" s="8">
        <f t="shared" si="22"/>
        <v>0</v>
      </c>
      <c r="H41" s="243">
        <f t="shared" si="22"/>
        <v>0.17555382465470823</v>
      </c>
      <c r="I41" s="8">
        <f t="shared" si="22"/>
        <v>0</v>
      </c>
      <c r="J41" s="244">
        <f t="shared" si="22"/>
        <v>5.4930075197690206E-2</v>
      </c>
      <c r="K41" s="242">
        <f t="shared" si="22"/>
        <v>1.5999999999999999</v>
      </c>
      <c r="L41" s="245">
        <f t="shared" si="22"/>
        <v>4397764.2591588832</v>
      </c>
      <c r="M41" s="245">
        <f t="shared" si="22"/>
        <v>1196809527.2868872</v>
      </c>
      <c r="N41" s="245">
        <f t="shared" si="22"/>
        <v>141857346.93058252</v>
      </c>
      <c r="O41" s="245">
        <f t="shared" si="22"/>
        <v>37014585.245764367</v>
      </c>
      <c r="P41" s="243">
        <f t="shared" si="22"/>
        <v>1.7549911099822202</v>
      </c>
      <c r="Q41" s="243">
        <f t="shared" si="22"/>
        <v>-7.8411480822961677E-2</v>
      </c>
      <c r="R41" s="261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0">
        <v>0.7</v>
      </c>
      <c r="C42" s="241">
        <f t="shared" si="16"/>
        <v>0.68421052631578938</v>
      </c>
      <c r="D42" s="242">
        <f>D$38+($B42-$B$38)*(D$43-D$38)/($B$43-$B$38)</f>
        <v>77.21507707687087</v>
      </c>
      <c r="E42" s="242">
        <f t="shared" si="22"/>
        <v>0</v>
      </c>
      <c r="F42" s="242">
        <f t="shared" si="22"/>
        <v>11.604274522540937</v>
      </c>
      <c r="G42" s="8">
        <f t="shared" si="22"/>
        <v>0</v>
      </c>
      <c r="H42" s="243">
        <f t="shared" si="22"/>
        <v>0.17932898600317662</v>
      </c>
      <c r="I42" s="8">
        <f t="shared" si="22"/>
        <v>0</v>
      </c>
      <c r="J42" s="244">
        <f t="shared" si="22"/>
        <v>6.3191960942846626E-2</v>
      </c>
      <c r="K42" s="242">
        <f t="shared" si="22"/>
        <v>1.1000000000000005</v>
      </c>
      <c r="L42" s="245">
        <f t="shared" si="22"/>
        <v>3037903.8439768078</v>
      </c>
      <c r="M42" s="245">
        <f t="shared" si="22"/>
        <v>992561040.74261582</v>
      </c>
      <c r="N42" s="245">
        <f t="shared" si="22"/>
        <v>103853098.1113497</v>
      </c>
      <c r="O42" s="245">
        <f t="shared" si="22"/>
        <v>24274509.114430815</v>
      </c>
      <c r="P42" s="243">
        <f t="shared" si="22"/>
        <v>1.6243840487680978</v>
      </c>
      <c r="Q42" s="243">
        <f t="shared" si="22"/>
        <v>-6.1612395224790506E-2</v>
      </c>
      <c r="R42" s="261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0">
        <v>0.75</v>
      </c>
      <c r="C43" s="241">
        <f t="shared" si="16"/>
        <v>0.73684210526315785</v>
      </c>
      <c r="D43" s="242">
        <f>D22</f>
        <v>61.988105452646913</v>
      </c>
      <c r="E43" s="242">
        <f t="shared" ref="E43:Q43" si="24">E22</f>
        <v>0</v>
      </c>
      <c r="F43" s="242">
        <f t="shared" si="24"/>
        <v>6.9998727386933259</v>
      </c>
      <c r="G43" s="8">
        <f t="shared" si="24"/>
        <v>0</v>
      </c>
      <c r="H43" s="243">
        <f t="shared" si="24"/>
        <v>0.18310414735164504</v>
      </c>
      <c r="I43" s="8">
        <f t="shared" si="24"/>
        <v>0</v>
      </c>
      <c r="J43" s="244">
        <f t="shared" si="24"/>
        <v>7.1453846688003059E-2</v>
      </c>
      <c r="K43" s="242">
        <f t="shared" si="24"/>
        <v>0.6</v>
      </c>
      <c r="L43" s="245">
        <f t="shared" si="24"/>
        <v>1678043.4287947295</v>
      </c>
      <c r="M43" s="245">
        <f t="shared" si="24"/>
        <v>788312554.19834387</v>
      </c>
      <c r="N43" s="245">
        <f t="shared" si="24"/>
        <v>65848849.292116806</v>
      </c>
      <c r="O43" s="245">
        <f t="shared" si="24"/>
        <v>11534432.983097235</v>
      </c>
      <c r="P43" s="243">
        <f t="shared" si="24"/>
        <v>1.4937769875539753</v>
      </c>
      <c r="Q43" s="243">
        <f t="shared" si="24"/>
        <v>-4.4813309626619301E-2</v>
      </c>
      <c r="R43" s="261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0">
        <v>0.8</v>
      </c>
      <c r="C44" s="241">
        <f t="shared" si="16"/>
        <v>0.78947368421052622</v>
      </c>
      <c r="D44" s="242">
        <f>D$43+($B44-$B$43)*(D$48-D$43)/($B$48-$B$43)</f>
        <v>51.861062495499205</v>
      </c>
      <c r="E44" s="242">
        <f t="shared" ref="E44:Q47" si="25">E$43+($B44-$B$43)*(E$48-E$43)/($B$48-$B$43)</f>
        <v>0</v>
      </c>
      <c r="F44" s="242">
        <f t="shared" si="25"/>
        <v>5.7532227668845772</v>
      </c>
      <c r="G44" s="8">
        <f t="shared" si="25"/>
        <v>0</v>
      </c>
      <c r="H44" s="243">
        <f t="shared" si="25"/>
        <v>0.19042527876523782</v>
      </c>
      <c r="I44" s="8">
        <f t="shared" si="25"/>
        <v>0</v>
      </c>
      <c r="J44" s="244">
        <f t="shared" si="25"/>
        <v>7.6696864497976747E-2</v>
      </c>
      <c r="K44" s="242">
        <f t="shared" si="25"/>
        <v>0.47999999999999987</v>
      </c>
      <c r="L44" s="245">
        <f t="shared" si="25"/>
        <v>1378321.3526189467</v>
      </c>
      <c r="M44" s="245">
        <f t="shared" si="25"/>
        <v>654344501.53916144</v>
      </c>
      <c r="N44" s="245">
        <f t="shared" si="25"/>
        <v>54253893.479183525</v>
      </c>
      <c r="O44" s="245">
        <f t="shared" si="25"/>
        <v>9273805.0162072163</v>
      </c>
      <c r="P44" s="243">
        <f t="shared" si="25"/>
        <v>1.3762255524511049</v>
      </c>
      <c r="Q44" s="243">
        <f t="shared" si="25"/>
        <v>-3.5850647701295431E-2</v>
      </c>
      <c r="R44" s="261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0">
        <v>0.85</v>
      </c>
      <c r="C45" s="241">
        <f t="shared" si="16"/>
        <v>0.84210526315789458</v>
      </c>
      <c r="D45" s="242">
        <f>D$43+($B45-$B$43)*(D$48-D$43)/($B$48-$B$43)</f>
        <v>41.734019538351525</v>
      </c>
      <c r="E45" s="242">
        <f t="shared" si="25"/>
        <v>0</v>
      </c>
      <c r="F45" s="242">
        <f t="shared" si="25"/>
        <v>4.5065727950758321</v>
      </c>
      <c r="G45" s="8">
        <f t="shared" si="25"/>
        <v>0</v>
      </c>
      <c r="H45" s="243">
        <f t="shared" si="25"/>
        <v>0.19774641017883057</v>
      </c>
      <c r="I45" s="8">
        <f t="shared" si="25"/>
        <v>0</v>
      </c>
      <c r="J45" s="244">
        <f t="shared" si="25"/>
        <v>8.1939882307950435E-2</v>
      </c>
      <c r="K45" s="242">
        <f t="shared" si="25"/>
        <v>0.36000000000000004</v>
      </c>
      <c r="L45" s="245">
        <f t="shared" si="25"/>
        <v>1078599.2764431648</v>
      </c>
      <c r="M45" s="245">
        <f t="shared" si="25"/>
        <v>520376448.87997925</v>
      </c>
      <c r="N45" s="245">
        <f t="shared" si="25"/>
        <v>42658937.666250259</v>
      </c>
      <c r="O45" s="245">
        <f t="shared" si="25"/>
        <v>7013177.0493172016</v>
      </c>
      <c r="P45" s="243">
        <f t="shared" si="25"/>
        <v>1.258674117348235</v>
      </c>
      <c r="Q45" s="243">
        <f t="shared" si="25"/>
        <v>-2.6887985775971585E-2</v>
      </c>
      <c r="R45" s="261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0">
        <v>0.9</v>
      </c>
      <c r="C46" s="241">
        <f t="shared" si="16"/>
        <v>0.89473684210526305</v>
      </c>
      <c r="D46" s="242">
        <f>D$43+($B46-$B$43)*(D$48-D$43)/($B$48-$B$43)</f>
        <v>31.606976581203817</v>
      </c>
      <c r="E46" s="242">
        <f t="shared" si="25"/>
        <v>0</v>
      </c>
      <c r="F46" s="242">
        <f t="shared" si="25"/>
        <v>3.2599228232670834</v>
      </c>
      <c r="G46" s="8">
        <f t="shared" si="25"/>
        <v>0</v>
      </c>
      <c r="H46" s="243">
        <f t="shared" si="25"/>
        <v>0.20506754159242332</v>
      </c>
      <c r="I46" s="8">
        <f t="shared" si="25"/>
        <v>0</v>
      </c>
      <c r="J46" s="244">
        <f t="shared" si="25"/>
        <v>8.7182900117924123E-2</v>
      </c>
      <c r="K46" s="242">
        <f t="shared" si="25"/>
        <v>0.23999999999999994</v>
      </c>
      <c r="L46" s="245">
        <f t="shared" si="25"/>
        <v>778877.20026738197</v>
      </c>
      <c r="M46" s="245">
        <f t="shared" si="25"/>
        <v>386408396.22079682</v>
      </c>
      <c r="N46" s="245">
        <f t="shared" si="25"/>
        <v>31063981.853316978</v>
      </c>
      <c r="O46" s="245">
        <f t="shared" si="25"/>
        <v>4752549.0824271832</v>
      </c>
      <c r="P46" s="243">
        <f t="shared" si="25"/>
        <v>1.1411226822453646</v>
      </c>
      <c r="Q46" s="243">
        <f t="shared" si="25"/>
        <v>-1.7925323850647715E-2</v>
      </c>
      <c r="R46" s="261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0">
        <v>0.95</v>
      </c>
      <c r="C47" s="241">
        <f t="shared" si="16"/>
        <v>0.94736842105263142</v>
      </c>
      <c r="D47" s="242">
        <f>D$43+($B47-$B$43)*(D$48-D$43)/($B$48-$B$43)</f>
        <v>21.479933624056137</v>
      </c>
      <c r="E47" s="242">
        <f t="shared" si="25"/>
        <v>0</v>
      </c>
      <c r="F47" s="242">
        <f t="shared" si="25"/>
        <v>2.0132728514583382</v>
      </c>
      <c r="G47" s="8">
        <f t="shared" si="25"/>
        <v>0</v>
      </c>
      <c r="H47" s="243">
        <f t="shared" si="25"/>
        <v>0.21238867300601608</v>
      </c>
      <c r="I47" s="8">
        <f t="shared" si="25"/>
        <v>0</v>
      </c>
      <c r="J47" s="244">
        <f t="shared" si="25"/>
        <v>9.242591792789781E-2</v>
      </c>
      <c r="K47" s="242">
        <f t="shared" si="25"/>
        <v>0.12000000000000011</v>
      </c>
      <c r="L47" s="245">
        <f t="shared" si="25"/>
        <v>479155.12409160007</v>
      </c>
      <c r="M47" s="245">
        <f t="shared" si="25"/>
        <v>252440343.56161463</v>
      </c>
      <c r="N47" s="245">
        <f t="shared" si="25"/>
        <v>19469026.040383719</v>
      </c>
      <c r="O47" s="245">
        <f t="shared" si="25"/>
        <v>2491921.1155371685</v>
      </c>
      <c r="P47" s="243">
        <f t="shared" si="25"/>
        <v>1.0235712471424945</v>
      </c>
      <c r="Q47" s="243">
        <f t="shared" si="25"/>
        <v>-8.9626619253238698E-3</v>
      </c>
      <c r="R47" s="261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6">
        <v>1</v>
      </c>
      <c r="C48" s="247">
        <f t="shared" si="16"/>
        <v>0.99999999999999989</v>
      </c>
      <c r="D48" s="248">
        <f>D23</f>
        <v>11.352890666908433</v>
      </c>
      <c r="E48" s="248">
        <f t="shared" ref="E48:Q48" si="26">E23</f>
        <v>0</v>
      </c>
      <c r="F48" s="248">
        <f t="shared" si="26"/>
        <v>0.76662287964958964</v>
      </c>
      <c r="G48" s="224">
        <f t="shared" si="26"/>
        <v>0</v>
      </c>
      <c r="H48" s="227">
        <f t="shared" si="26"/>
        <v>0.21970980441960886</v>
      </c>
      <c r="I48" s="224">
        <f t="shared" si="26"/>
        <v>0</v>
      </c>
      <c r="J48" s="249">
        <f t="shared" si="26"/>
        <v>9.7668935737871498E-2</v>
      </c>
      <c r="K48" s="248">
        <f t="shared" si="26"/>
        <v>0</v>
      </c>
      <c r="L48" s="250">
        <f t="shared" si="26"/>
        <v>179433.04791581735</v>
      </c>
      <c r="M48" s="250">
        <f t="shared" si="26"/>
        <v>118472290.90243222</v>
      </c>
      <c r="N48" s="250">
        <f t="shared" si="26"/>
        <v>7874070.2274504323</v>
      </c>
      <c r="O48" s="250">
        <f t="shared" si="26"/>
        <v>231293.14864714985</v>
      </c>
      <c r="P48" s="227">
        <f t="shared" si="26"/>
        <v>0.90601981203962423</v>
      </c>
      <c r="Q48" s="227">
        <f t="shared" si="26"/>
        <v>0</v>
      </c>
      <c r="R48" s="262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2015-12-29T16:37:43Z</dcterms:modified>
</cp:coreProperties>
</file>