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rinker\Documents\GitHub\dissertation\FAST_models\WindPACT\excel_proc\turbines\"/>
    </mc:Choice>
  </mc:AlternateContent>
  <bookViews>
    <workbookView xWindow="-80" yWindow="0" windowWidth="8070" windowHeight="7580" activeTab="5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52511"/>
</workbook>
</file>

<file path=xl/calcChain.xml><?xml version="1.0" encoding="utf-8"?>
<calcChain xmlns="http://schemas.openxmlformats.org/spreadsheetml/2006/main"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G42" i="12"/>
  <c r="F42" i="12"/>
  <c r="E42" i="12"/>
  <c r="D42" i="12"/>
  <c r="D20" i="12" s="1"/>
  <c r="G41" i="12"/>
  <c r="F41" i="12"/>
  <c r="E41" i="12"/>
  <c r="D41" i="12"/>
  <c r="D16" i="12" s="1"/>
  <c r="G40" i="12"/>
  <c r="F40" i="12"/>
  <c r="E40" i="12"/>
  <c r="D40" i="12"/>
  <c r="D13" i="12" s="1"/>
  <c r="G39" i="12"/>
  <c r="F39" i="12"/>
  <c r="E39" i="12"/>
  <c r="D39" i="12"/>
  <c r="F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B43" i="5"/>
  <c r="C19" i="10" l="1"/>
  <c r="D9" i="12"/>
  <c r="D17" i="12"/>
  <c r="G9" i="12"/>
  <c r="G13" i="12"/>
  <c r="F15" i="12"/>
  <c r="G10" i="12"/>
  <c r="G18" i="12"/>
  <c r="F14" i="12"/>
  <c r="F22" i="12"/>
  <c r="F16" i="12"/>
  <c r="D21" i="12"/>
  <c r="F11" i="12"/>
  <c r="F19" i="12"/>
  <c r="G19" i="12"/>
  <c r="D8" i="12"/>
  <c r="F12" i="12"/>
  <c r="D14" i="12"/>
  <c r="G15" i="12"/>
  <c r="D1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0" i="12"/>
  <c r="D12" i="12"/>
  <c r="G17" i="12"/>
  <c r="E5" i="9"/>
  <c r="D5" i="9"/>
  <c r="C5" i="9"/>
  <c r="C4" i="9"/>
  <c r="C3" i="9"/>
  <c r="I11" i="8" l="1"/>
  <c r="B31" i="5" l="1"/>
  <c r="B89" i="5" l="1"/>
  <c r="B88" i="5" l="1"/>
  <c r="B29" i="5"/>
  <c r="H74" i="5" l="1"/>
  <c r="H73" i="5"/>
  <c r="H72" i="5"/>
  <c r="I73" i="5" l="1"/>
  <c r="J73" i="5" s="1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K6" i="6"/>
  <c r="N19" i="6" s="1"/>
  <c r="N29" i="6" s="1"/>
  <c r="L6" i="6"/>
  <c r="M19" i="6" s="1"/>
  <c r="M29" i="6" s="1"/>
  <c r="J8" i="9" s="1"/>
  <c r="M6" i="6"/>
  <c r="L19" i="6" s="1"/>
  <c r="L29" i="6" s="1"/>
  <c r="N6" i="6"/>
  <c r="E19" i="6" s="1"/>
  <c r="E29" i="6" s="1"/>
  <c r="B7" i="6"/>
  <c r="C7" i="6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I12" i="9" s="1"/>
  <c r="N7" i="6"/>
  <c r="E20" i="6" s="1"/>
  <c r="F20" i="6" s="1"/>
  <c r="F33" i="6" s="1"/>
  <c r="E15" i="3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H17" i="9" s="1"/>
  <c r="L8" i="6"/>
  <c r="M21" i="6" s="1"/>
  <c r="M38" i="6" s="1"/>
  <c r="J17" i="9" s="1"/>
  <c r="M8" i="6"/>
  <c r="L21" i="6" s="1"/>
  <c r="L38" i="6" s="1"/>
  <c r="I17" i="9" s="1"/>
  <c r="N8" i="6"/>
  <c r="E21" i="6" s="1"/>
  <c r="B9" i="6"/>
  <c r="C9" i="6"/>
  <c r="D9" i="6"/>
  <c r="E9" i="6"/>
  <c r="F9" i="6"/>
  <c r="G9" i="6"/>
  <c r="H9" i="6"/>
  <c r="I9" i="6"/>
  <c r="D22" i="6" s="1"/>
  <c r="D43" i="6" s="1"/>
  <c r="F22" i="9" s="1"/>
  <c r="J9" i="6"/>
  <c r="O22" i="6" s="1"/>
  <c r="O43" i="6" s="1"/>
  <c r="G22" i="9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N9" i="6"/>
  <c r="E22" i="6" s="1"/>
  <c r="E43" i="6" s="1"/>
  <c r="D25" i="3" s="1"/>
  <c r="B10" i="6"/>
  <c r="C10" i="6"/>
  <c r="D10" i="6"/>
  <c r="E10" i="6"/>
  <c r="F10" i="6"/>
  <c r="G10" i="6"/>
  <c r="H10" i="6"/>
  <c r="I10" i="6"/>
  <c r="D23" i="6" s="1"/>
  <c r="D48" i="6" s="1"/>
  <c r="F27" i="9" s="1"/>
  <c r="J10" i="6"/>
  <c r="O23" i="6" s="1"/>
  <c r="O48" i="6" s="1"/>
  <c r="K10" i="6"/>
  <c r="N23" i="6" s="1"/>
  <c r="N48" i="6" s="1"/>
  <c r="L10" i="6"/>
  <c r="M23" i="6" s="1"/>
  <c r="M48" i="6" s="1"/>
  <c r="J27" i="9" s="1"/>
  <c r="M10" i="6"/>
  <c r="L23" i="6" s="1"/>
  <c r="L48" i="6" s="1"/>
  <c r="I27" i="9" s="1"/>
  <c r="N10" i="6"/>
  <c r="E23" i="6" s="1"/>
  <c r="E48" i="6" s="1"/>
  <c r="D30" i="3" s="1"/>
  <c r="D12" i="6"/>
  <c r="D13" i="6"/>
  <c r="B3" i="3" s="1"/>
  <c r="K18" i="6"/>
  <c r="K28" i="6" s="1"/>
  <c r="R18" i="6"/>
  <c r="R29" i="6" s="1"/>
  <c r="Q11" i="3" s="1"/>
  <c r="K19" i="6"/>
  <c r="K29" i="6" s="1"/>
  <c r="E8" i="9" s="1"/>
  <c r="R19" i="6"/>
  <c r="K20" i="6"/>
  <c r="K33" i="6" s="1"/>
  <c r="R20" i="6"/>
  <c r="R32" i="6" s="1"/>
  <c r="Q14" i="3" s="1"/>
  <c r="K21" i="6"/>
  <c r="K38" i="6" s="1"/>
  <c r="K22" i="6"/>
  <c r="K43" i="6" s="1"/>
  <c r="E22" i="9" s="1"/>
  <c r="R22" i="6"/>
  <c r="R39" i="6" s="1"/>
  <c r="Q21" i="3" s="1"/>
  <c r="K23" i="6"/>
  <c r="K48" i="6" s="1"/>
  <c r="R23" i="6"/>
  <c r="G28" i="6"/>
  <c r="F10" i="3" s="1"/>
  <c r="I28" i="6"/>
  <c r="H10" i="3"/>
  <c r="Q28" i="6"/>
  <c r="P10" i="3" s="1"/>
  <c r="G29" i="6"/>
  <c r="F11" i="3"/>
  <c r="I29" i="6"/>
  <c r="H11" i="3" s="1"/>
  <c r="Q29" i="6"/>
  <c r="P11" i="3"/>
  <c r="G33" i="6"/>
  <c r="F15" i="3" s="1"/>
  <c r="I33" i="6"/>
  <c r="I37" i="6"/>
  <c r="H19" i="3"/>
  <c r="G38" i="6"/>
  <c r="I38" i="6"/>
  <c r="I35" i="6" s="1"/>
  <c r="H17" i="3" s="1"/>
  <c r="H20" i="3"/>
  <c r="G40" i="6"/>
  <c r="F22" i="3" s="1"/>
  <c r="G42" i="6"/>
  <c r="F24" i="3" s="1"/>
  <c r="G43" i="6"/>
  <c r="F25" i="3"/>
  <c r="I43" i="6"/>
  <c r="I45" i="6" s="1"/>
  <c r="H27" i="3" s="1"/>
  <c r="G48" i="6"/>
  <c r="G47" i="6"/>
  <c r="F29" i="3"/>
  <c r="I48" i="6"/>
  <c r="H30" i="3" s="1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4" i="5"/>
  <c r="B26" i="5"/>
  <c r="C2" i="8"/>
  <c r="I12" i="8" s="1"/>
  <c r="I16" i="8" s="1"/>
  <c r="A136" i="5"/>
  <c r="A137" i="5"/>
  <c r="A138" i="5"/>
  <c r="A139" i="5"/>
  <c r="A140" i="5"/>
  <c r="A141" i="5"/>
  <c r="G46" i="6"/>
  <c r="F28" i="3"/>
  <c r="G44" i="6"/>
  <c r="F26" i="3"/>
  <c r="B30" i="5"/>
  <c r="F20" i="3"/>
  <c r="G39" i="6"/>
  <c r="F21" i="3" s="1"/>
  <c r="G41" i="6"/>
  <c r="F23" i="3"/>
  <c r="F30" i="3"/>
  <c r="G45" i="6"/>
  <c r="F27" i="3" s="1"/>
  <c r="H15" i="3"/>
  <c r="I34" i="6"/>
  <c r="H16" i="3" s="1"/>
  <c r="I36" i="6"/>
  <c r="H18" i="3"/>
  <c r="B20" i="6" l="1"/>
  <c r="M11" i="3"/>
  <c r="H8" i="9"/>
  <c r="P19" i="6"/>
  <c r="P29" i="6" s="1"/>
  <c r="D8" i="9" s="1"/>
  <c r="L10" i="3"/>
  <c r="J7" i="9"/>
  <c r="K25" i="3"/>
  <c r="I22" i="9"/>
  <c r="M15" i="3"/>
  <c r="H12" i="9"/>
  <c r="C10" i="3"/>
  <c r="F7" i="9"/>
  <c r="J20" i="3"/>
  <c r="E17" i="9"/>
  <c r="J30" i="3"/>
  <c r="E27" i="9"/>
  <c r="N30" i="3"/>
  <c r="G27" i="9"/>
  <c r="B23" i="6"/>
  <c r="P22" i="6"/>
  <c r="P43" i="6" s="1"/>
  <c r="O25" i="3" s="1"/>
  <c r="N11" i="3"/>
  <c r="G8" i="9"/>
  <c r="B19" i="6"/>
  <c r="B29" i="6" s="1"/>
  <c r="N30" i="6" s="1"/>
  <c r="M10" i="3"/>
  <c r="H7" i="9"/>
  <c r="B21" i="6"/>
  <c r="K10" i="3"/>
  <c r="I7" i="9"/>
  <c r="M30" i="3"/>
  <c r="H27" i="9"/>
  <c r="J15" i="3"/>
  <c r="E12" i="9"/>
  <c r="J10" i="3"/>
  <c r="E7" i="9"/>
  <c r="B22" i="6"/>
  <c r="K11" i="3"/>
  <c r="I8" i="9"/>
  <c r="C11" i="3"/>
  <c r="F8" i="9"/>
  <c r="N10" i="3"/>
  <c r="G7" i="9"/>
  <c r="B18" i="6"/>
  <c r="C33" i="6" s="1"/>
  <c r="C22" i="7"/>
  <c r="I44" i="6"/>
  <c r="H26" i="3" s="1"/>
  <c r="I47" i="6"/>
  <c r="H29" i="3" s="1"/>
  <c r="G34" i="6"/>
  <c r="F16" i="3" s="1"/>
  <c r="H25" i="3"/>
  <c r="I46" i="6"/>
  <c r="H28" i="3" s="1"/>
  <c r="I41" i="6"/>
  <c r="H23" i="3" s="1"/>
  <c r="I40" i="6"/>
  <c r="H22" i="3" s="1"/>
  <c r="G37" i="6"/>
  <c r="F19" i="3" s="1"/>
  <c r="I39" i="6"/>
  <c r="H21" i="3" s="1"/>
  <c r="I42" i="6"/>
  <c r="H24" i="3" s="1"/>
  <c r="G36" i="6"/>
  <c r="F18" i="3" s="1"/>
  <c r="G35" i="6"/>
  <c r="F17" i="3" s="1"/>
  <c r="B14" i="5"/>
  <c r="M6" i="8"/>
  <c r="N6" i="8" s="1"/>
  <c r="O6" i="8" s="1"/>
  <c r="I5" i="8"/>
  <c r="D8" i="8"/>
  <c r="E22" i="8" s="1"/>
  <c r="J18" i="6"/>
  <c r="J28" i="6" s="1"/>
  <c r="I10" i="3" s="1"/>
  <c r="R36" i="6"/>
  <c r="Q18" i="3" s="1"/>
  <c r="F19" i="6"/>
  <c r="F29" i="6" s="1"/>
  <c r="E25" i="8"/>
  <c r="D25" i="8" s="1"/>
  <c r="M25" i="8" s="1"/>
  <c r="R33" i="6"/>
  <c r="Q15" i="3" s="1"/>
  <c r="C21" i="7"/>
  <c r="B14" i="4" s="1"/>
  <c r="R31" i="6"/>
  <c r="Q13" i="3" s="1"/>
  <c r="D34" i="6"/>
  <c r="Q20" i="6"/>
  <c r="Q33" i="6" s="1"/>
  <c r="C17" i="7"/>
  <c r="E17" i="7" s="1"/>
  <c r="R41" i="6"/>
  <c r="Q23" i="3" s="1"/>
  <c r="H21" i="6"/>
  <c r="H38" i="6" s="1"/>
  <c r="G20" i="3" s="1"/>
  <c r="L15" i="3"/>
  <c r="M36" i="6"/>
  <c r="M35" i="6"/>
  <c r="I23" i="8"/>
  <c r="Q23" i="6"/>
  <c r="Q48" i="6" s="1"/>
  <c r="O41" i="6"/>
  <c r="N20" i="3"/>
  <c r="H20" i="6"/>
  <c r="H33" i="6" s="1"/>
  <c r="G15" i="3" s="1"/>
  <c r="R42" i="6"/>
  <c r="Q24" i="3" s="1"/>
  <c r="P23" i="6"/>
  <c r="P48" i="6" s="1"/>
  <c r="H23" i="6"/>
  <c r="H48" i="6" s="1"/>
  <c r="G30" i="3" s="1"/>
  <c r="E12" i="8"/>
  <c r="M12" i="8" s="1"/>
  <c r="I9" i="8"/>
  <c r="I7" i="8"/>
  <c r="E33" i="6"/>
  <c r="D15" i="3" s="1"/>
  <c r="E18" i="6"/>
  <c r="E28" i="6" s="1"/>
  <c r="D10" i="3" s="1"/>
  <c r="D37" i="6"/>
  <c r="C15" i="3"/>
  <c r="I28" i="8"/>
  <c r="I22" i="8"/>
  <c r="D9" i="8"/>
  <c r="E23" i="8" s="1"/>
  <c r="J20" i="6"/>
  <c r="J33" i="6" s="1"/>
  <c r="B2" i="3"/>
  <c r="J23" i="6"/>
  <c r="J48" i="6" s="1"/>
  <c r="I30" i="3" s="1"/>
  <c r="H18" i="6"/>
  <c r="H28" i="6" s="1"/>
  <c r="G10" i="3" s="1"/>
  <c r="L25" i="3"/>
  <c r="M40" i="6"/>
  <c r="M39" i="6"/>
  <c r="D39" i="6"/>
  <c r="O11" i="3"/>
  <c r="S29" i="6"/>
  <c r="K46" i="6"/>
  <c r="K41" i="6"/>
  <c r="D11" i="3"/>
  <c r="I30" i="6"/>
  <c r="H12" i="3" s="1"/>
  <c r="G30" i="6"/>
  <c r="F12" i="3" s="1"/>
  <c r="N32" i="6"/>
  <c r="L41" i="6"/>
  <c r="L39" i="6"/>
  <c r="L40" i="6"/>
  <c r="L42" i="6"/>
  <c r="K20" i="3"/>
  <c r="M45" i="6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D31" i="6"/>
  <c r="J19" i="6"/>
  <c r="J29" i="6" s="1"/>
  <c r="I11" i="3" s="1"/>
  <c r="L20" i="3"/>
  <c r="C20" i="7"/>
  <c r="S43" i="6"/>
  <c r="O37" i="6"/>
  <c r="P20" i="6"/>
  <c r="P33" i="6" s="1"/>
  <c r="S33" i="6" s="1"/>
  <c r="H19" i="6"/>
  <c r="H29" i="6" s="1"/>
  <c r="M26" i="8"/>
  <c r="O26" i="8"/>
  <c r="J25" i="3"/>
  <c r="K44" i="6"/>
  <c r="K45" i="6"/>
  <c r="K47" i="6"/>
  <c r="K30" i="3"/>
  <c r="L45" i="6"/>
  <c r="L46" i="6"/>
  <c r="C30" i="3"/>
  <c r="D46" i="6"/>
  <c r="F25" i="9" s="1"/>
  <c r="D45" i="6"/>
  <c r="F24" i="9" s="1"/>
  <c r="O46" i="6"/>
  <c r="O47" i="6"/>
  <c r="O44" i="6"/>
  <c r="O45" i="6"/>
  <c r="H22" i="6"/>
  <c r="H43" i="6" s="1"/>
  <c r="Q22" i="6"/>
  <c r="Q43" i="6" s="1"/>
  <c r="L32" i="6"/>
  <c r="L34" i="6"/>
  <c r="K15" i="3"/>
  <c r="M30" i="6"/>
  <c r="E44" i="6"/>
  <c r="D26" i="3" s="1"/>
  <c r="L36" i="6"/>
  <c r="E46" i="6"/>
  <c r="D28" i="3" s="1"/>
  <c r="N25" i="3"/>
  <c r="N40" i="6"/>
  <c r="N42" i="6"/>
  <c r="N36" i="6"/>
  <c r="N37" i="6"/>
  <c r="N41" i="6"/>
  <c r="N39" i="6"/>
  <c r="M20" i="3"/>
  <c r="N35" i="6"/>
  <c r="J21" i="6"/>
  <c r="J38" i="6" s="1"/>
  <c r="Q21" i="6"/>
  <c r="Q38" i="6" s="1"/>
  <c r="P21" i="6"/>
  <c r="P38" i="6" s="1"/>
  <c r="J11" i="3"/>
  <c r="L44" i="6"/>
  <c r="L37" i="6"/>
  <c r="M47" i="6"/>
  <c r="M25" i="3"/>
  <c r="N45" i="6"/>
  <c r="N47" i="6"/>
  <c r="N44" i="6"/>
  <c r="N46" i="6"/>
  <c r="O36" i="6"/>
  <c r="N15" i="3"/>
  <c r="O35" i="6"/>
  <c r="O34" i="6"/>
  <c r="E45" i="6"/>
  <c r="D27" i="3" s="1"/>
  <c r="E47" i="6"/>
  <c r="D29" i="3" s="1"/>
  <c r="L47" i="6"/>
  <c r="N34" i="6"/>
  <c r="L35" i="6"/>
  <c r="D22" i="7"/>
  <c r="E22" i="7"/>
  <c r="L25" i="8"/>
  <c r="L12" i="8"/>
  <c r="L24" i="8"/>
  <c r="K40" i="6"/>
  <c r="K35" i="6"/>
  <c r="K39" i="6"/>
  <c r="K36" i="6"/>
  <c r="K37" i="6"/>
  <c r="K42" i="6"/>
  <c r="L11" i="3"/>
  <c r="R48" i="6"/>
  <c r="Q30" i="3" s="1"/>
  <c r="R46" i="6"/>
  <c r="Q28" i="3" s="1"/>
  <c r="R47" i="6"/>
  <c r="Q29" i="3" s="1"/>
  <c r="F22" i="6"/>
  <c r="F43" i="6" s="1"/>
  <c r="D41" i="6"/>
  <c r="F20" i="9" s="1"/>
  <c r="C20" i="3"/>
  <c r="D36" i="6"/>
  <c r="F15" i="9" s="1"/>
  <c r="D40" i="6"/>
  <c r="F19" i="9" s="1"/>
  <c r="D35" i="6"/>
  <c r="F14" i="9" s="1"/>
  <c r="D42" i="6"/>
  <c r="F21" i="9" s="1"/>
  <c r="E6" i="5"/>
  <c r="N26" i="8"/>
  <c r="M46" i="6"/>
  <c r="M44" i="6"/>
  <c r="L30" i="6"/>
  <c r="O30" i="6"/>
  <c r="O31" i="6"/>
  <c r="G31" i="6"/>
  <c r="F13" i="3" s="1"/>
  <c r="J12" i="8"/>
  <c r="J24" i="8"/>
  <c r="C11" i="8"/>
  <c r="C25" i="8" s="1"/>
  <c r="M11" i="8"/>
  <c r="I21" i="8"/>
  <c r="I27" i="8"/>
  <c r="E24" i="8"/>
  <c r="C25" i="3"/>
  <c r="D44" i="6"/>
  <c r="F23" i="9" s="1"/>
  <c r="D47" i="6"/>
  <c r="F26" i="9" s="1"/>
  <c r="O42" i="6"/>
  <c r="O40" i="6"/>
  <c r="O39" i="6"/>
  <c r="M41" i="6"/>
  <c r="M42" i="6"/>
  <c r="C15" i="7"/>
  <c r="D15" i="7" s="1"/>
  <c r="C18" i="7"/>
  <c r="C24" i="7"/>
  <c r="C16" i="7"/>
  <c r="K12" i="8"/>
  <c r="K16" i="8" s="1"/>
  <c r="C6" i="5" s="1"/>
  <c r="K34" i="6"/>
  <c r="J22" i="6"/>
  <c r="J43" i="6" s="1"/>
  <c r="M37" i="6"/>
  <c r="M34" i="6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C29" i="6" l="1"/>
  <c r="C8" i="9" s="1"/>
  <c r="C38" i="6"/>
  <c r="C47" i="6"/>
  <c r="C30" i="6"/>
  <c r="C9" i="9" s="1"/>
  <c r="G32" i="6"/>
  <c r="F14" i="3" s="1"/>
  <c r="O32" i="6"/>
  <c r="M31" i="6"/>
  <c r="D22" i="9"/>
  <c r="K30" i="6"/>
  <c r="C37" i="6"/>
  <c r="C35" i="6"/>
  <c r="C14" i="9" s="1"/>
  <c r="N31" i="6"/>
  <c r="H10" i="9" s="1"/>
  <c r="K32" i="6"/>
  <c r="C34" i="6"/>
  <c r="C13" i="9" s="1"/>
  <c r="I32" i="6"/>
  <c r="H14" i="3" s="1"/>
  <c r="I31" i="6"/>
  <c r="H13" i="3" s="1"/>
  <c r="L31" i="6"/>
  <c r="M32" i="6"/>
  <c r="J11" i="9" s="1"/>
  <c r="K31" i="6"/>
  <c r="E10" i="9" s="1"/>
  <c r="D32" i="6"/>
  <c r="D30" i="6"/>
  <c r="P46" i="6"/>
  <c r="O28" i="3" s="1"/>
  <c r="F31" i="6"/>
  <c r="E13" i="3" s="1"/>
  <c r="B15" i="3"/>
  <c r="C12" i="9"/>
  <c r="B20" i="3"/>
  <c r="C17" i="9"/>
  <c r="P15" i="3"/>
  <c r="D12" i="9"/>
  <c r="C40" i="6"/>
  <c r="C19" i="9" s="1"/>
  <c r="J16" i="3"/>
  <c r="E13" i="9"/>
  <c r="N21" i="3"/>
  <c r="G18" i="9"/>
  <c r="I30" i="8"/>
  <c r="N14" i="3"/>
  <c r="G11" i="9"/>
  <c r="L28" i="3"/>
  <c r="J25" i="9"/>
  <c r="J18" i="3"/>
  <c r="E15" i="9"/>
  <c r="M29" i="3"/>
  <c r="H26" i="9"/>
  <c r="K19" i="3"/>
  <c r="I16" i="9"/>
  <c r="D17" i="9"/>
  <c r="M21" i="3"/>
  <c r="H18" i="9"/>
  <c r="M24" i="3"/>
  <c r="H21" i="9"/>
  <c r="K18" i="3"/>
  <c r="I15" i="9"/>
  <c r="L13" i="3"/>
  <c r="J10" i="9"/>
  <c r="N29" i="3"/>
  <c r="G26" i="9"/>
  <c r="J12" i="3"/>
  <c r="E9" i="9"/>
  <c r="J26" i="3"/>
  <c r="E23" i="9"/>
  <c r="C46" i="6"/>
  <c r="T45" i="6" s="1"/>
  <c r="C45" i="6"/>
  <c r="T46" i="6" s="1"/>
  <c r="C41" i="6"/>
  <c r="O10" i="3"/>
  <c r="D7" i="9"/>
  <c r="K23" i="3"/>
  <c r="I20" i="9"/>
  <c r="J23" i="3"/>
  <c r="E20" i="9"/>
  <c r="C21" i="3"/>
  <c r="F18" i="9"/>
  <c r="C28" i="6"/>
  <c r="C19" i="3"/>
  <c r="F16" i="9"/>
  <c r="C39" i="6"/>
  <c r="N23" i="3"/>
  <c r="G20" i="9"/>
  <c r="J14" i="3"/>
  <c r="E11" i="9"/>
  <c r="C16" i="3"/>
  <c r="F13" i="9"/>
  <c r="L26" i="3"/>
  <c r="J23" i="9"/>
  <c r="J19" i="3"/>
  <c r="E16" i="9"/>
  <c r="N17" i="3"/>
  <c r="G14" i="9"/>
  <c r="M18" i="3"/>
  <c r="H15" i="9"/>
  <c r="L12" i="3"/>
  <c r="J9" i="9"/>
  <c r="J27" i="3"/>
  <c r="E24" i="9"/>
  <c r="B19" i="3"/>
  <c r="C16" i="9"/>
  <c r="K21" i="3"/>
  <c r="I18" i="9"/>
  <c r="B29" i="3"/>
  <c r="C26" i="9"/>
  <c r="L16" i="3"/>
  <c r="J13" i="9"/>
  <c r="C18" i="6"/>
  <c r="K13" i="3"/>
  <c r="I10" i="9"/>
  <c r="J21" i="3"/>
  <c r="E18" i="9"/>
  <c r="K17" i="3"/>
  <c r="I14" i="9"/>
  <c r="N18" i="3"/>
  <c r="G15" i="9"/>
  <c r="M27" i="3"/>
  <c r="H24" i="9"/>
  <c r="K26" i="3"/>
  <c r="I23" i="9"/>
  <c r="M23" i="3"/>
  <c r="H20" i="9"/>
  <c r="M22" i="3"/>
  <c r="H19" i="9"/>
  <c r="L14" i="3"/>
  <c r="N28" i="3"/>
  <c r="G25" i="9"/>
  <c r="K28" i="3"/>
  <c r="I25" i="9"/>
  <c r="C48" i="6"/>
  <c r="C27" i="9" s="1"/>
  <c r="C23" i="6"/>
  <c r="C21" i="6"/>
  <c r="K24" i="3"/>
  <c r="I21" i="9"/>
  <c r="C12" i="3"/>
  <c r="F9" i="9"/>
  <c r="M12" i="3"/>
  <c r="H9" i="9"/>
  <c r="J28" i="3"/>
  <c r="E25" i="9"/>
  <c r="L21" i="3"/>
  <c r="J18" i="9"/>
  <c r="C32" i="6"/>
  <c r="C36" i="6"/>
  <c r="C43" i="6"/>
  <c r="C19" i="6"/>
  <c r="L17" i="3"/>
  <c r="J14" i="9"/>
  <c r="C31" i="6"/>
  <c r="L23" i="3"/>
  <c r="J20" i="9"/>
  <c r="N12" i="3"/>
  <c r="G9" i="9"/>
  <c r="J22" i="3"/>
  <c r="E19" i="9"/>
  <c r="K29" i="3"/>
  <c r="I26" i="9"/>
  <c r="M26" i="3"/>
  <c r="H23" i="9"/>
  <c r="L29" i="3"/>
  <c r="J26" i="9"/>
  <c r="K14" i="3"/>
  <c r="I11" i="9"/>
  <c r="N26" i="3"/>
  <c r="G23" i="9"/>
  <c r="C13" i="3"/>
  <c r="F10" i="9"/>
  <c r="L27" i="3"/>
  <c r="J24" i="9"/>
  <c r="N22" i="3"/>
  <c r="G19" i="9"/>
  <c r="L19" i="3"/>
  <c r="J16" i="9"/>
  <c r="C42" i="6"/>
  <c r="T41" i="6" s="1"/>
  <c r="L24" i="3"/>
  <c r="J21" i="9"/>
  <c r="N24" i="3"/>
  <c r="G21" i="9"/>
  <c r="N13" i="3"/>
  <c r="G10" i="9"/>
  <c r="K12" i="3"/>
  <c r="I9" i="9"/>
  <c r="J24" i="3"/>
  <c r="E21" i="9"/>
  <c r="J17" i="3"/>
  <c r="E14" i="9"/>
  <c r="M16" i="3"/>
  <c r="H13" i="9"/>
  <c r="N16" i="3"/>
  <c r="G13" i="9"/>
  <c r="M28" i="3"/>
  <c r="H25" i="9"/>
  <c r="M17" i="3"/>
  <c r="H14" i="9"/>
  <c r="M19" i="3"/>
  <c r="H16" i="9"/>
  <c r="K16" i="3"/>
  <c r="I13" i="9"/>
  <c r="N27" i="3"/>
  <c r="G24" i="9"/>
  <c r="K27" i="3"/>
  <c r="I24" i="9"/>
  <c r="J29" i="3"/>
  <c r="E26" i="9"/>
  <c r="N19" i="3"/>
  <c r="G16" i="9"/>
  <c r="C22" i="6"/>
  <c r="C14" i="3"/>
  <c r="F11" i="9"/>
  <c r="C20" i="6"/>
  <c r="K22" i="3"/>
  <c r="I19" i="9"/>
  <c r="M14" i="3"/>
  <c r="H11" i="9"/>
  <c r="L22" i="3"/>
  <c r="J19" i="9"/>
  <c r="C44" i="6"/>
  <c r="P30" i="3"/>
  <c r="D27" i="9"/>
  <c r="L18" i="3"/>
  <c r="J15" i="9"/>
  <c r="M7" i="8"/>
  <c r="I15" i="8"/>
  <c r="I14" i="8"/>
  <c r="I17" i="8" s="1"/>
  <c r="I31" i="8" s="1"/>
  <c r="M5" i="8"/>
  <c r="O5" i="8" s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D21" i="7"/>
  <c r="F21" i="7" s="1"/>
  <c r="E32" i="6"/>
  <c r="D14" i="3" s="1"/>
  <c r="E11" i="3"/>
  <c r="M22" i="8"/>
  <c r="N22" i="8" s="1"/>
  <c r="E30" i="6"/>
  <c r="D12" i="3" s="1"/>
  <c r="Q31" i="6"/>
  <c r="F37" i="6"/>
  <c r="E19" i="3" s="1"/>
  <c r="Q30" i="6"/>
  <c r="O30" i="3"/>
  <c r="J30" i="6"/>
  <c r="I12" i="3" s="1"/>
  <c r="Q36" i="6"/>
  <c r="N25" i="8"/>
  <c r="Q32" i="6"/>
  <c r="G11" i="3"/>
  <c r="D19" i="7"/>
  <c r="Q37" i="6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O7" i="8"/>
  <c r="S28" i="6"/>
  <c r="T37" i="6"/>
  <c r="N7" i="8"/>
  <c r="P31" i="6"/>
  <c r="O13" i="3" s="1"/>
  <c r="L15" i="8"/>
  <c r="D7" i="5" s="1"/>
  <c r="P32" i="6"/>
  <c r="S32" i="6" s="1"/>
  <c r="O15" i="3"/>
  <c r="J37" i="6"/>
  <c r="I19" i="3" s="1"/>
  <c r="S46" i="6"/>
  <c r="J32" i="6"/>
  <c r="I14" i="3" s="1"/>
  <c r="I15" i="3"/>
  <c r="F18" i="6"/>
  <c r="F28" i="6" s="1"/>
  <c r="E10" i="3" s="1"/>
  <c r="M9" i="8"/>
  <c r="O9" i="8" s="1"/>
  <c r="K15" i="8"/>
  <c r="C7" i="5" s="1"/>
  <c r="O12" i="8"/>
  <c r="J15" i="8"/>
  <c r="B7" i="5" s="1"/>
  <c r="E31" i="6"/>
  <c r="D13" i="3" s="1"/>
  <c r="E36" i="6"/>
  <c r="D18" i="3" s="1"/>
  <c r="H30" i="6"/>
  <c r="G12" i="3" s="1"/>
  <c r="J14" i="8"/>
  <c r="B8" i="5" s="1"/>
  <c r="B53" i="5" s="1"/>
  <c r="E37" i="6"/>
  <c r="D19" i="3" s="1"/>
  <c r="E41" i="6"/>
  <c r="D23" i="3" s="1"/>
  <c r="T31" i="6"/>
  <c r="H41" i="6"/>
  <c r="G23" i="3" s="1"/>
  <c r="H35" i="6"/>
  <c r="G17" i="3" s="1"/>
  <c r="O25" i="8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E20" i="3"/>
  <c r="F35" i="6"/>
  <c r="E17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T33" i="6"/>
  <c r="B11" i="4"/>
  <c r="D18" i="7"/>
  <c r="N11" i="8"/>
  <c r="J16" i="8"/>
  <c r="C22" i="3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Q45" i="6"/>
  <c r="Q46" i="6"/>
  <c r="Q47" i="6"/>
  <c r="E18" i="7"/>
  <c r="E15" i="7"/>
  <c r="F15" i="7" s="1"/>
  <c r="B8" i="4"/>
  <c r="C29" i="3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B11" i="3"/>
  <c r="T30" i="6"/>
  <c r="C24" i="3"/>
  <c r="L16" i="8"/>
  <c r="P12" i="8" s="1"/>
  <c r="P20" i="3"/>
  <c r="Q34" i="6"/>
  <c r="Q35" i="6"/>
  <c r="Q42" i="6"/>
  <c r="Q39" i="6"/>
  <c r="Q40" i="6"/>
  <c r="Q41" i="6"/>
  <c r="C27" i="3"/>
  <c r="B17" i="4"/>
  <c r="E24" i="7"/>
  <c r="D24" i="7"/>
  <c r="J30" i="8"/>
  <c r="L30" i="8"/>
  <c r="N21" i="8"/>
  <c r="O21" i="8"/>
  <c r="M21" i="8"/>
  <c r="E5" i="5"/>
  <c r="E11" i="5" s="1"/>
  <c r="K30" i="8"/>
  <c r="P35" i="6"/>
  <c r="T35" i="6"/>
  <c r="C17" i="3"/>
  <c r="C23" i="3"/>
  <c r="I20" i="3"/>
  <c r="J41" i="6"/>
  <c r="I23" i="3" s="1"/>
  <c r="J39" i="6"/>
  <c r="I21" i="3" s="1"/>
  <c r="J40" i="6"/>
  <c r="I22" i="3" s="1"/>
  <c r="J42" i="6"/>
  <c r="I24" i="3" s="1"/>
  <c r="C28" i="3"/>
  <c r="J17" i="7"/>
  <c r="B17" i="3" l="1"/>
  <c r="J13" i="3"/>
  <c r="M13" i="3"/>
  <c r="B22" i="3"/>
  <c r="R21" i="3" s="1"/>
  <c r="T21" i="3" s="1"/>
  <c r="B12" i="3"/>
  <c r="T34" i="6"/>
  <c r="B10" i="3"/>
  <c r="R11" i="3" s="1"/>
  <c r="T11" i="3" s="1"/>
  <c r="C7" i="9"/>
  <c r="P24" i="3"/>
  <c r="D21" i="9"/>
  <c r="T28" i="6"/>
  <c r="R16" i="3"/>
  <c r="T16" i="3" s="1"/>
  <c r="T48" i="6"/>
  <c r="P14" i="3"/>
  <c r="D11" i="9"/>
  <c r="B26" i="3"/>
  <c r="C23" i="9"/>
  <c r="B13" i="3"/>
  <c r="R14" i="3" s="1"/>
  <c r="C10" i="9"/>
  <c r="B28" i="3"/>
  <c r="R27" i="3" s="1"/>
  <c r="T27" i="3" s="1"/>
  <c r="C25" i="9"/>
  <c r="B30" i="3"/>
  <c r="R30" i="3" s="1"/>
  <c r="T30" i="3" s="1"/>
  <c r="T43" i="6"/>
  <c r="T32" i="6"/>
  <c r="E8" i="5"/>
  <c r="P19" i="3"/>
  <c r="D16" i="9"/>
  <c r="P12" i="3"/>
  <c r="D9" i="9"/>
  <c r="B18" i="3"/>
  <c r="R19" i="3" s="1"/>
  <c r="T19" i="3" s="1"/>
  <c r="C15" i="9"/>
  <c r="P21" i="3"/>
  <c r="D18" i="9"/>
  <c r="P27" i="3"/>
  <c r="D24" i="9"/>
  <c r="P13" i="3"/>
  <c r="D10" i="9"/>
  <c r="B24" i="3"/>
  <c r="R23" i="3" s="1"/>
  <c r="C21" i="9"/>
  <c r="B27" i="3"/>
  <c r="C24" i="9"/>
  <c r="P26" i="3"/>
  <c r="D23" i="9"/>
  <c r="B25" i="3"/>
  <c r="C22" i="9"/>
  <c r="B21" i="3"/>
  <c r="R20" i="3" s="1"/>
  <c r="T20" i="3" s="1"/>
  <c r="C18" i="9"/>
  <c r="R28" i="3"/>
  <c r="P23" i="3"/>
  <c r="D20" i="9"/>
  <c r="P17" i="3"/>
  <c r="D14" i="9"/>
  <c r="R10" i="3"/>
  <c r="T10" i="3" s="1"/>
  <c r="P29" i="3"/>
  <c r="D26" i="9"/>
  <c r="P22" i="3"/>
  <c r="D19" i="9"/>
  <c r="P16" i="3"/>
  <c r="D13" i="9"/>
  <c r="T42" i="6"/>
  <c r="T44" i="6"/>
  <c r="T47" i="6"/>
  <c r="T39" i="6"/>
  <c r="P28" i="3"/>
  <c r="D25" i="9"/>
  <c r="T29" i="6"/>
  <c r="T50" i="6" s="1"/>
  <c r="P18" i="3"/>
  <c r="D15" i="9"/>
  <c r="B14" i="3"/>
  <c r="R15" i="3" s="1"/>
  <c r="T15" i="3" s="1"/>
  <c r="C11" i="9"/>
  <c r="B23" i="3"/>
  <c r="C20" i="9"/>
  <c r="N8" i="8"/>
  <c r="N5" i="8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N23" i="8"/>
  <c r="K17" i="8"/>
  <c r="Q10" i="8"/>
  <c r="N9" i="8"/>
  <c r="O29" i="3"/>
  <c r="J17" i="8"/>
  <c r="R9" i="8"/>
  <c r="Q9" i="8"/>
  <c r="F24" i="7"/>
  <c r="H24" i="7" s="1"/>
  <c r="I17" i="4" s="1"/>
  <c r="Q7" i="8"/>
  <c r="R10" i="8"/>
  <c r="P8" i="8"/>
  <c r="R6" i="8"/>
  <c r="I21" i="7"/>
  <c r="K21" i="7" s="1"/>
  <c r="H14" i="4" s="1"/>
  <c r="R18" i="3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P26" i="8"/>
  <c r="P23" i="8"/>
  <c r="P21" i="8"/>
  <c r="R22" i="8"/>
  <c r="R26" i="8"/>
  <c r="B5" i="5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R24" i="8"/>
  <c r="B110" i="5"/>
  <c r="D6" i="5"/>
  <c r="Q11" i="8"/>
  <c r="P11" i="8"/>
  <c r="R27" i="8"/>
  <c r="O18" i="3"/>
  <c r="S36" i="6"/>
  <c r="Q12" i="8"/>
  <c r="R12" i="8"/>
  <c r="O11" i="8"/>
  <c r="L17" i="8"/>
  <c r="R21" i="8"/>
  <c r="P27" i="8"/>
  <c r="S34" i="6"/>
  <c r="O16" i="3"/>
  <c r="S41" i="6"/>
  <c r="O23" i="3"/>
  <c r="Q24" i="8"/>
  <c r="Q21" i="8"/>
  <c r="Q28" i="8"/>
  <c r="Q26" i="8"/>
  <c r="D5" i="5"/>
  <c r="Q23" i="8"/>
  <c r="Q22" i="8"/>
  <c r="R12" i="3"/>
  <c r="T12" i="3" s="1"/>
  <c r="F16" i="7"/>
  <c r="O24" i="3"/>
  <c r="S42" i="6"/>
  <c r="S40" i="6"/>
  <c r="O22" i="3"/>
  <c r="O24" i="8"/>
  <c r="D10" i="4"/>
  <c r="M17" i="7"/>
  <c r="E10" i="4" s="1"/>
  <c r="R25" i="3" l="1"/>
  <c r="M14" i="8"/>
  <c r="T28" i="3"/>
  <c r="R24" i="3"/>
  <c r="T24" i="3" s="1"/>
  <c r="R26" i="3"/>
  <c r="T26" i="3" s="1"/>
  <c r="J10" i="4"/>
  <c r="R13" i="3"/>
  <c r="T13" i="3" s="1"/>
  <c r="R22" i="3"/>
  <c r="T22" i="3" s="1"/>
  <c r="T25" i="3"/>
  <c r="T23" i="3"/>
  <c r="O14" i="8"/>
  <c r="H8" i="5" s="1"/>
  <c r="T18" i="3"/>
  <c r="T32" i="3" s="1"/>
  <c r="R29" i="3"/>
  <c r="T29" i="3" s="1"/>
  <c r="T14" i="3"/>
  <c r="O17" i="7"/>
  <c r="M16" i="8"/>
  <c r="F6" i="5" s="1"/>
  <c r="N14" i="8"/>
  <c r="G8" i="5" s="1"/>
  <c r="C14" i="4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9" i="5" s="1"/>
  <c r="B111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M10" i="8"/>
  <c r="N10" i="8"/>
  <c r="N15" i="8" s="1"/>
  <c r="G7" i="5" s="1"/>
  <c r="O30" i="8"/>
  <c r="H5" i="5" s="1"/>
  <c r="L15" i="7"/>
  <c r="N15" i="7" s="1"/>
  <c r="J15" i="7"/>
  <c r="K15" i="7"/>
  <c r="H8" i="4" s="1"/>
  <c r="M15" i="8" l="1"/>
  <c r="F7" i="5" s="1"/>
  <c r="M19" i="8"/>
  <c r="O15" i="8"/>
  <c r="H7" i="5" s="1"/>
  <c r="J24" i="7"/>
  <c r="M24" i="7" s="1"/>
  <c r="E17" i="4" s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12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 shape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<sst xmlns="http://schemas.openxmlformats.org/spreadsheetml/2006/main" count="763" uniqueCount="513">
  <si>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</si>
  <si>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</si>
  <si>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</si>
  <si>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</si>
  <si>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</si>
  <si>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</si>
  <si>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</si>
  <si>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</si>
  <si>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</si>
  <si>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</si>
  <si>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</si>
  <si>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</si>
  <si>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</si>
  <si>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</si>
  <si>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</si>
  <si>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</si>
  <si>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</si>
  <si>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</si>
  <si>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</si>
  <si>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</si>
  <si>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</si>
  <si>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</si>
  <si>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</si>
  <si>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</si>
  <si>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</si>
  <si>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</si>
  <si>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</si>
  <si>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</si>
  <si>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</si>
  <si>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</si>
  <si>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</si>
  <si>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</si>
  <si>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</si>
  <si>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</si>
  <si>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</si>
  <si>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</si>
  <si>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</si>
  <si>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</si>
  <si>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</si>
  <si>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</si>
  <si>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</si>
  <si>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</si>
  <si>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</si>
  <si>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</si>
  <si>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</si>
  <si>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</si>
  <si>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</si>
  <si>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</si>
  <si>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</si>
  <si>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</si>
  <si>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</si>
  <si>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</si>
  <si>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</si>
  <si>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</si>
  <si>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</si>
  <si>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</si>
  <si>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</si>
  <si>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</si>
  <si>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</si>
  <si>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</si>
  <si>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</si>
  <si>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</si>
  <si>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</si>
  <si>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</si>
  <si>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</si>
  <si>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</si>
  <si>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</si>
  <si>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</si>
  <si>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</si>
  <si>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</si>
  <si>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</si>
  <si>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</si>
  <si>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</si>
  <si>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</si>
  <si>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</si>
  <si>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</si>
  <si>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</si>
  <si>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</si>
  <si>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</si>
  <si>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</si>
  <si>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</si>
  <si>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</si>
  <si>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</si>
  <si>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</si>
  <si>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</si>
  <si>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</si>
  <si>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</si>
  <si>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</si>
  <si>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</si>
  <si>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</si>
  <si>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</si>
  <si>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</si>
  <si>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</si>
  <si>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</si>
  <si>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</si>
  <si>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</si>
  <si>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</si>
  <si>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</si>
  <si>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</si>
  <si>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</si>
  <si>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</si>
  <si>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</si>
  <si>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</si>
  <si>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</si>
  <si>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</si>
  <si>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</si>
  <si>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</si>
  <si>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</si>
  <si>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</si>
  <si>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</si>
  <si>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</si>
  <si>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</si>
  <si>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</si>
  <si>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</si>
  <si>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</si>
  <si>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</si>
  <si>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</si>
  <si>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</si>
  <si>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</si>
  <si>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</si>
  <si>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</si>
  <si>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</si>
  <si>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</si>
  <si>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</si>
  <si>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</si>
  <si>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</si>
  <si>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</si>
  <si>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</si>
  <si>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</si>
  <si>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</si>
  <si>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</si>
  <si>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</si>
  <si>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</si>
  <si>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</si>
  <si>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</si>
  <si>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</si>
  <si>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</si>
  <si>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</si>
  <si>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</si>
  <si>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</si>
  <si>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</si>
  <si>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</si>
  <si>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</si>
  <si>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</si>
  <si>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</si>
  <si>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</si>
  <si>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</si>
  <si>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</si>
  <si>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</si>
  <si>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</si>
  <si>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</si>
  <si>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</si>
  <si>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</si>
  <si>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</si>
  <si>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</si>
  <si>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</si>
  <si>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</si>
  <si>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</si>
  <si>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</si>
  <si>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</si>
  <si>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</si>
  <si>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</si>
  <si>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</si>
  <si>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</si>
  <si>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</si>
  <si>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</si>
  <si>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</si>
  <si>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</si>
  <si>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</si>
  <si>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</si>
  <si>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</si>
  <si>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</si>
  <si>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</si>
  <si>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</si>
  <si>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</si>
  <si>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</si>
  <si>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</si>
  <si>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</si>
  <si>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</si>
  <si>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</si>
  <si>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</si>
  <si>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</si>
  <si>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</si>
  <si>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</si>
  <si>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</si>
  <si>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</si>
  <si>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</si>
  <si>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</si>
  <si>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</si>
  <si>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</si>
  <si>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</si>
  <si>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</si>
  <si>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</si>
  <si>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</si>
  <si>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</si>
  <si>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</si>
  <si>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</si>
  <si>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</si>
  <si>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</si>
  <si>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</si>
  <si>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</si>
  <si>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</si>
  <si>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</si>
  <si>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</si>
  <si>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</si>
  <si>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</si>
  <si>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</si>
  <si>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</si>
  <si>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</si>
  <si>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</si>
  <si>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</si>
  <si>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</si>
  <si>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</si>
  <si>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</si>
  <si>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</si>
  <si>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</si>
  <si>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</si>
  <si>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</si>
  <si>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</si>
  <si>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</si>
  <si>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</si>
  <si>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</si>
  <si>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</si>
  <si>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</si>
  <si>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</si>
  <si>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</si>
  <si>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</si>
  <si>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</si>
  <si>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</si>
  <si>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</si>
  <si>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</si>
  <si>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</si>
  <si>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</si>
  <si>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</si>
  <si>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</si>
  <si>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</si>
  <si>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</si>
  <si>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</si>
  <si>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</si>
  <si>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</si>
  <si>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</si>
  <si>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</si>
  <si>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</si>
  <si>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</si>
  <si>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</si>
  <si>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</si>
  <si>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</si>
  <si>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</si>
  <si>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</si>
  <si>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</si>
  <si>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</si>
  <si>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</si>
  <si>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</si>
  <si>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</si>
  <si>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</si>
  <si>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</si>
  <si>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</si>
  <si>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</si>
  <si>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</si>
  <si>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</si>
  <si>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</si>
  <si>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</si>
  <si>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</si>
  <si>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</si>
  <si>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</si>
  <si>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</si>
  <si>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</si>
  <si>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</si>
  <si>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</si>
  <si>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</si>
  <si>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</si>
  <si>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</si>
  <si>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</si>
  <si>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</si>
  <si>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</si>
  <si>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</si>
  <si>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</si>
  <si>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</si>
  <si>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</si>
  <si>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</si>
  <si>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</si>
  <si>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</si>
  <si>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</si>
  <si>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</si>
  <si>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</si>
  <si>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</si>
  <si>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</si>
  <si>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</si>
  <si>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</si>
  <si>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</si>
  <si>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</si>
  <si>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</si>
  <si>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</si>
  <si>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</si>
  <si>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</si>
  <si>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</si>
  <si>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</si>
  <si>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</si>
  <si>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</si>
  <si>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</si>
  <si>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</si>
  <si>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</si>
  <si>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</si>
  <si>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</si>
  <si>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</si>
  <si>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</si>
  <si>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</si>
  <si>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</si>
  <si>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</si>
  <si>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</si>
  <si>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</si>
  <si>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</si>
  <si>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</si>
  <si>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</si>
  <si>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</si>
  <si>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</si>
  <si>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</si>
  <si>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</si>
  <si>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</si>
  <si>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</si>
  <si>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</si>
  <si>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</si>
  <si>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</si>
  <si>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</si>
  <si>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</si>
  <si>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</si>
  <si>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</si>
  <si>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</si>
  <si>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</si>
  <si>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</si>
  <si>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</si>
  <si>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</si>
  <si>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</si>
  <si>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</si>
  <si>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</si>
  <si>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</si>
  <si>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</si>
  <si>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</si>
  <si>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</si>
  <si>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</si>
  <si>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</si>
  <si>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</si>
  <si>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</si>
  <si>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</si>
  <si>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</si>
  <si>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</si>
  <si>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</si>
  <si>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</si>
  <si>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</si>
  <si>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</si>
  <si>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</si>
  <si>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</si>
  <si>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</si>
  <si>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</si>
  <si>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</si>
  <si>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</si>
  <si>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</si>
  <si>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</si>
  <si>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</si>
  <si>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</si>
  <si>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</si>
  <si>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</si>
  <si>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</si>
  <si>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</si>
  <si>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</si>
  <si>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</si>
  <si>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</si>
  <si>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</si>
  <si>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</si>
  <si>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</si>
  <si>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</si>
  <si>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</si>
  <si>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</si>
  <si>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</si>
  <si>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</si>
  <si>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</si>
  <si>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</si>
  <si>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</si>
  <si>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</si>
  <si>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</si>
  <si>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</si>
  <si>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</si>
  <si>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</si>
  <si>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</si>
  <si>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</si>
  <si>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</si>
  <si>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</si>
  <si>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</si>
  <si>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</si>
  <si>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</si>
  <si>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</si>
  <si>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</si>
  <si>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</si>
  <si>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</si>
  <si>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</si>
  <si>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</si>
  <si>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</si>
  <si>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</si>
  <si>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</si>
  <si>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</si>
  <si>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</si>
  <si>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</si>
  <si>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</si>
  <si>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blade modal damping ratios</t>
  </si>
  <si>
    <t>mass</t>
  </si>
  <si>
    <t>I</t>
  </si>
  <si>
    <t>&lt;-- added this (JR)</t>
  </si>
  <si>
    <t>Rated (high speed shaft) torque (N-m)</t>
  </si>
  <si>
    <t>Torque control data:</t>
  </si>
  <si>
    <t>&lt;-- changed this (JR)</t>
  </si>
  <si>
    <t>s818_2703.dat</t>
  </si>
  <si>
    <t>s825_2103.dat</t>
  </si>
  <si>
    <t>s826_1603.dat</t>
  </si>
  <si>
    <t>&lt;-- changed to "sXXX_XX03.dat" (JR)</t>
  </si>
  <si>
    <t>tower modal damping ratios</t>
  </si>
  <si>
    <t>Cylinder changed to produce correct AeroCent</t>
  </si>
  <si>
    <t>&lt;-- fixed this (JR)</t>
  </si>
  <si>
    <t>Rotor inertia (kg-m^2)</t>
  </si>
  <si>
    <t>Drivetrain damping (% critical)</t>
  </si>
  <si>
    <t>Nacelle Mass</t>
  </si>
  <si>
    <t>Hub Mass</t>
  </si>
  <si>
    <t>Generator inertia</t>
  </si>
  <si>
    <t>Units</t>
  </si>
  <si>
    <t>Key</t>
  </si>
  <si>
    <t>Values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</si>
  <si>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</si>
  <si>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</si>
  <si>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</si>
  <si>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</si>
  <si>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</si>
  <si>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</si>
  <si>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</si>
  <si>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</si>
  <si>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</si>
  <si>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</si>
  <si>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</si>
  <si>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</si>
  <si>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</si>
  <si>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</si>
  <si>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</si>
  <si>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</si>
  <si>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</si>
  <si>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</si>
  <si>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</si>
  <si>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</si>
  <si>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</si>
  <si>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</si>
  <si>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</si>
  <si>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</si>
  <si>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</si>
  <si>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</si>
  <si>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</si>
  <si>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</si>
  <si>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</si>
  <si>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</si>
  <si>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</si>
  <si>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GenAxisLoc</t>
  </si>
  <si>
    <t>UnitWeight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</si>
  <si>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</si>
  <si>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</si>
  <si>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</si>
  <si>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</si>
  <si>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</si>
  <si>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</si>
  <si>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</si>
  <si>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</si>
  <si>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</si>
  <si>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</si>
  <si>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</si>
  <si>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</si>
  <si>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</si>
  <si>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</si>
  <si>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</si>
  <si>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</si>
  <si>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</si>
  <si>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</si>
  <si>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</si>
  <si>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</si>
  <si>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</si>
  <si>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</si>
  <si>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</si>
  <si>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</si>
  <si>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</si>
  <si>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</si>
  <si>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</si>
  <si>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</si>
  <si>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</si>
  <si>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</si>
  <si>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</si>
  <si>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 xml:space="preserve">      AirfoilID</t>
  </si>
  <si>
    <t>VS_RtGnSp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</si>
  <si>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</si>
  <si>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</si>
  <si>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</si>
  <si>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</si>
  <si>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</si>
  <si>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</si>
  <si>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</si>
  <si>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</si>
  <si>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</si>
  <si>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</si>
  <si>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</si>
  <si>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</si>
  <si>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</si>
  <si>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</si>
  <si>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</si>
  <si>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</si>
  <si>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</si>
  <si>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</si>
  <si>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</si>
  <si>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</si>
  <si>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</si>
  <si>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N-m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</si>
</sst>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E+00"/>
    <numFmt numFmtId="170" formatCode="0.0000000000"/>
    <numFmt numFmtId="171" formatCode="0.000000"/>
    <numFmt numFmtId="172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2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1" xfId="0" applyFill="1" applyBorder="1" applyAlignment="1"/>
    <xf numFmtId="0" fontId="21" fillId="5" borderId="39" xfId="0" applyFont="1" applyFill="1" applyBorder="1" applyAlignment="1">
      <alignment horizontal="center"/>
    </xf>
    <xf numFmtId="172" fontId="0" fillId="0" borderId="0" xfId="0" applyNumberFormat="1"/>
    <xf numFmtId="0" fontId="3" fillId="5" borderId="39" xfId="0" applyFont="1" applyFill="1" applyBorder="1"/>
    <xf numFmtId="0" fontId="0" fillId="5" borderId="40" xfId="0" applyFill="1" applyBorder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62096"/>
        <c:axId val="319061312"/>
      </c:scatterChart>
      <c:valAx>
        <c:axId val="31906209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061312"/>
        <c:crossesAt val="-10"/>
        <c:crossBetween val="midCat"/>
      </c:valAx>
      <c:valAx>
        <c:axId val="31906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0620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95250</xdr:rowOff>
    </xdr:from>
    <xdr:to>
      <xdr:col>15</xdr:col>
      <xdr:colOff>514350</xdr:colOff>
      <xdr:row>75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22" zoomScale="115" zoomScaleNormal="115" workbookViewId="0">
      <selection activeCell="B136" sqref="B136"/>
    </sheetView>
  </sheetViews>
  <sheetFormatPr defaultRowHeight="10"/>
  <cols>
    <col min="1" max="1" width="34.77734375" customWidth="1"/>
    <col min="2" max="2" width="10.6640625" bestFit="1" customWidth="1"/>
    <col min="4" max="4" width="10.77734375" customWidth="1"/>
    <col min="5" max="5" width="14.109375" customWidth="1"/>
    <col min="6" max="6" width="11.33203125" customWidth="1"/>
    <col min="7" max="8" width="12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12.44140625" customWidth="1"/>
  </cols>
  <sheetData>
    <row r="1" spans="1:8" ht="41.25" customHeight="1" thickBot="1">
      <c r="A1" s="99" t="s">
        <v>40</v>
      </c>
      <c r="B1" s="334" t="s">
        <v>398</v>
      </c>
      <c r="C1" s="414" t="s">
        <v>396</v>
      </c>
      <c r="D1" s="415"/>
      <c r="E1" s="415"/>
      <c r="F1" s="415"/>
      <c r="G1" s="415"/>
      <c r="H1" s="416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08" t="s">
        <v>119</v>
      </c>
      <c r="C3" s="409"/>
      <c r="D3" s="410"/>
      <c r="E3" s="35"/>
      <c r="F3" s="411" t="s">
        <v>18</v>
      </c>
      <c r="G3" s="412"/>
      <c r="H3" s="413"/>
    </row>
    <row r="4" spans="1:8" ht="11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0.5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0.5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48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0">
      <c r="A14" s="61" t="s">
        <v>43</v>
      </c>
      <c r="B14" s="351">
        <f>PI()*(B67^4-B68^4)/32/(GECdrivetrain!C7)*GECtwrdata!F7</f>
        <v>483129639.71309441</v>
      </c>
      <c r="D14" s="353" t="s">
        <v>416</v>
      </c>
      <c r="E14" s="354"/>
      <c r="G14" s="348"/>
    </row>
    <row r="15" spans="1:8">
      <c r="A15" s="61" t="s">
        <v>418</v>
      </c>
      <c r="B15" s="383">
        <v>5</v>
      </c>
      <c r="D15" s="353" t="s">
        <v>406</v>
      </c>
      <c r="E15" s="354"/>
      <c r="F15" s="332"/>
      <c r="G15" s="348"/>
    </row>
    <row r="16" spans="1:8">
      <c r="A16" s="61" t="s">
        <v>417</v>
      </c>
      <c r="B16" s="383">
        <v>2953248.5</v>
      </c>
      <c r="D16" s="353" t="s">
        <v>406</v>
      </c>
      <c r="E16" s="354"/>
      <c r="H16" s="103"/>
    </row>
    <row r="17" spans="1:21" ht="23.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17" t="s">
        <v>373</v>
      </c>
      <c r="E19" s="416"/>
      <c r="F19" s="416"/>
      <c r="G19" s="352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17" t="s">
        <v>372</v>
      </c>
      <c r="E20" s="416"/>
      <c r="F20" s="416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57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5" customHeight="1">
      <c r="A24" s="100" t="s">
        <v>74</v>
      </c>
      <c r="B24" s="269">
        <f>B89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0.5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B92</f>
        <v>1500</v>
      </c>
      <c r="G26" s="89"/>
      <c r="H26" s="12"/>
    </row>
    <row r="28" spans="1:21" ht="12.65" customHeight="1">
      <c r="A28" s="381" t="s">
        <v>78</v>
      </c>
      <c r="B28" s="29"/>
    </row>
    <row r="29" spans="1:21" ht="21" customHeight="1">
      <c r="A29" s="100" t="s">
        <v>79</v>
      </c>
      <c r="B29" s="91">
        <f>B89</f>
        <v>20.462778397529398</v>
      </c>
    </row>
    <row r="30" spans="1:21" ht="9.75" customHeight="1">
      <c r="A30" s="100" t="s">
        <v>375</v>
      </c>
      <c r="B30" s="268">
        <f>B92*1000/(B29*PI()/30)/(B19-C19-B20-C20)</f>
        <v>756756.7567567568</v>
      </c>
    </row>
    <row r="31" spans="1:21" ht="9.75" customHeight="1">
      <c r="A31" s="355" t="s">
        <v>407</v>
      </c>
      <c r="B31" s="268">
        <f>B92*1000/(B87*PI()/30)/(B19)</f>
        <v>8376.5759522050193</v>
      </c>
      <c r="D31" s="353" t="s">
        <v>409</v>
      </c>
      <c r="E31" s="354"/>
    </row>
    <row r="32" spans="1:21">
      <c r="B32" s="53"/>
    </row>
    <row r="33" spans="1:5" ht="10.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98" t="s">
        <v>449</v>
      </c>
      <c r="B37" s="274">
        <v>2.6</v>
      </c>
      <c r="D37" s="353" t="s">
        <v>450</v>
      </c>
      <c r="E37" s="354"/>
    </row>
    <row r="38" spans="1:5" ht="12" customHeight="1">
      <c r="A38" s="398" t="s">
        <v>451</v>
      </c>
      <c r="B38" s="274">
        <v>30</v>
      </c>
      <c r="D38" s="353" t="s">
        <v>450</v>
      </c>
      <c r="E38" s="354"/>
    </row>
    <row r="39" spans="1:5" ht="12" customHeight="1">
      <c r="A39" s="398" t="s">
        <v>452</v>
      </c>
      <c r="B39" s="274">
        <v>-0.5</v>
      </c>
      <c r="D39" s="353" t="s">
        <v>450</v>
      </c>
      <c r="E39" s="354"/>
    </row>
    <row r="40" spans="1:5" ht="12" customHeight="1">
      <c r="A40" s="398" t="s">
        <v>453</v>
      </c>
      <c r="B40" s="274">
        <v>2.5000000000000001E-2</v>
      </c>
      <c r="D40" s="353" t="s">
        <v>450</v>
      </c>
      <c r="E40" s="354"/>
    </row>
    <row r="41" spans="1:5" ht="12" customHeight="1">
      <c r="A41" s="358"/>
      <c r="B41" s="361"/>
    </row>
    <row r="42" spans="1:5" ht="12" customHeight="1">
      <c r="A42" s="109" t="s">
        <v>408</v>
      </c>
      <c r="B42" s="29"/>
      <c r="D42" s="353" t="s">
        <v>406</v>
      </c>
      <c r="E42" s="354"/>
    </row>
    <row r="43" spans="1:5" ht="12" customHeight="1">
      <c r="A43" s="398" t="s">
        <v>454</v>
      </c>
      <c r="B43" s="274">
        <f>B31/B87^2</f>
        <v>2.5853629482114255E-3</v>
      </c>
      <c r="D43" s="353" t="s">
        <v>455</v>
      </c>
      <c r="E43" s="354"/>
    </row>
    <row r="44" spans="1:5" ht="12.75" customHeight="1">
      <c r="A44" s="100"/>
      <c r="B44" s="359"/>
      <c r="D44" s="360"/>
      <c r="E44" s="5"/>
    </row>
    <row r="45" spans="1:5" ht="10.5">
      <c r="A45" s="109" t="s">
        <v>122</v>
      </c>
      <c r="B45" s="54"/>
    </row>
    <row r="46" spans="1:5" ht="17.25" customHeight="1">
      <c r="A46" s="100" t="s">
        <v>206</v>
      </c>
      <c r="B46" s="275">
        <v>1.61</v>
      </c>
    </row>
    <row r="47" spans="1:5">
      <c r="A47" s="100" t="s">
        <v>123</v>
      </c>
      <c r="B47" s="276">
        <v>2.5649999999999999</v>
      </c>
    </row>
    <row r="48" spans="1:5" ht="15" customHeight="1">
      <c r="A48" s="100" t="s">
        <v>124</v>
      </c>
      <c r="B48" s="276">
        <v>10.26</v>
      </c>
    </row>
    <row r="49" spans="1:4" ht="11.25" customHeight="1">
      <c r="A49" s="100" t="s">
        <v>125</v>
      </c>
      <c r="B49" s="276">
        <v>5.6627999999999998</v>
      </c>
    </row>
    <row r="50" spans="1:4" ht="13.5" customHeight="1">
      <c r="A50" s="100" t="s">
        <v>126</v>
      </c>
      <c r="B50" s="276">
        <v>17.39</v>
      </c>
    </row>
    <row r="51" spans="1:4" ht="13.5" customHeight="1">
      <c r="A51" s="100" t="s">
        <v>384</v>
      </c>
      <c r="B51" s="329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4.4262262216404888</v>
      </c>
    </row>
    <row r="55" spans="1:4" ht="10.5">
      <c r="A55" s="2" t="s">
        <v>12</v>
      </c>
      <c r="C55" s="5"/>
    </row>
    <row r="56" spans="1:4">
      <c r="A56" s="110" t="s">
        <v>127</v>
      </c>
      <c r="B56" s="277">
        <v>3.5</v>
      </c>
      <c r="C56" t="s">
        <v>85</v>
      </c>
      <c r="D56" t="s">
        <v>128</v>
      </c>
    </row>
    <row r="57" spans="1:4">
      <c r="A57" s="110" t="s">
        <v>129</v>
      </c>
      <c r="B57" s="277">
        <v>1.8859999999999999</v>
      </c>
      <c r="C57" t="s">
        <v>85</v>
      </c>
      <c r="D57" s="271" t="s">
        <v>380</v>
      </c>
    </row>
    <row r="58" spans="1:4" ht="10.9" customHeight="1">
      <c r="A58" s="110" t="s">
        <v>130</v>
      </c>
      <c r="B58" s="277">
        <v>1.6586999999999998</v>
      </c>
      <c r="C58" t="s">
        <v>85</v>
      </c>
      <c r="D58" t="s">
        <v>399</v>
      </c>
    </row>
    <row r="59" spans="1:4">
      <c r="A59" s="110" t="s">
        <v>131</v>
      </c>
      <c r="B59" s="277">
        <v>0.05</v>
      </c>
      <c r="C59" t="s">
        <v>85</v>
      </c>
      <c r="D59" s="271" t="s">
        <v>376</v>
      </c>
    </row>
    <row r="60" spans="1:4">
      <c r="A60" s="18" t="s">
        <v>132</v>
      </c>
      <c r="B60" s="278">
        <v>7850</v>
      </c>
      <c r="C60" t="s">
        <v>102</v>
      </c>
    </row>
    <row r="61" spans="1:4">
      <c r="A61" s="18" t="s">
        <v>133</v>
      </c>
      <c r="B61" s="277">
        <v>-3.3</v>
      </c>
      <c r="C61" t="s">
        <v>85</v>
      </c>
      <c r="D61" t="s">
        <v>134</v>
      </c>
    </row>
    <row r="62" spans="1:4">
      <c r="A62" s="18" t="s">
        <v>135</v>
      </c>
      <c r="B62" s="277">
        <v>0</v>
      </c>
      <c r="C62" t="s">
        <v>85</v>
      </c>
    </row>
    <row r="63" spans="1:4">
      <c r="A63" s="18" t="s">
        <v>136</v>
      </c>
      <c r="B63" s="277">
        <v>0</v>
      </c>
      <c r="C63" t="s">
        <v>85</v>
      </c>
    </row>
    <row r="64" spans="1:4">
      <c r="A64" s="18"/>
      <c r="B64" s="124"/>
    </row>
    <row r="65" spans="1:10" ht="10.5">
      <c r="A65" s="111" t="s">
        <v>137</v>
      </c>
      <c r="B65" s="125"/>
    </row>
    <row r="66" spans="1:10">
      <c r="A66" s="18" t="s">
        <v>138</v>
      </c>
      <c r="B66" s="277">
        <v>1.98</v>
      </c>
      <c r="C66" t="s">
        <v>85</v>
      </c>
      <c r="D66" t="s">
        <v>379</v>
      </c>
    </row>
    <row r="67" spans="1:10">
      <c r="A67" s="18" t="s">
        <v>139</v>
      </c>
      <c r="B67" s="277">
        <v>0.60419999999999996</v>
      </c>
      <c r="C67" t="s">
        <v>85</v>
      </c>
    </row>
    <row r="68" spans="1:10">
      <c r="A68" s="18" t="s">
        <v>140</v>
      </c>
      <c r="B68" s="277">
        <v>0.28499999999999998</v>
      </c>
      <c r="C68" t="s">
        <v>85</v>
      </c>
      <c r="D68" t="s">
        <v>141</v>
      </c>
    </row>
    <row r="69" spans="1:10">
      <c r="A69" s="18" t="s">
        <v>132</v>
      </c>
      <c r="B69" s="278">
        <v>7850</v>
      </c>
      <c r="C69" t="s">
        <v>102</v>
      </c>
    </row>
    <row r="70" spans="1:10">
      <c r="A70" s="18" t="s">
        <v>135</v>
      </c>
      <c r="B70" s="277">
        <v>0</v>
      </c>
      <c r="C70" t="s">
        <v>85</v>
      </c>
      <c r="D70" t="s">
        <v>142</v>
      </c>
    </row>
    <row r="71" spans="1:10">
      <c r="A71" s="18" t="s">
        <v>136</v>
      </c>
      <c r="B71" s="277">
        <v>0</v>
      </c>
      <c r="C71" t="s">
        <v>85</v>
      </c>
    </row>
    <row r="72" spans="1:10">
      <c r="A72" s="18"/>
      <c r="B72" s="124"/>
      <c r="H72" s="103">
        <f>B66</f>
        <v>1.98</v>
      </c>
      <c r="I72" t="s">
        <v>404</v>
      </c>
      <c r="J72" t="s">
        <v>405</v>
      </c>
    </row>
    <row r="73" spans="1:10" ht="10.5">
      <c r="A73" s="111" t="s">
        <v>143</v>
      </c>
      <c r="B73" s="125"/>
      <c r="H73">
        <f>B67/2</f>
        <v>0.30209999999999998</v>
      </c>
      <c r="I73">
        <f>B69*H72*PI()*(H73^2-H74^2)</f>
        <v>3464.8709598770952</v>
      </c>
      <c r="J73">
        <f>0.5*I73*(H73^2+H74^2)</f>
        <v>193.2889699041605</v>
      </c>
    </row>
    <row r="74" spans="1:10">
      <c r="A74" s="18" t="s">
        <v>144</v>
      </c>
      <c r="B74" s="277">
        <v>-2.31</v>
      </c>
      <c r="C74" t="s">
        <v>85</v>
      </c>
      <c r="D74" t="s">
        <v>145</v>
      </c>
      <c r="H74">
        <f>B68/2</f>
        <v>0.14249999999999999</v>
      </c>
    </row>
    <row r="75" spans="1:10">
      <c r="A75" s="18" t="s">
        <v>146</v>
      </c>
      <c r="B75" s="277">
        <v>0</v>
      </c>
      <c r="C75" t="s">
        <v>85</v>
      </c>
    </row>
    <row r="76" spans="1:10">
      <c r="A76" s="18" t="s">
        <v>147</v>
      </c>
      <c r="B76" s="277">
        <v>0</v>
      </c>
      <c r="C76" t="s">
        <v>85</v>
      </c>
    </row>
    <row r="77" spans="1:10">
      <c r="A77" s="18" t="s">
        <v>148</v>
      </c>
      <c r="B77" s="277">
        <v>-0.66</v>
      </c>
      <c r="C77" t="s">
        <v>85</v>
      </c>
      <c r="D77" t="s">
        <v>149</v>
      </c>
    </row>
    <row r="78" spans="1:10">
      <c r="A78" s="18" t="s">
        <v>150</v>
      </c>
      <c r="B78" s="277">
        <v>0</v>
      </c>
      <c r="C78" t="s">
        <v>85</v>
      </c>
    </row>
    <row r="79" spans="1:10">
      <c r="A79" s="18" t="s">
        <v>151</v>
      </c>
      <c r="B79" s="277">
        <v>0</v>
      </c>
      <c r="C79" t="s">
        <v>85</v>
      </c>
    </row>
    <row r="80" spans="1:10">
      <c r="A80" s="18"/>
      <c r="B80" s="125"/>
    </row>
    <row r="81" spans="1:4" ht="10.5">
      <c r="A81" s="111" t="s">
        <v>152</v>
      </c>
      <c r="B81" s="125"/>
    </row>
    <row r="82" spans="1:4">
      <c r="A82" s="18" t="s">
        <v>153</v>
      </c>
      <c r="B82" s="279">
        <v>10602.62</v>
      </c>
      <c r="C82" t="s">
        <v>117</v>
      </c>
      <c r="D82" t="s">
        <v>154</v>
      </c>
    </row>
    <row r="83" spans="1:4">
      <c r="A83" s="18" t="s">
        <v>133</v>
      </c>
      <c r="B83" s="277">
        <v>0</v>
      </c>
      <c r="C83" t="s">
        <v>85</v>
      </c>
      <c r="D83" t="s">
        <v>155</v>
      </c>
    </row>
    <row r="84" spans="1:4">
      <c r="A84" s="18" t="s">
        <v>135</v>
      </c>
      <c r="B84" s="277">
        <v>0</v>
      </c>
      <c r="C84" t="s">
        <v>85</v>
      </c>
    </row>
    <row r="85" spans="1:4">
      <c r="A85" s="18" t="s">
        <v>136</v>
      </c>
      <c r="B85" s="277">
        <v>0</v>
      </c>
      <c r="C85" t="s">
        <v>85</v>
      </c>
    </row>
    <row r="86" spans="1:4">
      <c r="A86" s="18" t="s">
        <v>392</v>
      </c>
      <c r="B86" s="277">
        <v>75</v>
      </c>
      <c r="C86" t="s">
        <v>393</v>
      </c>
    </row>
    <row r="87" spans="1:4">
      <c r="A87" s="18" t="s">
        <v>394</v>
      </c>
      <c r="B87" s="277">
        <v>1800</v>
      </c>
      <c r="C87" t="s">
        <v>395</v>
      </c>
    </row>
    <row r="88" spans="1:4">
      <c r="A88" s="18" t="s">
        <v>156</v>
      </c>
      <c r="B88" s="333">
        <f>1800/B89</f>
        <v>87.964594300514221</v>
      </c>
    </row>
    <row r="89" spans="1:4">
      <c r="A89" s="18" t="s">
        <v>157</v>
      </c>
      <c r="B89" s="333">
        <f>B86/B13*2*30/PI()</f>
        <v>20.462778397529398</v>
      </c>
    </row>
    <row r="90" spans="1:4">
      <c r="A90" s="18"/>
      <c r="B90" s="123"/>
    </row>
    <row r="91" spans="1:4" ht="10.5">
      <c r="A91" s="111" t="s">
        <v>158</v>
      </c>
      <c r="B91" s="125"/>
    </row>
    <row r="92" spans="1:4">
      <c r="A92" s="18" t="s">
        <v>159</v>
      </c>
      <c r="B92" s="280">
        <v>1500</v>
      </c>
      <c r="C92" t="s">
        <v>160</v>
      </c>
    </row>
    <row r="93" spans="1:4">
      <c r="A93" s="18" t="s">
        <v>133</v>
      </c>
      <c r="B93" s="277">
        <v>0.82499999999999996</v>
      </c>
      <c r="C93" t="s">
        <v>85</v>
      </c>
      <c r="D93" t="s">
        <v>161</v>
      </c>
    </row>
    <row r="94" spans="1:4">
      <c r="A94" s="18" t="s">
        <v>135</v>
      </c>
      <c r="B94" s="281">
        <v>0</v>
      </c>
      <c r="C94" t="s">
        <v>85</v>
      </c>
    </row>
    <row r="95" spans="1:4">
      <c r="A95" s="18" t="s">
        <v>136</v>
      </c>
      <c r="B95" s="281">
        <v>0</v>
      </c>
      <c r="C95" t="s">
        <v>85</v>
      </c>
    </row>
    <row r="96" spans="1:4">
      <c r="A96" s="18"/>
      <c r="B96" s="126"/>
    </row>
    <row r="97" spans="1:4" ht="10.5">
      <c r="A97" s="111" t="s">
        <v>162</v>
      </c>
      <c r="B97" s="126"/>
    </row>
    <row r="98" spans="1:4">
      <c r="A98" s="18" t="s">
        <v>138</v>
      </c>
      <c r="B98" s="281">
        <v>2.31</v>
      </c>
      <c r="C98" t="s">
        <v>85</v>
      </c>
      <c r="D98" t="s">
        <v>163</v>
      </c>
    </row>
    <row r="99" spans="1:4">
      <c r="A99" s="18" t="s">
        <v>164</v>
      </c>
      <c r="B99" s="277">
        <v>2.4750000000000001</v>
      </c>
      <c r="C99" t="s">
        <v>85</v>
      </c>
      <c r="D99" t="s">
        <v>165</v>
      </c>
    </row>
    <row r="100" spans="1:4">
      <c r="A100" s="18" t="s">
        <v>166</v>
      </c>
      <c r="B100" s="277">
        <v>1.1880000000000002</v>
      </c>
      <c r="C100" t="s">
        <v>85</v>
      </c>
    </row>
    <row r="101" spans="1:4">
      <c r="A101" s="18" t="s">
        <v>167</v>
      </c>
      <c r="B101" s="277">
        <v>0.191</v>
      </c>
      <c r="C101" t="s">
        <v>85</v>
      </c>
    </row>
    <row r="102" spans="1:4">
      <c r="A102" s="18" t="s">
        <v>168</v>
      </c>
      <c r="B102" s="277">
        <v>0.17399999999999999</v>
      </c>
      <c r="C102" t="s">
        <v>85</v>
      </c>
    </row>
    <row r="103" spans="1:4">
      <c r="A103" s="18" t="s">
        <v>132</v>
      </c>
      <c r="B103" s="278">
        <v>7850</v>
      </c>
      <c r="C103" t="s">
        <v>85</v>
      </c>
    </row>
    <row r="104" spans="1:4">
      <c r="A104" s="18" t="s">
        <v>133</v>
      </c>
      <c r="B104" s="281">
        <v>0</v>
      </c>
      <c r="C104" t="s">
        <v>85</v>
      </c>
    </row>
    <row r="105" spans="1:4">
      <c r="A105" s="18" t="s">
        <v>135</v>
      </c>
      <c r="B105" s="281">
        <v>0</v>
      </c>
      <c r="C105" t="s">
        <v>85</v>
      </c>
    </row>
    <row r="106" spans="1:4">
      <c r="A106" s="18" t="s">
        <v>136</v>
      </c>
      <c r="B106" s="281">
        <v>-0.80500000000000005</v>
      </c>
      <c r="C106" t="s">
        <v>85</v>
      </c>
      <c r="D106" t="s">
        <v>169</v>
      </c>
    </row>
    <row r="108" spans="1:4" ht="10.5">
      <c r="A108" s="111" t="s">
        <v>387</v>
      </c>
    </row>
    <row r="109" spans="1:4">
      <c r="A109" s="330" t="s">
        <v>388</v>
      </c>
      <c r="B109" s="331">
        <f>'Blade Data'!R32*B10+E8</f>
        <v>32166.678162056698</v>
      </c>
      <c r="C109" t="s">
        <v>117</v>
      </c>
    </row>
    <row r="110" spans="1:4">
      <c r="A110" s="330" t="s">
        <v>389</v>
      </c>
      <c r="B110" s="331">
        <f>E5+E6+E7</f>
        <v>52838.90825962169</v>
      </c>
      <c r="C110" t="s">
        <v>117</v>
      </c>
    </row>
    <row r="111" spans="1:4">
      <c r="A111" s="330" t="s">
        <v>390</v>
      </c>
      <c r="B111" s="331">
        <f>B109+B110</f>
        <v>85005.586421678396</v>
      </c>
      <c r="C111" t="s">
        <v>117</v>
      </c>
    </row>
    <row r="112" spans="1:4">
      <c r="A112" s="18" t="s">
        <v>397</v>
      </c>
      <c r="B112" s="331">
        <f>GECtwrdata!O26</f>
        <v>125363.31583700494</v>
      </c>
      <c r="C112" t="s">
        <v>117</v>
      </c>
    </row>
    <row r="113" spans="1:13">
      <c r="A113" t="s">
        <v>347</v>
      </c>
      <c r="H113" t="s">
        <v>319</v>
      </c>
      <c r="I113" s="182"/>
      <c r="J113" s="182"/>
    </row>
    <row r="114" spans="1:13" ht="15">
      <c r="A114" s="183"/>
      <c r="B114" s="184"/>
      <c r="C114" s="185" t="s">
        <v>320</v>
      </c>
      <c r="D114" s="186"/>
      <c r="E114" s="184"/>
      <c r="F114" s="187" t="s">
        <v>321</v>
      </c>
      <c r="G114" s="188"/>
      <c r="H114" s="183"/>
      <c r="I114" s="189" t="s">
        <v>332</v>
      </c>
      <c r="J114" s="189" t="s">
        <v>333</v>
      </c>
      <c r="K114" s="190" t="s">
        <v>334</v>
      </c>
    </row>
    <row r="115" spans="1:13" ht="13.5">
      <c r="A115" s="191" t="s">
        <v>87</v>
      </c>
      <c r="B115" s="175" t="s">
        <v>335</v>
      </c>
      <c r="C115" s="175" t="s">
        <v>336</v>
      </c>
      <c r="D115" s="176" t="s">
        <v>337</v>
      </c>
      <c r="E115" s="176" t="s">
        <v>338</v>
      </c>
      <c r="F115" s="175" t="s">
        <v>339</v>
      </c>
      <c r="G115" s="192" t="s">
        <v>340</v>
      </c>
      <c r="H115" s="191" t="s">
        <v>87</v>
      </c>
      <c r="I115" s="175" t="s">
        <v>341</v>
      </c>
      <c r="J115" s="175" t="s">
        <v>341</v>
      </c>
      <c r="K115" s="193" t="s">
        <v>341</v>
      </c>
    </row>
    <row r="116" spans="1:13" ht="11.5">
      <c r="A116" s="282">
        <v>7.0000000000000007E-2</v>
      </c>
      <c r="B116" s="283">
        <v>952.73170702154005</v>
      </c>
      <c r="C116" s="284">
        <v>4314766.098439455</v>
      </c>
      <c r="D116" s="285">
        <v>3620</v>
      </c>
      <c r="E116" s="286">
        <v>3620</v>
      </c>
      <c r="F116" s="284">
        <v>4314766.098439455</v>
      </c>
      <c r="G116" s="287">
        <v>3620</v>
      </c>
      <c r="H116" s="288">
        <v>7.0000000000000007E-2</v>
      </c>
      <c r="I116" s="289">
        <v>8.3897942957076286E-4</v>
      </c>
      <c r="J116" s="289">
        <v>8.3897942957076286E-4</v>
      </c>
      <c r="K116" s="290">
        <v>8.3897942957076286E-4</v>
      </c>
    </row>
    <row r="117" spans="1:13" ht="11.5">
      <c r="A117" s="291">
        <v>0.25</v>
      </c>
      <c r="B117" s="283">
        <v>404.82301427952984</v>
      </c>
      <c r="C117" s="284">
        <v>2429500</v>
      </c>
      <c r="D117" s="285">
        <v>3620</v>
      </c>
      <c r="E117" s="286">
        <v>3891.6881914728747</v>
      </c>
      <c r="F117" s="284">
        <v>381175.3719549317</v>
      </c>
      <c r="G117" s="287">
        <v>960.13709169347362</v>
      </c>
      <c r="H117" s="292">
        <v>0.25</v>
      </c>
      <c r="I117" s="284">
        <v>1.4900185223296974E-3</v>
      </c>
      <c r="J117" s="284">
        <v>1.6018473724934655E-3</v>
      </c>
      <c r="K117" s="293">
        <v>2.5188854326270468E-3</v>
      </c>
    </row>
    <row r="118" spans="1:13" ht="11.5">
      <c r="A118" s="291">
        <v>0.5</v>
      </c>
      <c r="B118" s="283">
        <v>250.47067332126738</v>
      </c>
      <c r="C118" s="284">
        <v>1087060</v>
      </c>
      <c r="D118" s="285">
        <v>3620</v>
      </c>
      <c r="E118" s="286">
        <v>3826.5675588601162</v>
      </c>
      <c r="F118" s="284">
        <v>176817.62236228006</v>
      </c>
      <c r="G118" s="287">
        <v>960.13709169347362</v>
      </c>
      <c r="H118" s="292">
        <v>0.5</v>
      </c>
      <c r="I118" s="284">
        <v>3.3300829761006754E-3</v>
      </c>
      <c r="J118" s="284">
        <v>3.5201070399611028E-3</v>
      </c>
      <c r="K118" s="293">
        <v>5.4300984192981469E-3</v>
      </c>
    </row>
    <row r="119" spans="1:13" ht="11.5">
      <c r="A119" s="294">
        <v>0.75</v>
      </c>
      <c r="B119" s="295">
        <v>152.6490092237247</v>
      </c>
      <c r="C119" s="296">
        <v>273460</v>
      </c>
      <c r="D119" s="297">
        <v>3620</v>
      </c>
      <c r="E119" s="298">
        <v>3819.072160210982</v>
      </c>
      <c r="F119" s="296">
        <v>66873.396648013819</v>
      </c>
      <c r="G119" s="299">
        <v>960.13709169347362</v>
      </c>
      <c r="H119" s="300">
        <v>0.75</v>
      </c>
      <c r="I119" s="296">
        <v>1.3237767863672933E-2</v>
      </c>
      <c r="J119" s="296">
        <v>1.3965743290466548E-2</v>
      </c>
      <c r="K119" s="301">
        <v>1.4357534383173736E-2</v>
      </c>
    </row>
    <row r="121" spans="1:13">
      <c r="A121" t="s">
        <v>348</v>
      </c>
    </row>
    <row r="122" spans="1:13" ht="13.5">
      <c r="A122" s="183"/>
      <c r="B122" s="187" t="s">
        <v>88</v>
      </c>
      <c r="C122" s="187" t="s">
        <v>322</v>
      </c>
      <c r="D122" s="187" t="s">
        <v>89</v>
      </c>
      <c r="E122" s="399" t="s">
        <v>456</v>
      </c>
      <c r="F122" s="187" t="s">
        <v>324</v>
      </c>
      <c r="G122" s="187" t="s">
        <v>325</v>
      </c>
      <c r="H122" s="399" t="s">
        <v>457</v>
      </c>
      <c r="I122" s="187" t="s">
        <v>342</v>
      </c>
      <c r="J122" s="187" t="s">
        <v>343</v>
      </c>
      <c r="K122" s="187" t="s">
        <v>113</v>
      </c>
      <c r="L122" s="187" t="s">
        <v>112</v>
      </c>
      <c r="M122" s="195" t="s">
        <v>344</v>
      </c>
    </row>
    <row r="123" spans="1:13" ht="13.5">
      <c r="A123" s="191" t="s">
        <v>87</v>
      </c>
      <c r="B123" s="175" t="s">
        <v>90</v>
      </c>
      <c r="C123" s="175" t="s">
        <v>327</v>
      </c>
      <c r="D123" s="175" t="s">
        <v>328</v>
      </c>
      <c r="E123" s="175" t="s">
        <v>329</v>
      </c>
      <c r="F123" s="175" t="s">
        <v>329</v>
      </c>
      <c r="G123" s="175" t="s">
        <v>329</v>
      </c>
      <c r="H123" s="175" t="s">
        <v>330</v>
      </c>
      <c r="I123" s="175" t="s">
        <v>345</v>
      </c>
      <c r="J123" s="175" t="s">
        <v>345</v>
      </c>
      <c r="K123" s="175" t="s">
        <v>331</v>
      </c>
      <c r="L123" s="175" t="s">
        <v>345</v>
      </c>
      <c r="M123" s="193" t="s">
        <v>356</v>
      </c>
    </row>
    <row r="124" spans="1:13">
      <c r="A124" s="302">
        <v>0.05</v>
      </c>
      <c r="B124" s="303">
        <v>1.9250698501397006</v>
      </c>
      <c r="C124" s="304">
        <v>1</v>
      </c>
      <c r="D124" s="304" t="s">
        <v>377</v>
      </c>
      <c r="E124" s="336">
        <v>0.25</v>
      </c>
      <c r="F124" s="303">
        <v>0.5</v>
      </c>
      <c r="G124" s="303">
        <v>0.5</v>
      </c>
      <c r="H124" s="306">
        <v>1447.6067650097025</v>
      </c>
      <c r="I124" s="307">
        <v>7681455580.9267292</v>
      </c>
      <c r="J124" s="307">
        <v>7681455580.9267292</v>
      </c>
      <c r="K124" s="307">
        <v>17152702552.539173</v>
      </c>
      <c r="L124" s="307">
        <v>2655231266.008985</v>
      </c>
      <c r="M124" s="308">
        <v>1292.0872285403536</v>
      </c>
    </row>
    <row r="125" spans="1:13">
      <c r="A125" s="282">
        <v>7.0000000000000007E-2</v>
      </c>
      <c r="B125" s="309">
        <v>1.8895199390398785</v>
      </c>
      <c r="C125" s="310">
        <v>1</v>
      </c>
      <c r="D125" s="310" t="s">
        <v>377</v>
      </c>
      <c r="E125" s="336">
        <v>0.25</v>
      </c>
      <c r="F125" s="309">
        <v>0.5</v>
      </c>
      <c r="G125" s="309">
        <v>0.5</v>
      </c>
      <c r="H125" s="311">
        <v>175.09526752452746</v>
      </c>
      <c r="I125" s="312">
        <v>1135890133.898103</v>
      </c>
      <c r="J125" s="312">
        <v>1135890133.898103</v>
      </c>
      <c r="K125" s="312">
        <v>2564102972.7290158</v>
      </c>
      <c r="L125" s="312">
        <v>396922874.29357898</v>
      </c>
      <c r="M125" s="313">
        <v>156.28440292953599</v>
      </c>
    </row>
    <row r="126" spans="1:13">
      <c r="A126" s="291">
        <v>0.25</v>
      </c>
      <c r="B126" s="309">
        <v>2.8001016002032006</v>
      </c>
      <c r="C126" s="310">
        <v>0.3</v>
      </c>
      <c r="D126" s="310">
        <v>4.0013725457641511</v>
      </c>
      <c r="E126" s="305">
        <v>0.34</v>
      </c>
      <c r="F126" s="309">
        <v>0.41002988816858021</v>
      </c>
      <c r="G126" s="309">
        <v>0.32873282532820286</v>
      </c>
      <c r="H126" s="311">
        <v>186.9057949192036</v>
      </c>
      <c r="I126" s="312">
        <v>271763137.89022917</v>
      </c>
      <c r="J126" s="312">
        <v>703333384.04530549</v>
      </c>
      <c r="K126" s="314">
        <v>2443063660.8188953</v>
      </c>
      <c r="L126" s="314">
        <v>18842756.85303637</v>
      </c>
      <c r="M126" s="315">
        <v>84.977866851913092</v>
      </c>
    </row>
    <row r="127" spans="1:13">
      <c r="A127" s="291">
        <v>0.5</v>
      </c>
      <c r="B127" s="309">
        <v>2.1468122936245875</v>
      </c>
      <c r="C127" s="310">
        <v>0.24</v>
      </c>
      <c r="D127" s="310">
        <v>6.7200108877128066</v>
      </c>
      <c r="E127" s="305">
        <v>0.31</v>
      </c>
      <c r="F127" s="309">
        <v>0.38649869580913698</v>
      </c>
      <c r="G127" s="309">
        <v>0.3240414781728897</v>
      </c>
      <c r="H127" s="311">
        <v>138.12296357376664</v>
      </c>
      <c r="I127" s="312">
        <v>75234813.639765084</v>
      </c>
      <c r="J127" s="312">
        <v>255870093.3882812</v>
      </c>
      <c r="K127" s="314">
        <v>1809554986.9197025</v>
      </c>
      <c r="L127" s="314">
        <v>8477345.5047051143</v>
      </c>
      <c r="M127" s="315">
        <v>30.021881657931356</v>
      </c>
    </row>
    <row r="128" spans="1:13">
      <c r="A128" s="291">
        <v>0.75</v>
      </c>
      <c r="B128" s="309">
        <v>1.4937769875539753</v>
      </c>
      <c r="C128" s="310">
        <v>0.21</v>
      </c>
      <c r="D128" s="310">
        <v>6.2038591936354734</v>
      </c>
      <c r="E128" s="305">
        <v>0.28000000000000003</v>
      </c>
      <c r="F128" s="309">
        <v>0.40257796771355664</v>
      </c>
      <c r="G128" s="309">
        <v>0.327834346949612</v>
      </c>
      <c r="H128" s="311">
        <v>61.988105452646913</v>
      </c>
      <c r="I128" s="312">
        <v>11534432.983097235</v>
      </c>
      <c r="J128" s="312">
        <v>65848849.292116806</v>
      </c>
      <c r="K128" s="314">
        <v>788312554.19834387</v>
      </c>
      <c r="L128" s="314">
        <v>1678043.4287947295</v>
      </c>
      <c r="M128" s="315">
        <v>6.9998727386933259</v>
      </c>
    </row>
    <row r="129" spans="1:13">
      <c r="A129" s="316">
        <v>1</v>
      </c>
      <c r="B129" s="317">
        <v>0.90601981203962423</v>
      </c>
      <c r="C129" s="318">
        <v>0.16</v>
      </c>
      <c r="D129" s="318">
        <v>0</v>
      </c>
      <c r="E129" s="317">
        <v>0.25</v>
      </c>
      <c r="F129" s="317">
        <v>0.49249999999999999</v>
      </c>
      <c r="G129" s="317">
        <v>0.35780000000000001</v>
      </c>
      <c r="H129" s="319">
        <v>11.352890666908433</v>
      </c>
      <c r="I129" s="320">
        <v>231293.14864714985</v>
      </c>
      <c r="J129" s="320">
        <v>7874070.2274504323</v>
      </c>
      <c r="K129" s="321">
        <v>118472290.90243222</v>
      </c>
      <c r="L129" s="321">
        <v>179433.04791581735</v>
      </c>
      <c r="M129" s="322">
        <v>0.76662287964958964</v>
      </c>
    </row>
    <row r="131" spans="1:13" ht="13">
      <c r="B131" s="18" t="s">
        <v>349</v>
      </c>
      <c r="C131" s="198"/>
      <c r="D131" t="s">
        <v>350</v>
      </c>
      <c r="H131" t="s">
        <v>415</v>
      </c>
    </row>
    <row r="133" spans="1:13">
      <c r="A133" t="s">
        <v>368</v>
      </c>
    </row>
    <row r="134" spans="1:13" ht="10.5">
      <c r="A134" s="183"/>
      <c r="B134" s="229" t="s">
        <v>363</v>
      </c>
      <c r="C134" s="401" t="s">
        <v>489</v>
      </c>
      <c r="D134" s="402"/>
    </row>
    <row r="135" spans="1:13" ht="11.5">
      <c r="A135" s="191" t="s">
        <v>87</v>
      </c>
      <c r="B135" s="232" t="s">
        <v>366</v>
      </c>
      <c r="C135" s="224"/>
      <c r="D135" s="225"/>
    </row>
    <row r="136" spans="1:13">
      <c r="A136" s="235">
        <f t="shared" ref="A136:A141" si="0">A124</f>
        <v>0.05</v>
      </c>
      <c r="B136" s="255">
        <v>10.5</v>
      </c>
      <c r="C136" s="323"/>
      <c r="D136" s="342">
        <v>1</v>
      </c>
    </row>
    <row r="137" spans="1:13">
      <c r="A137" s="240">
        <f t="shared" si="0"/>
        <v>7.0000000000000007E-2</v>
      </c>
      <c r="B137" s="256">
        <v>10.5</v>
      </c>
      <c r="C137" s="324"/>
      <c r="D137" s="344">
        <v>1</v>
      </c>
    </row>
    <row r="138" spans="1:13">
      <c r="A138" s="240">
        <f t="shared" si="0"/>
        <v>0.25</v>
      </c>
      <c r="B138" s="326">
        <v>10.5</v>
      </c>
      <c r="C138" s="346"/>
      <c r="D138" s="344">
        <v>2</v>
      </c>
    </row>
    <row r="139" spans="1:13">
      <c r="A139" s="240">
        <f t="shared" si="0"/>
        <v>0.5</v>
      </c>
      <c r="B139" s="326">
        <v>2.5</v>
      </c>
      <c r="C139" s="324"/>
      <c r="D139" s="344">
        <v>2.5</v>
      </c>
    </row>
    <row r="140" spans="1:13">
      <c r="A140" s="240">
        <f t="shared" si="0"/>
        <v>0.75</v>
      </c>
      <c r="B140" s="326">
        <v>0</v>
      </c>
      <c r="C140" s="324"/>
      <c r="D140" s="344">
        <v>3</v>
      </c>
    </row>
    <row r="141" spans="1:13">
      <c r="A141" s="246">
        <f t="shared" si="0"/>
        <v>1</v>
      </c>
      <c r="B141" s="327">
        <v>-0.6</v>
      </c>
      <c r="C141" s="325"/>
      <c r="D141" s="347">
        <v>4</v>
      </c>
    </row>
    <row r="143" spans="1:13" ht="11.5">
      <c r="A143" s="337" t="s">
        <v>401</v>
      </c>
      <c r="B143" s="338" t="s">
        <v>402</v>
      </c>
      <c r="C143" s="339"/>
    </row>
    <row r="144" spans="1:13">
      <c r="A144" s="340">
        <v>1</v>
      </c>
      <c r="B144" s="341"/>
      <c r="C144" s="342" t="s">
        <v>378</v>
      </c>
      <c r="E144" s="360"/>
    </row>
    <row r="145" spans="1:7">
      <c r="A145" s="340">
        <v>2</v>
      </c>
      <c r="B145" s="343"/>
      <c r="C145" s="344" t="s">
        <v>410</v>
      </c>
      <c r="E145" s="353" t="s">
        <v>413</v>
      </c>
      <c r="F145" s="354"/>
      <c r="G145" s="354"/>
    </row>
    <row r="146" spans="1:7">
      <c r="A146" s="340">
        <v>3</v>
      </c>
      <c r="B146" s="343"/>
      <c r="C146" s="344" t="s">
        <v>411</v>
      </c>
      <c r="E146" s="353" t="s">
        <v>413</v>
      </c>
      <c r="F146" s="354"/>
      <c r="G146" s="354"/>
    </row>
    <row r="147" spans="1:7">
      <c r="A147" s="345">
        <v>4</v>
      </c>
      <c r="B147" s="366"/>
      <c r="C147" s="347" t="s">
        <v>412</v>
      </c>
      <c r="E147" s="353" t="s">
        <v>413</v>
      </c>
      <c r="F147" s="354"/>
      <c r="G147" s="354"/>
    </row>
    <row r="148" spans="1:7" ht="10.5" thickBot="1"/>
    <row r="149" spans="1:7" ht="10.5" thickBot="1">
      <c r="A149" s="404" t="s">
        <v>403</v>
      </c>
      <c r="B149" s="406"/>
      <c r="C149" s="407"/>
      <c r="E149" s="353" t="s">
        <v>406</v>
      </c>
      <c r="F149" s="354"/>
    </row>
    <row r="150" spans="1:7" ht="10.5" thickBot="1">
      <c r="A150" s="379" t="s">
        <v>35</v>
      </c>
      <c r="B150" s="380" t="s">
        <v>36</v>
      </c>
      <c r="C150" s="380" t="s">
        <v>37</v>
      </c>
      <c r="E150" s="353" t="s">
        <v>406</v>
      </c>
      <c r="F150" s="354"/>
    </row>
    <row r="151" spans="1:7" ht="11" thickBot="1">
      <c r="A151" s="376">
        <v>3.882E-2</v>
      </c>
      <c r="B151" s="377">
        <v>3.882E-2</v>
      </c>
      <c r="C151" s="378">
        <v>5.8999999999999997E-2</v>
      </c>
      <c r="E151" s="353" t="s">
        <v>406</v>
      </c>
      <c r="F151" s="354"/>
    </row>
    <row r="152" spans="1:7" ht="10.5" thickBot="1"/>
    <row r="153" spans="1:7" ht="10.5" thickBot="1">
      <c r="A153" s="404" t="s">
        <v>414</v>
      </c>
      <c r="B153" s="405"/>
      <c r="C153" s="368"/>
      <c r="E153" s="353" t="s">
        <v>406</v>
      </c>
      <c r="F153" s="354"/>
    </row>
    <row r="154" spans="1:7" ht="10.5">
      <c r="A154" s="367" t="s">
        <v>50</v>
      </c>
      <c r="B154" s="371">
        <v>3.4349999999999999E-2</v>
      </c>
      <c r="C154" s="369"/>
      <c r="E154" s="353" t="s">
        <v>406</v>
      </c>
      <c r="F154" s="354"/>
    </row>
    <row r="155" spans="1:7" ht="10.5">
      <c r="A155" s="372" t="s">
        <v>51</v>
      </c>
      <c r="B155" s="373">
        <v>3.4349999999999999E-2</v>
      </c>
      <c r="C155" s="370"/>
      <c r="E155" s="353" t="s">
        <v>406</v>
      </c>
      <c r="F155" s="354"/>
    </row>
    <row r="156" spans="1:7" ht="10.5">
      <c r="A156" s="374" t="s">
        <v>52</v>
      </c>
      <c r="B156" s="373">
        <v>3.4349999999999999E-2</v>
      </c>
      <c r="E156" s="353" t="s">
        <v>406</v>
      </c>
      <c r="F156" s="354"/>
    </row>
    <row r="157" spans="1:7" ht="11" thickBot="1">
      <c r="A157" s="375" t="s">
        <v>53</v>
      </c>
      <c r="B157" s="362">
        <v>3.4349999999999999E-2</v>
      </c>
      <c r="E157" s="353" t="s">
        <v>406</v>
      </c>
      <c r="F157" s="354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0"/>
  <cols>
    <col min="2" max="2" width="12.109375" customWidth="1"/>
    <col min="5" max="5" width="12.7773437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Page'!B46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Page'!B49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Page'!B47</f>
        <v>2.5649999999999999</v>
      </c>
      <c r="D8" t="s">
        <v>85</v>
      </c>
    </row>
    <row r="9" spans="2:15">
      <c r="B9" t="s">
        <v>99</v>
      </c>
      <c r="C9" s="152">
        <f>'Main Page'!B50</f>
        <v>17.39</v>
      </c>
      <c r="D9" t="s">
        <v>97</v>
      </c>
    </row>
    <row r="10" spans="2:15">
      <c r="B10" t="s">
        <v>100</v>
      </c>
      <c r="C10" s="152">
        <f>'Main Page'!B48</f>
        <v>10.26</v>
      </c>
      <c r="D10" t="s">
        <v>97</v>
      </c>
    </row>
    <row r="11" spans="2:15">
      <c r="B11" t="s">
        <v>385</v>
      </c>
      <c r="C11" s="152">
        <f>'Main Page'!B51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0"/>
  <cols>
    <col min="1" max="1" width="16.44140625" customWidth="1"/>
    <col min="2" max="2" width="33.44140625" bestFit="1" customWidth="1"/>
    <col min="3" max="3" width="10.44140625" bestFit="1" customWidth="1"/>
    <col min="4" max="4" width="11.33203125" customWidth="1"/>
    <col min="5" max="5" width="11.4414062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44140625" customWidth="1"/>
    <col min="13" max="14" width="11.33203125" customWidth="1"/>
    <col min="15" max="15" width="11.44140625" customWidth="1"/>
  </cols>
  <sheetData>
    <row r="1" spans="1:25" ht="12.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7.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5">
      <c r="A5" s="112"/>
      <c r="B5" s="163" t="s">
        <v>12</v>
      </c>
      <c r="C5" s="131"/>
      <c r="D5" s="131"/>
      <c r="E5" s="132">
        <f>'Main Page'!B56</f>
        <v>3.5</v>
      </c>
      <c r="F5" s="132">
        <f>'Main Page'!B59</f>
        <v>0.05</v>
      </c>
      <c r="G5" s="131"/>
      <c r="H5" s="135">
        <f>'Main Page'!B60</f>
        <v>7850</v>
      </c>
      <c r="I5" s="387">
        <f>H5*F5*PI()*E5^2</f>
        <v>15105.170177541426</v>
      </c>
      <c r="J5" s="132">
        <f>'Main Page'!B61</f>
        <v>-3.3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5">
      <c r="A6" s="112"/>
      <c r="B6" s="163" t="s">
        <v>184</v>
      </c>
      <c r="C6" s="131"/>
      <c r="D6" s="131"/>
      <c r="E6" s="131"/>
      <c r="F6" s="131"/>
      <c r="G6" s="136"/>
      <c r="H6" s="134"/>
      <c r="I6" s="387">
        <f>0.0119*'Main Page'!B13^3</f>
        <v>4081.7000000000003</v>
      </c>
      <c r="J6" s="132">
        <f>'Main Page'!B61</f>
        <v>-3.3</v>
      </c>
      <c r="K6" s="132">
        <f>'Main Page'!B62</f>
        <v>0</v>
      </c>
      <c r="L6" s="132">
        <f>'Main Page'!B63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5">
      <c r="A7" s="112"/>
      <c r="B7" s="163" t="s">
        <v>137</v>
      </c>
      <c r="C7" s="132">
        <f>'Main Page'!B66</f>
        <v>1.98</v>
      </c>
      <c r="D7" s="132">
        <f>'Main Page'!B68</f>
        <v>0.28499999999999998</v>
      </c>
      <c r="E7" s="132">
        <f>'Main Page'!B67</f>
        <v>0.60419999999999996</v>
      </c>
      <c r="F7" s="131"/>
      <c r="G7" s="136"/>
      <c r="H7" s="135">
        <f>'Main Page'!B69</f>
        <v>7850</v>
      </c>
      <c r="I7" s="384">
        <f>0.25*PI()*(E7^2-D7^2)*H7*C7</f>
        <v>3464.8709598770956</v>
      </c>
      <c r="J7" s="132">
        <f>0.5*('Main Page'!B74+'Main Page'!B77)</f>
        <v>-1.4850000000000001</v>
      </c>
      <c r="K7" s="132">
        <f>'Main Page'!B70</f>
        <v>0</v>
      </c>
      <c r="L7" s="132">
        <f>'Main Page'!B71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84">
        <f>0.00002613*(1000*E7)^2.77</f>
        <v>1321.3260789492929</v>
      </c>
      <c r="J8" s="132">
        <f>'Main Page'!B74</f>
        <v>-2.31</v>
      </c>
      <c r="K8" s="132">
        <f>'Main Page'!B75</f>
        <v>0</v>
      </c>
      <c r="L8" s="132">
        <f>'Main Page'!B76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84">
        <f>0.00002613*(1000*E7)^2.77</f>
        <v>1321.3260789492929</v>
      </c>
      <c r="J9" s="132">
        <f>'Main Page'!B77</f>
        <v>-0.66</v>
      </c>
      <c r="K9" s="132">
        <f>'Main Page'!B78</f>
        <v>0</v>
      </c>
      <c r="L9" s="132">
        <f>'Main Page'!B79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5">
      <c r="A10" s="112"/>
      <c r="B10" s="34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84">
        <f>'Main Page'!B82/2</f>
        <v>5301.31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49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85">
        <f>(3.3*'Main Page'!B92+471)/3</f>
        <v>1807</v>
      </c>
      <c r="J11" s="132">
        <f>'Main Page'!B93</f>
        <v>0.82499999999999996</v>
      </c>
      <c r="K11" s="132">
        <f>'Main Page'!B94</f>
        <v>0</v>
      </c>
      <c r="L11" s="132">
        <f>'Main Page'!B95</f>
        <v>0</v>
      </c>
      <c r="M11" s="350">
        <f>0.0000486*C1^5.333</f>
        <v>336158.51508794067</v>
      </c>
      <c r="N11" s="159">
        <f>M11/2/('Main Page'!B88^2)+I11*C11^2/12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5">
      <c r="A12" s="112"/>
      <c r="B12" s="349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85">
        <f>1.5*0.025*1000*'Main Page'!B92/0.10472/C2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0">
        <f>0.25*C12*PI()*H12*E12^2*'Main Page'!B88^2*E12^2/8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5">
      <c r="A19" s="112"/>
      <c r="B19" s="164"/>
      <c r="C19" s="112"/>
      <c r="D19" s="421" t="s">
        <v>239</v>
      </c>
      <c r="E19" s="421"/>
      <c r="F19" s="421"/>
      <c r="G19" s="421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7.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5">
      <c r="A21" s="112"/>
      <c r="B21" s="163" t="s">
        <v>162</v>
      </c>
      <c r="C21" s="132">
        <f>'Main Page'!B98</f>
        <v>2.31</v>
      </c>
      <c r="D21" s="132">
        <f>'Main Page'!B99</f>
        <v>2.4750000000000001</v>
      </c>
      <c r="E21" s="132">
        <f>'Main Page'!B100</f>
        <v>1.1880000000000002</v>
      </c>
      <c r="F21" s="132">
        <f>'Main Page'!B101</f>
        <v>0.191</v>
      </c>
      <c r="G21" s="132">
        <f>'Main Page'!B102</f>
        <v>0.17399999999999999</v>
      </c>
      <c r="H21" s="136">
        <f>'Main Page'!B103</f>
        <v>7850</v>
      </c>
      <c r="I21" s="385">
        <f>1.5*H21*(0.00000042875*C1^3-(0.00030625*F21+0.00003675*D21+0.0000735*E21)*C1^2+(0.035*F21*D21+0.07*E21*F21)*C1)</f>
        <v>14800.274212500004</v>
      </c>
      <c r="J21" s="132">
        <f>'Main Page'!B104</f>
        <v>0</v>
      </c>
      <c r="K21" s="132">
        <f>'Main Page'!B105</f>
        <v>0</v>
      </c>
      <c r="L21" s="132">
        <f>'Main Page'!B106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85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85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5">
      <c r="A24" s="112"/>
      <c r="B24" s="34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85">
        <f>'Main Page'!B82/2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5">
      <c r="A25" s="112"/>
      <c r="B25" s="34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85">
        <f>2*(3.3*'Main Page'!B92+471)/3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85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5">
      <c r="A27" s="112"/>
      <c r="B27" s="163" t="s">
        <v>199</v>
      </c>
      <c r="C27" s="129"/>
      <c r="D27" s="129"/>
      <c r="E27" s="129"/>
      <c r="F27" s="129"/>
      <c r="G27" s="129"/>
      <c r="H27" s="129"/>
      <c r="I27" s="385">
        <f>2.6*'Main Page'!B92+0.002168*C1^3.4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5">
      <c r="A28" s="112"/>
      <c r="B28" s="163" t="s">
        <v>200</v>
      </c>
      <c r="C28" s="129"/>
      <c r="D28" s="129"/>
      <c r="E28" s="129"/>
      <c r="F28" s="129"/>
      <c r="G28" s="129"/>
      <c r="H28" s="129"/>
      <c r="I28" s="385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5">
      <c r="B34" s="164"/>
      <c r="O34" s="157"/>
    </row>
    <row r="35" spans="1:25" s="112" customFormat="1" ht="12.5">
      <c r="B35" s="163" t="s">
        <v>216</v>
      </c>
      <c r="I35" s="386" t="s">
        <v>419</v>
      </c>
      <c r="J35" s="386"/>
    </row>
    <row r="36" spans="1:25" s="112" customFormat="1" ht="12.5">
      <c r="B36" s="163" t="s">
        <v>217</v>
      </c>
      <c r="C36" s="150" t="s">
        <v>218</v>
      </c>
      <c r="I36" s="388" t="s">
        <v>420</v>
      </c>
      <c r="J36" s="388"/>
    </row>
    <row r="37" spans="1:25" s="112" customFormat="1" ht="12.5">
      <c r="B37" s="163" t="s">
        <v>219</v>
      </c>
      <c r="C37" s="112" t="s">
        <v>220</v>
      </c>
      <c r="I37" s="389" t="s">
        <v>421</v>
      </c>
      <c r="J37" s="389"/>
    </row>
    <row r="38" spans="1:25" s="112" customFormat="1" ht="12.5">
      <c r="B38" s="164"/>
    </row>
    <row r="39" spans="1:25" s="112" customFormat="1" ht="12.5">
      <c r="B39" s="163" t="s">
        <v>226</v>
      </c>
      <c r="C39" s="112" t="s">
        <v>227</v>
      </c>
    </row>
    <row r="40" spans="1:25" s="112" customFormat="1" ht="12.5">
      <c r="B40" s="163" t="s">
        <v>223</v>
      </c>
      <c r="C40" s="112" t="s">
        <v>224</v>
      </c>
    </row>
    <row r="41" spans="1:25" s="112" customFormat="1" ht="12.5">
      <c r="B41" s="163" t="s">
        <v>225</v>
      </c>
      <c r="C41" s="112" t="s">
        <v>228</v>
      </c>
    </row>
    <row r="42" spans="1:25" s="112" customFormat="1" ht="12.5">
      <c r="B42" s="165"/>
    </row>
    <row r="43" spans="1:25" s="112" customFormat="1" ht="12.5">
      <c r="B43" s="163" t="s">
        <v>229</v>
      </c>
      <c r="C43" s="112" t="s">
        <v>230</v>
      </c>
    </row>
    <row r="44" spans="1:25" s="112" customFormat="1" ht="12.5">
      <c r="B44" s="163" t="s">
        <v>231</v>
      </c>
      <c r="C44" s="112" t="s">
        <v>232</v>
      </c>
    </row>
    <row r="45" spans="1:25" s="112" customFormat="1" ht="12.5">
      <c r="B45" s="163" t="s">
        <v>275</v>
      </c>
      <c r="C45" s="112" t="s">
        <v>276</v>
      </c>
    </row>
    <row r="46" spans="1:25" s="112" customFormat="1" ht="12.5">
      <c r="B46" s="165"/>
    </row>
    <row r="47" spans="1:25" s="112" customFormat="1" ht="12.5">
      <c r="B47" s="163" t="s">
        <v>234</v>
      </c>
      <c r="C47" s="114" t="s">
        <v>235</v>
      </c>
    </row>
    <row r="48" spans="1:25" s="112" customFormat="1" ht="12.5">
      <c r="B48" s="163" t="s">
        <v>233</v>
      </c>
      <c r="C48" s="112" t="s">
        <v>236</v>
      </c>
    </row>
    <row r="49" spans="2:3" s="112" customFormat="1" ht="12.5">
      <c r="B49" s="163" t="s">
        <v>277</v>
      </c>
      <c r="C49" s="112" t="s">
        <v>278</v>
      </c>
    </row>
    <row r="50" spans="2:3" s="112" customFormat="1" ht="12.5">
      <c r="B50" s="163"/>
    </row>
    <row r="51" spans="2:3" s="112" customFormat="1" ht="12.5">
      <c r="B51" s="163"/>
    </row>
    <row r="52" spans="2:3" s="112" customFormat="1" ht="12.5">
      <c r="B52" s="163" t="s">
        <v>237</v>
      </c>
      <c r="C52" s="112" t="s">
        <v>241</v>
      </c>
    </row>
    <row r="53" spans="2:3" s="112" customFormat="1" ht="12.5">
      <c r="B53" s="163" t="s">
        <v>238</v>
      </c>
      <c r="C53" s="112" t="s">
        <v>242</v>
      </c>
    </row>
    <row r="54" spans="2:3" s="112" customFormat="1" ht="12.5">
      <c r="B54" s="163" t="s">
        <v>243</v>
      </c>
      <c r="C54" s="112" t="s">
        <v>244</v>
      </c>
    </row>
    <row r="55" spans="2:3" s="112" customFormat="1" ht="12.5">
      <c r="B55" s="163" t="s">
        <v>245</v>
      </c>
      <c r="C55" s="112" t="s">
        <v>246</v>
      </c>
    </row>
    <row r="56" spans="2:3" s="112" customFormat="1" ht="12.5">
      <c r="B56" s="163"/>
    </row>
    <row r="57" spans="2:3" s="112" customFormat="1" ht="12.5">
      <c r="B57" s="163" t="s">
        <v>252</v>
      </c>
      <c r="C57" s="112" t="s">
        <v>253</v>
      </c>
    </row>
    <row r="58" spans="2:3" s="112" customFormat="1" ht="12.5">
      <c r="B58" s="163" t="s">
        <v>247</v>
      </c>
      <c r="C58" s="112" t="s">
        <v>248</v>
      </c>
    </row>
    <row r="59" spans="2:3" s="112" customFormat="1" ht="12.5">
      <c r="B59" s="163" t="s">
        <v>249</v>
      </c>
      <c r="C59" s="112" t="s">
        <v>251</v>
      </c>
    </row>
    <row r="60" spans="2:3" s="112" customFormat="1" ht="12.5">
      <c r="B60" s="163" t="s">
        <v>250</v>
      </c>
      <c r="C60" s="112" t="s">
        <v>254</v>
      </c>
    </row>
    <row r="61" spans="2:3" s="112" customFormat="1" ht="12.5">
      <c r="B61" s="163"/>
    </row>
    <row r="62" spans="2:3" s="112" customFormat="1" ht="12.5">
      <c r="B62" s="163" t="s">
        <v>256</v>
      </c>
      <c r="C62" s="112" t="s">
        <v>261</v>
      </c>
    </row>
    <row r="63" spans="2:3" s="112" customFormat="1" ht="12.5">
      <c r="B63" s="163" t="s">
        <v>257</v>
      </c>
      <c r="C63" s="112" t="s">
        <v>262</v>
      </c>
    </row>
    <row r="64" spans="2:3" s="112" customFormat="1" ht="12.5">
      <c r="B64" s="163" t="s">
        <v>258</v>
      </c>
      <c r="C64" s="112" t="s">
        <v>263</v>
      </c>
    </row>
    <row r="65" spans="2:3" s="112" customFormat="1" ht="12.5">
      <c r="B65" s="163" t="s">
        <v>259</v>
      </c>
      <c r="C65" s="112" t="s">
        <v>264</v>
      </c>
    </row>
    <row r="66" spans="2:3" s="112" customFormat="1" ht="12.5">
      <c r="B66" s="163" t="s">
        <v>260</v>
      </c>
      <c r="C66" s="112" t="s">
        <v>265</v>
      </c>
    </row>
    <row r="67" spans="2:3" s="112" customFormat="1" ht="12.5">
      <c r="B67" s="163"/>
    </row>
    <row r="68" spans="2:3" s="112" customFormat="1" ht="12.5">
      <c r="B68" s="163" t="s">
        <v>266</v>
      </c>
      <c r="C68" s="112" t="s">
        <v>267</v>
      </c>
    </row>
    <row r="69" spans="2:3" s="112" customFormat="1" ht="12.5">
      <c r="B69" s="163" t="s">
        <v>268</v>
      </c>
      <c r="C69" s="112" t="s">
        <v>269</v>
      </c>
    </row>
    <row r="70" spans="2:3" s="112" customFormat="1" ht="12.5">
      <c r="B70" s="163"/>
    </row>
    <row r="71" spans="2:3" s="112" customFormat="1" ht="12.5">
      <c r="B71" s="163" t="s">
        <v>272</v>
      </c>
      <c r="C71" s="112" t="s">
        <v>273</v>
      </c>
    </row>
    <row r="72" spans="2:3" s="112" customFormat="1" ht="12.5">
      <c r="B72" s="163" t="s">
        <v>270</v>
      </c>
      <c r="C72" s="112" t="s">
        <v>271</v>
      </c>
    </row>
    <row r="73" spans="2:3" s="112" customFormat="1" ht="12.5">
      <c r="B73" s="163" t="s">
        <v>274</v>
      </c>
      <c r="C73" s="112" t="s">
        <v>279</v>
      </c>
    </row>
    <row r="74" spans="2:3" s="112" customFormat="1" ht="12.5">
      <c r="B74" s="163"/>
    </row>
    <row r="75" spans="2:3" s="112" customFormat="1" ht="12.5">
      <c r="B75" s="163" t="s">
        <v>281</v>
      </c>
      <c r="C75" s="112" t="s">
        <v>241</v>
      </c>
    </row>
    <row r="76" spans="2:3" s="112" customFormat="1" ht="12.5">
      <c r="B76" s="163" t="s">
        <v>280</v>
      </c>
      <c r="C76" s="112" t="s">
        <v>240</v>
      </c>
    </row>
    <row r="77" spans="2:3" s="112" customFormat="1" ht="12.5">
      <c r="B77" s="163" t="s">
        <v>282</v>
      </c>
      <c r="C77" s="112" t="s">
        <v>283</v>
      </c>
    </row>
    <row r="78" spans="2:3" s="112" customFormat="1" ht="12.5">
      <c r="B78" s="163" t="s">
        <v>284</v>
      </c>
      <c r="C78" s="112" t="s">
        <v>244</v>
      </c>
    </row>
    <row r="79" spans="2:3" s="112" customFormat="1" ht="12.5">
      <c r="B79" s="163" t="s">
        <v>285</v>
      </c>
      <c r="C79" s="112" t="s">
        <v>286</v>
      </c>
    </row>
    <row r="80" spans="2:3" s="112" customFormat="1" ht="12.5">
      <c r="B80" s="163"/>
    </row>
    <row r="81" spans="2:3" s="112" customFormat="1" ht="12.5">
      <c r="B81" s="163" t="s">
        <v>287</v>
      </c>
      <c r="C81" s="112" t="s">
        <v>253</v>
      </c>
    </row>
    <row r="82" spans="2:3" s="112" customFormat="1" ht="12.5">
      <c r="B82" s="163" t="s">
        <v>288</v>
      </c>
      <c r="C82" s="112" t="s">
        <v>240</v>
      </c>
    </row>
    <row r="83" spans="2:3" s="112" customFormat="1" ht="12.5">
      <c r="B83" s="163" t="s">
        <v>289</v>
      </c>
      <c r="C83" s="112" t="s">
        <v>292</v>
      </c>
    </row>
    <row r="84" spans="2:3" s="112" customFormat="1" ht="12.5">
      <c r="B84" s="163" t="s">
        <v>290</v>
      </c>
      <c r="C84" s="112" t="s">
        <v>293</v>
      </c>
    </row>
    <row r="85" spans="2:3" s="112" customFormat="1" ht="12.5">
      <c r="B85" s="163" t="s">
        <v>291</v>
      </c>
      <c r="C85" s="112" t="s">
        <v>286</v>
      </c>
    </row>
    <row r="86" spans="2:3" s="112" customFormat="1" ht="12.5">
      <c r="B86" s="163"/>
    </row>
    <row r="87" spans="2:3" s="112" customFormat="1" ht="12.5">
      <c r="B87" s="163" t="s">
        <v>294</v>
      </c>
      <c r="C87" s="112" t="s">
        <v>295</v>
      </c>
    </row>
    <row r="88" spans="2:3" s="112" customFormat="1" ht="12.5">
      <c r="B88" s="163" t="s">
        <v>296</v>
      </c>
      <c r="C88" s="112" t="s">
        <v>298</v>
      </c>
    </row>
    <row r="89" spans="2:3" s="112" customFormat="1" ht="12.5">
      <c r="B89" s="163" t="s">
        <v>297</v>
      </c>
      <c r="C89" s="112" t="s">
        <v>299</v>
      </c>
    </row>
    <row r="90" spans="2:3" s="112" customFormat="1" ht="12.5">
      <c r="B90" s="163" t="s">
        <v>300</v>
      </c>
      <c r="C90" s="112" t="s">
        <v>301</v>
      </c>
    </row>
    <row r="91" spans="2:3" s="112" customFormat="1" ht="12.5">
      <c r="B91" s="163" t="s">
        <v>302</v>
      </c>
      <c r="C91" s="112" t="s">
        <v>286</v>
      </c>
    </row>
    <row r="92" spans="2:3" s="112" customFormat="1" ht="12.5"/>
    <row r="93" spans="2:3" s="112" customFormat="1" ht="12.5">
      <c r="B93" s="163" t="s">
        <v>199</v>
      </c>
      <c r="C93" s="112" t="s">
        <v>304</v>
      </c>
    </row>
    <row r="94" spans="2:3" s="112" customFormat="1" ht="12.5">
      <c r="B94" s="163" t="s">
        <v>200</v>
      </c>
      <c r="C94" s="112" t="s">
        <v>303</v>
      </c>
    </row>
    <row r="95" spans="2:3" s="112" customFormat="1" ht="12.5">
      <c r="B95" s="164"/>
    </row>
    <row r="96" spans="2:3" ht="12.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" workbookViewId="0">
      <selection activeCell="C14" sqref="C14"/>
    </sheetView>
  </sheetViews>
  <sheetFormatPr defaultRowHeight="10"/>
  <cols>
    <col min="2" max="7" width="15.77734375" customWidth="1"/>
  </cols>
  <sheetData>
    <row r="1" spans="1:7">
      <c r="A1" t="s">
        <v>422</v>
      </c>
      <c r="B1" t="s">
        <v>423</v>
      </c>
      <c r="C1" t="s">
        <v>424</v>
      </c>
    </row>
    <row r="3" spans="1:7">
      <c r="A3" t="s">
        <v>102</v>
      </c>
      <c r="B3" t="s">
        <v>437</v>
      </c>
      <c r="C3" s="18">
        <f>'Main Page'!B17</f>
        <v>1.2250000000000001</v>
      </c>
    </row>
    <row r="4" spans="1:7">
      <c r="A4" t="s">
        <v>438</v>
      </c>
      <c r="B4" t="s">
        <v>439</v>
      </c>
      <c r="C4">
        <v>5.0000000000000001E-3</v>
      </c>
    </row>
    <row r="5" spans="1:7">
      <c r="A5" t="s">
        <v>440</v>
      </c>
      <c r="B5" t="s">
        <v>441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440</v>
      </c>
      <c r="B6" t="s">
        <v>442</v>
      </c>
      <c r="C6" s="18">
        <v>15</v>
      </c>
      <c r="D6" s="18"/>
      <c r="E6" s="18"/>
      <c r="F6" s="18"/>
    </row>
    <row r="7" spans="1:7">
      <c r="B7" t="s">
        <v>443</v>
      </c>
      <c r="C7" t="s">
        <v>444</v>
      </c>
      <c r="D7" t="s">
        <v>445</v>
      </c>
      <c r="E7" t="s">
        <v>446</v>
      </c>
      <c r="F7" t="s">
        <v>88</v>
      </c>
      <c r="G7" t="s">
        <v>447</v>
      </c>
    </row>
    <row r="8" spans="1:7">
      <c r="C8" s="395">
        <f>C37*('Main Page'!B$13/2-'Main Page'!B$56/2) + 'Main Page'!B$56/2</f>
        <v>2.8583333333333334</v>
      </c>
      <c r="D8" s="396">
        <f>(F39-F38)/($D39-$D38)*($C8-$D39)+F38</f>
        <v>11.1</v>
      </c>
      <c r="E8">
        <f>(1/$C$6)*('Main Page'!B$13/2-'Main Page'!B$56/2)</f>
        <v>2.2166666666666668</v>
      </c>
      <c r="F8" s="396">
        <f>(E$39-E$38)/(D$39-D$38)*(C8-D$38)+E$38</f>
        <v>1.9485391207819456</v>
      </c>
      <c r="G8">
        <f>ROUND((G$39-G$38)/(D$39-D$38)*(C8-D$38)+G$38,0)</f>
        <v>1</v>
      </c>
    </row>
    <row r="9" spans="1:7">
      <c r="C9" s="395">
        <f>C38*('Main Page'!B$13/2-'Main Page'!B$56/2) + 'Main Page'!B$56/2</f>
        <v>5.0750000000000002</v>
      </c>
      <c r="D9" s="396">
        <f>(F39-F38)/($D39-$D38)*($C9-$D39)+F38</f>
        <v>11.1</v>
      </c>
      <c r="E9">
        <f>(1/$C$6)*('Main Page'!B$13/2-'Main Page'!B$56/2)</f>
        <v>2.2166666666666668</v>
      </c>
      <c r="F9" s="396">
        <f t="shared" ref="F9" si="0">(E$39-E$38)/(D$39-D$38)*(C9-D$38)+E$38</f>
        <v>2.268928964524596</v>
      </c>
      <c r="G9">
        <f>ROUNDUP((G$39-G$38)/(D$39-D$38)*(C9-D$38)+G$38,0)</f>
        <v>2</v>
      </c>
    </row>
    <row r="10" spans="1:7">
      <c r="C10" s="395">
        <f>C39*('Main Page'!B$13/2-'Main Page'!B$56/2) + 'Main Page'!B$56/2</f>
        <v>7.2916666666666661</v>
      </c>
      <c r="D10" s="396">
        <f>(F39-F38)/($D39-$D38)*($C10-$D39)+F38</f>
        <v>11.1</v>
      </c>
      <c r="E10">
        <f>(1/$C$6)*('Main Page'!B$13/2-'Main Page'!B$56/2)</f>
        <v>2.2166666666666668</v>
      </c>
      <c r="F10" s="396">
        <f>(E$39-E$38)/(D$39-D$38)*(C10-D$38)+E$38</f>
        <v>2.5893188082672465</v>
      </c>
      <c r="G10">
        <f>ROUND((G$39-G$38)/(D$39-D$38)*(C10-D$38)+G$38,0)</f>
        <v>2</v>
      </c>
    </row>
    <row r="11" spans="1:7">
      <c r="C11" s="395">
        <f>C40*('Main Page'!B$13/2-'Main Page'!B$56/2) + 'Main Page'!B$56/2</f>
        <v>9.5083333333333329</v>
      </c>
      <c r="D11" s="396">
        <f>(F40-F39)/($D40-$D39)*($C11-$D39)+F39</f>
        <v>10.406666666666666</v>
      </c>
      <c r="E11">
        <f>(1/$C$6)*('Main Page'!B$13/2-'Main Page'!B$56/2)</f>
        <v>2.2166666666666668</v>
      </c>
      <c r="F11" s="396">
        <f>(E$40-E$39)/(D$40-D$39)*(C11-D$39)+E$39</f>
        <v>2.7434831936330544</v>
      </c>
      <c r="G11">
        <f>ROUND((G$40-G$39)/(D$40-D$39)*(C11-D$39)+G$39,0)</f>
        <v>2</v>
      </c>
    </row>
    <row r="12" spans="1:7">
      <c r="C12" s="395">
        <f>C41*('Main Page'!B$13/2-'Main Page'!B$56/2) + 'Main Page'!B$56/2</f>
        <v>11.725</v>
      </c>
      <c r="D12" s="396">
        <f>(F40-F39)/($D40-$D39)*($C12-$D39)+F39</f>
        <v>8.379999999999999</v>
      </c>
      <c r="E12">
        <f>(1/$C$6)*('Main Page'!B$13/2-'Main Page'!B$56/2)</f>
        <v>2.2166666666666668</v>
      </c>
      <c r="F12" s="396">
        <f t="shared" ref="F12:F13" si="1">(E$40-E$39)/(D$40-D$39)*(C12-D$39)+E$39</f>
        <v>2.5779832359664723</v>
      </c>
      <c r="G12">
        <f t="shared" ref="G12:G14" si="2">ROUND((G$40-G$39)/(D$40-D$39)*(C12-D$39)+G$39,0)</f>
        <v>2</v>
      </c>
    </row>
    <row r="13" spans="1:7">
      <c r="C13" s="395">
        <f>C42*('Main Page'!B$13/2-'Main Page'!B$56/2) + 'Main Page'!B$56/2</f>
        <v>13.941666666666666</v>
      </c>
      <c r="D13" s="396">
        <f>(F40-F39)/($D40-$D39)*($C13-$D39)+F39</f>
        <v>6.3533333333333335</v>
      </c>
      <c r="E13">
        <f>(1/$C$6)*('Main Page'!B$13/2-'Main Page'!B$56/2)</f>
        <v>2.2166666666666668</v>
      </c>
      <c r="F13" s="396">
        <f t="shared" si="1"/>
        <v>2.4124832782998902</v>
      </c>
      <c r="G13">
        <f t="shared" si="2"/>
        <v>2</v>
      </c>
    </row>
    <row r="14" spans="1:7">
      <c r="C14" s="395">
        <f>C43*('Main Page'!B$13/2-'Main Page'!B$56/2) + 'Main Page'!B$56/2</f>
        <v>16.158333333333331</v>
      </c>
      <c r="D14" s="396">
        <f>(F40-F39)/($D40-$D39)*($C14-$D39)+F39</f>
        <v>4.326666666666668</v>
      </c>
      <c r="E14">
        <f>(1/$C$6)*('Main Page'!B$13/2-'Main Page'!B$56/2)</f>
        <v>2.2166666666666668</v>
      </c>
      <c r="F14" s="396">
        <f>(E$40-E$39)/(D$40-D$39)*(C14-D$39)+E$39</f>
        <v>2.2469833206333085</v>
      </c>
      <c r="G14">
        <f t="shared" si="2"/>
        <v>2</v>
      </c>
    </row>
    <row r="15" spans="1:7">
      <c r="C15" s="395">
        <f>C44*('Main Page'!B$13/2-'Main Page'!B$56/2) + 'Main Page'!B$56/2</f>
        <v>18.375</v>
      </c>
      <c r="D15" s="396">
        <f>(F41-F40)/($D41-$D40)*($C15-$D40)+F40</f>
        <v>2.85</v>
      </c>
      <c r="E15">
        <f>(1/$C$6)*('Main Page'!B$13/2-'Main Page'!B$56/2)</f>
        <v>2.2166666666666668</v>
      </c>
      <c r="F15" s="396">
        <f>(E$41-E$40)/(D$41-D$40)*(C15-D$40)+E$40</f>
        <v>2.0815087630175264</v>
      </c>
      <c r="G15">
        <f>ROUND((G$41-G$40)/(D$41-D$40)*(C15-D$40)+G$40,0)</f>
        <v>3</v>
      </c>
    </row>
    <row r="16" spans="1:7">
      <c r="C16" s="395">
        <f>C45*('Main Page'!B$13/2-'Main Page'!B$56/2) + 'Main Page'!B$56/2</f>
        <v>20.591666666666665</v>
      </c>
      <c r="D16" s="396">
        <f>(F41-F40)/($D41-$D40)*($C16-$D40)+F40</f>
        <v>2.2166666666666672</v>
      </c>
      <c r="E16">
        <f>(1/$C$6)*('Main Page'!B$13/2-'Main Page'!B$56/2)</f>
        <v>2.2166666666666668</v>
      </c>
      <c r="F16" s="396">
        <f t="shared" ref="F16:F18" si="3">(E$41-E$40)/(D$41-D$40)*(C16-D$40)+E$40</f>
        <v>1.9160731521463046</v>
      </c>
      <c r="G16">
        <f t="shared" ref="G16:G18" si="4">ROUND((G$41-G$40)/(D$41-D$40)*(C16-D$40)+G$40,0)</f>
        <v>3</v>
      </c>
    </row>
    <row r="17" spans="3:7">
      <c r="C17" s="395">
        <f>C46*('Main Page'!B$13/2-'Main Page'!B$56/2) + 'Main Page'!B$56/2</f>
        <v>22.808333333333334</v>
      </c>
      <c r="D17" s="396">
        <f>(F41-F40)/($D41-$D40)*($C17-$D40)+F40</f>
        <v>1.5833333333333335</v>
      </c>
      <c r="E17">
        <f>(1/$C$6)*('Main Page'!B$13/2-'Main Page'!B$56/2)</f>
        <v>2.2166666666666668</v>
      </c>
      <c r="F17" s="396">
        <f t="shared" si="3"/>
        <v>1.7506375412750828</v>
      </c>
      <c r="G17">
        <f t="shared" si="4"/>
        <v>3</v>
      </c>
    </row>
    <row r="18" spans="3:7">
      <c r="C18" s="395">
        <f>C47*('Main Page'!B$13/2-'Main Page'!B$56/2) + 'Main Page'!B$56/2</f>
        <v>25.024999999999999</v>
      </c>
      <c r="D18" s="396">
        <f>(F41-F40)/($D41-$D40)*($C18-$D40)+F40</f>
        <v>0.95000000000000062</v>
      </c>
      <c r="E18">
        <f>(1/$C$6)*('Main Page'!B$13/2-'Main Page'!B$56/2)</f>
        <v>2.2166666666666668</v>
      </c>
      <c r="F18" s="396">
        <f t="shared" si="3"/>
        <v>1.5852019304038611</v>
      </c>
      <c r="G18">
        <f t="shared" si="4"/>
        <v>3</v>
      </c>
    </row>
    <row r="19" spans="3:7">
      <c r="C19" s="395">
        <f>C48*('Main Page'!B$13/2-'Main Page'!B$56/2) + 'Main Page'!B$56/2</f>
        <v>27.241666666666667</v>
      </c>
      <c r="D19" s="396">
        <f>(F42-F41)/($D42-$D41)*($C19-$D41)+F41</f>
        <v>0.53199999999999992</v>
      </c>
      <c r="E19">
        <f>(1/$C$6)*('Main Page'!B$13/2-'Main Page'!B$56/2)</f>
        <v>2.2166666666666668</v>
      </c>
      <c r="F19" s="396">
        <f>(E$42-E$41)/(D$42-D$41)*(C19-D$41)+E$41</f>
        <v>1.4271645076623487</v>
      </c>
      <c r="G19">
        <f>ROUND((G$42-G$41)/(D$42-D$41)*(C19-D$41)+G$41,0)</f>
        <v>3</v>
      </c>
    </row>
    <row r="20" spans="3:7">
      <c r="C20" s="395">
        <f>C49*('Main Page'!B$13/2-'Main Page'!B$56/2) + 'Main Page'!B$56/2</f>
        <v>29.458333333333336</v>
      </c>
      <c r="D20" s="396">
        <f>(F42-F41)/($D42-$D41)*($C20-$D41)+F41</f>
        <v>0.37999999999999978</v>
      </c>
      <c r="E20">
        <f>(1/$C$6)*('Main Page'!B$13/2-'Main Page'!B$56/2)</f>
        <v>2.2166666666666668</v>
      </c>
      <c r="F20" s="396">
        <f t="shared" ref="F20:F22" si="5">(E$42-E$41)/(D$42-D$41)*(C20-D$41)+E$41</f>
        <v>1.2782660231987131</v>
      </c>
      <c r="G20">
        <f t="shared" ref="G20:G22" si="6">ROUND((G$42-G$41)/(D$42-D$41)*(C20-D$41)+G$41,0)</f>
        <v>3</v>
      </c>
    </row>
    <row r="21" spans="3:7">
      <c r="C21" s="395">
        <f>C50*('Main Page'!B$13/2-'Main Page'!B$56/2) + 'Main Page'!B$56/2</f>
        <v>31.675000000000001</v>
      </c>
      <c r="D21" s="396">
        <f>(F42-F41)/($D42-$D41)*($C21-$D41)+F41</f>
        <v>0.22799999999999992</v>
      </c>
      <c r="E21">
        <f>(1/$C$6)*('Main Page'!B$13/2-'Main Page'!B$56/2)</f>
        <v>2.2166666666666668</v>
      </c>
      <c r="F21" s="396">
        <f t="shared" si="5"/>
        <v>1.1293675387350777</v>
      </c>
      <c r="G21">
        <f t="shared" si="6"/>
        <v>4</v>
      </c>
    </row>
    <row r="22" spans="3:7">
      <c r="C22" s="395">
        <f>C51*('Main Page'!B$13/2-'Main Page'!B$56/2) + 'Main Page'!B$56/2</f>
        <v>33.891666666666666</v>
      </c>
      <c r="D22" s="396">
        <f>(F42-F41)/($D42-$D41)*($C22-$D41)+F41</f>
        <v>7.6000000000000068E-2</v>
      </c>
      <c r="E22">
        <f>(1/$C$6)*('Main Page'!B$13/2-'Main Page'!B$56/2)</f>
        <v>2.2166666666666668</v>
      </c>
      <c r="F22" s="396">
        <f t="shared" si="5"/>
        <v>0.98046905427144215</v>
      </c>
      <c r="G22">
        <f t="shared" si="6"/>
        <v>4</v>
      </c>
    </row>
    <row r="36" spans="2:7">
      <c r="B36" t="s">
        <v>448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97">
        <f>B37/C$6</f>
        <v>3.3333333333333333E-2</v>
      </c>
      <c r="D37" s="102">
        <f>GECbladedata!$B5*('Main Page'!B$13/2)</f>
        <v>1.75</v>
      </c>
      <c r="E37">
        <f>GECbladedata!$C5</f>
        <v>1.9250698501397006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97">
        <f t="shared" ref="C38:C51" si="7">B38/C$6</f>
        <v>0.1</v>
      </c>
      <c r="D38" s="102">
        <f>GECbladedata!$B6*('Main Page'!B$13/2)</f>
        <v>2.4500000000000002</v>
      </c>
      <c r="E38">
        <f>GECbladedata!$C6</f>
        <v>1.8895199390398785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97">
        <f t="shared" si="7"/>
        <v>0.16666666666666666</v>
      </c>
      <c r="D39" s="102">
        <f>GECbladedata!$B7*('Main Page'!B$13/2)</f>
        <v>8.75</v>
      </c>
      <c r="E39">
        <f>GECbladedata!$C7</f>
        <v>2.8001016002032006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97">
        <f t="shared" si="7"/>
        <v>0.23333333333333334</v>
      </c>
      <c r="D40" s="102">
        <f>GECbladedata!$B8*('Main Page'!B$13/2)</f>
        <v>17.5</v>
      </c>
      <c r="E40">
        <f>GECbladedata!$C8</f>
        <v>2.1468122936245875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97">
        <f t="shared" si="7"/>
        <v>0.3</v>
      </c>
      <c r="D41" s="102">
        <f>GECbladedata!$B9*('Main Page'!B$13/2)</f>
        <v>26.25</v>
      </c>
      <c r="E41">
        <f>GECbladedata!$C9</f>
        <v>1.4937769875539753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97">
        <f t="shared" si="7"/>
        <v>0.36666666666666664</v>
      </c>
      <c r="D42" s="102">
        <f>GECbladedata!$B10*('Main Page'!B$13/2)</f>
        <v>35</v>
      </c>
      <c r="E42">
        <f>GECbladedata!$C10</f>
        <v>0.90601981203962423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97">
        <f t="shared" si="7"/>
        <v>0.43333333333333335</v>
      </c>
    </row>
    <row r="44" spans="2:7">
      <c r="B44">
        <v>7.5</v>
      </c>
      <c r="C44" s="397">
        <f t="shared" si="7"/>
        <v>0.5</v>
      </c>
    </row>
    <row r="45" spans="2:7">
      <c r="B45">
        <v>8.5</v>
      </c>
      <c r="C45" s="397">
        <f t="shared" si="7"/>
        <v>0.56666666666666665</v>
      </c>
    </row>
    <row r="46" spans="2:7">
      <c r="B46">
        <v>9.5</v>
      </c>
      <c r="C46" s="397">
        <f t="shared" si="7"/>
        <v>0.6333333333333333</v>
      </c>
    </row>
    <row r="47" spans="2:7">
      <c r="B47">
        <v>10.5</v>
      </c>
      <c r="C47" s="397">
        <f t="shared" si="7"/>
        <v>0.7</v>
      </c>
    </row>
    <row r="48" spans="2:7">
      <c r="B48">
        <v>11.5</v>
      </c>
      <c r="C48" s="397">
        <f t="shared" si="7"/>
        <v>0.76666666666666672</v>
      </c>
    </row>
    <row r="49" spans="2:3">
      <c r="B49">
        <v>12.5</v>
      </c>
      <c r="C49" s="397">
        <f t="shared" si="7"/>
        <v>0.83333333333333337</v>
      </c>
    </row>
    <row r="50" spans="2:3">
      <c r="B50">
        <v>13.5</v>
      </c>
      <c r="C50" s="397">
        <f t="shared" si="7"/>
        <v>0.9</v>
      </c>
    </row>
    <row r="51" spans="2:3">
      <c r="B51">
        <v>14.5</v>
      </c>
      <c r="C51" s="39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3" sqref="B3:J27"/>
    </sheetView>
  </sheetViews>
  <sheetFormatPr defaultRowHeight="10"/>
  <cols>
    <col min="1" max="1" width="15.109375" customWidth="1"/>
    <col min="2" max="3" width="13.77734375" bestFit="1" customWidth="1"/>
    <col min="4" max="4" width="16.109375" bestFit="1" customWidth="1"/>
    <col min="5" max="5" width="17.44140625" bestFit="1" customWidth="1"/>
    <col min="6" max="7" width="16.33203125" bestFit="1" customWidth="1"/>
    <col min="8" max="8" width="12.33203125" bestFit="1" customWidth="1"/>
    <col min="9" max="9" width="13" bestFit="1" customWidth="1"/>
    <col min="10" max="10" width="11.6640625" bestFit="1" customWidth="1"/>
  </cols>
  <sheetData>
    <row r="1" spans="1:10">
      <c r="A1" t="s">
        <v>422</v>
      </c>
      <c r="B1" t="s">
        <v>423</v>
      </c>
      <c r="C1" t="s">
        <v>424</v>
      </c>
    </row>
    <row r="3" spans="1:10">
      <c r="A3" t="s">
        <v>85</v>
      </c>
      <c r="B3" t="s">
        <v>425</v>
      </c>
      <c r="C3" s="18">
        <f>'Main Page'!B13/2</f>
        <v>35</v>
      </c>
      <c r="D3" s="18"/>
      <c r="E3" s="18"/>
      <c r="F3" s="18"/>
      <c r="G3" s="18"/>
      <c r="H3" s="18"/>
      <c r="I3" s="18"/>
      <c r="J3" s="18"/>
    </row>
    <row r="4" spans="1:10">
      <c r="A4" t="s">
        <v>85</v>
      </c>
      <c r="B4" t="s">
        <v>426</v>
      </c>
      <c r="C4" s="18">
        <f>'Main Page'!B70/2</f>
        <v>0</v>
      </c>
      <c r="D4" s="18"/>
      <c r="E4" s="18"/>
      <c r="F4" s="18"/>
      <c r="G4" s="18"/>
      <c r="H4" s="18"/>
      <c r="I4" s="18"/>
      <c r="J4" s="18"/>
    </row>
    <row r="5" spans="1:10">
      <c r="A5" t="s">
        <v>386</v>
      </c>
      <c r="B5" t="s">
        <v>427</v>
      </c>
      <c r="C5" s="18">
        <f>'Main Page'!A165*100</f>
        <v>0</v>
      </c>
      <c r="D5" s="18">
        <f>'Main Page'!B165*100</f>
        <v>0</v>
      </c>
      <c r="E5" s="390">
        <f>'Main Page'!C165*100</f>
        <v>0</v>
      </c>
      <c r="F5" s="18"/>
      <c r="G5" s="18"/>
      <c r="H5" s="18"/>
      <c r="I5" s="18"/>
      <c r="J5" s="18"/>
    </row>
    <row r="6" spans="1:10">
      <c r="B6" t="s">
        <v>428</v>
      </c>
      <c r="C6" s="391" t="s">
        <v>429</v>
      </c>
      <c r="D6" s="391" t="s">
        <v>430</v>
      </c>
      <c r="E6" s="391" t="s">
        <v>431</v>
      </c>
      <c r="F6" s="391" t="s">
        <v>432</v>
      </c>
      <c r="G6" s="391" t="s">
        <v>433</v>
      </c>
      <c r="H6" s="391" t="s">
        <v>434</v>
      </c>
      <c r="I6" s="391" t="s">
        <v>435</v>
      </c>
      <c r="J6" s="391" t="s">
        <v>436</v>
      </c>
    </row>
    <row r="7" spans="1:10">
      <c r="C7" s="392">
        <f>GECbladedata!$C28</f>
        <v>0</v>
      </c>
      <c r="D7" s="392">
        <f>0.25+GECbladedata!$Q28/GECbladedata!$P28</f>
        <v>0.25</v>
      </c>
      <c r="E7" s="392">
        <f>GECbladedata!$K28</f>
        <v>11.1</v>
      </c>
      <c r="F7" s="392">
        <f>GECbladedata!$D28</f>
        <v>1447.6067650097025</v>
      </c>
      <c r="G7" s="393">
        <f>GECbladedata!$O28</f>
        <v>7681455580.9267292</v>
      </c>
      <c r="H7" s="394">
        <f>GECbladedata!$N28</f>
        <v>7681455580.9267292</v>
      </c>
      <c r="I7" s="394">
        <f>GECbladedata!$L28</f>
        <v>2655231266.008985</v>
      </c>
      <c r="J7" s="394">
        <f>GECbladedata!$M28</f>
        <v>17152702552.539173</v>
      </c>
    </row>
    <row r="8" spans="1:10">
      <c r="C8" s="392">
        <f>GECbladedata!$C29</f>
        <v>2.1052631578947371E-2</v>
      </c>
      <c r="D8" s="392">
        <f>0.25+GECbladedata!$Q29/GECbladedata!$P29</f>
        <v>0.25</v>
      </c>
      <c r="E8" s="392">
        <f>GECbladedata!$K29</f>
        <v>11.1</v>
      </c>
      <c r="F8" s="392">
        <f>GECbladedata!$D29</f>
        <v>175.09526752452746</v>
      </c>
      <c r="G8" s="393">
        <f>GECbladedata!$O29</f>
        <v>1135890133.898103</v>
      </c>
      <c r="H8" s="394">
        <f>GECbladedata!$N29</f>
        <v>1135890133.898103</v>
      </c>
      <c r="I8" s="394">
        <f>GECbladedata!$L29</f>
        <v>396922874.29357898</v>
      </c>
      <c r="J8" s="394">
        <f>GECbladedata!$M29</f>
        <v>2564102972.7290158</v>
      </c>
    </row>
    <row r="9" spans="1:10">
      <c r="C9" s="392">
        <f>GECbladedata!$C30</f>
        <v>5.2631578947368411E-2</v>
      </c>
      <c r="D9" s="392">
        <f>0.25+GECbladedata!$Q30/GECbladedata!$P30</f>
        <v>0.22942396389819822</v>
      </c>
      <c r="E9" s="392">
        <f>GECbladedata!$K30</f>
        <v>11.1</v>
      </c>
      <c r="F9" s="392">
        <f>GECbladedata!$D30</f>
        <v>177.06368875697348</v>
      </c>
      <c r="G9" s="393">
        <f>GECbladedata!$O30</f>
        <v>991868967.89679074</v>
      </c>
      <c r="H9" s="394">
        <f>GECbladedata!$N30</f>
        <v>1063797342.2559701</v>
      </c>
      <c r="I9" s="394">
        <f>GECbladedata!$L30</f>
        <v>333909521.38682187</v>
      </c>
      <c r="J9" s="394">
        <f>GECbladedata!$M30</f>
        <v>2543929754.0773292</v>
      </c>
    </row>
    <row r="10" spans="1:10">
      <c r="C10" s="392">
        <f>GECbladedata!$C31</f>
        <v>0.10526315789473684</v>
      </c>
      <c r="D10" s="392">
        <f>0.25+GECbladedata!$Q31/GECbladedata!$P31</f>
        <v>0.20117995551794043</v>
      </c>
      <c r="E10" s="392">
        <f>GECbladedata!$K31</f>
        <v>11.1</v>
      </c>
      <c r="F10" s="392">
        <f>GECbladedata!$D31</f>
        <v>180.34439081105018</v>
      </c>
      <c r="G10" s="393">
        <f>GECbladedata!$O31</f>
        <v>751833691.22793698</v>
      </c>
      <c r="H10" s="394">
        <f>GECbladedata!$N31</f>
        <v>943642689.51908183</v>
      </c>
      <c r="I10" s="394">
        <f>GECbladedata!$L31</f>
        <v>228887266.54222673</v>
      </c>
      <c r="J10" s="394">
        <f>GECbladedata!$M31</f>
        <v>2510307722.9911847</v>
      </c>
    </row>
    <row r="11" spans="1:10">
      <c r="C11" s="392">
        <f>GECbladedata!$C32</f>
        <v>0.15789473684210525</v>
      </c>
      <c r="D11" s="392">
        <f>0.25+GECbladedata!$Q32/GECbladedata!$P32</f>
        <v>0.178545343343645</v>
      </c>
      <c r="E11" s="392">
        <f>GECbladedata!$K32</f>
        <v>11.1</v>
      </c>
      <c r="F11" s="392">
        <f>GECbladedata!$D32</f>
        <v>183.6250928651269</v>
      </c>
      <c r="G11" s="393">
        <f>GECbladedata!$O32</f>
        <v>511798414.55908298</v>
      </c>
      <c r="H11" s="394">
        <f>GECbladedata!$N32</f>
        <v>823488036.78219366</v>
      </c>
      <c r="I11" s="394">
        <f>GECbladedata!$L32</f>
        <v>123865011.69763154</v>
      </c>
      <c r="J11" s="394">
        <f>GECbladedata!$M32</f>
        <v>2476685691.9050398</v>
      </c>
    </row>
    <row r="12" spans="1:10">
      <c r="C12" s="392">
        <f>GECbladedata!$C33</f>
        <v>0.21052631578947367</v>
      </c>
      <c r="D12" s="392">
        <f>0.25+GECbladedata!$Q33/GECbladedata!$P33</f>
        <v>0.15999999999999998</v>
      </c>
      <c r="E12" s="392">
        <f>GECbladedata!$K33</f>
        <v>11.1</v>
      </c>
      <c r="F12" s="392">
        <f>GECbladedata!$D33</f>
        <v>186.9057949192036</v>
      </c>
      <c r="G12" s="393">
        <f>GECbladedata!$O33</f>
        <v>271763137.89022917</v>
      </c>
      <c r="H12" s="394">
        <f>GECbladedata!$N33</f>
        <v>703333384.04530549</v>
      </c>
      <c r="I12" s="394">
        <f>GECbladedata!$L33</f>
        <v>18842756.85303637</v>
      </c>
      <c r="J12" s="394">
        <f>GECbladedata!$M33</f>
        <v>2443063660.8188953</v>
      </c>
    </row>
    <row r="13" spans="1:10">
      <c r="C13" s="392">
        <f>GECbladedata!$C34</f>
        <v>0.26315789473684209</v>
      </c>
      <c r="D13" s="392">
        <f>0.25+GECbladedata!$Q34/GECbladedata!$P34</f>
        <v>0.16482530258049782</v>
      </c>
      <c r="E13" s="392">
        <f>GECbladedata!$K34</f>
        <v>9.5</v>
      </c>
      <c r="F13" s="392">
        <f>GECbladedata!$D34</f>
        <v>177.14922865011621</v>
      </c>
      <c r="G13" s="393">
        <f>GECbladedata!$O34</f>
        <v>232457473.04013637</v>
      </c>
      <c r="H13" s="394">
        <f>GECbladedata!$N34</f>
        <v>613840725.91390061</v>
      </c>
      <c r="I13" s="394">
        <f>GECbladedata!$L34</f>
        <v>16769674.583370119</v>
      </c>
      <c r="J13" s="394">
        <f>GECbladedata!$M34</f>
        <v>2316361926.0390568</v>
      </c>
    </row>
    <row r="14" spans="1:10">
      <c r="C14" s="392">
        <f>GECbladedata!$C35</f>
        <v>0.31578947368421051</v>
      </c>
      <c r="D14" s="392">
        <f>0.25+GECbladedata!$Q35/GECbladedata!$P35</f>
        <v>0.17014727068993116</v>
      </c>
      <c r="E14" s="392">
        <f>GECbladedata!$K35</f>
        <v>7.9</v>
      </c>
      <c r="F14" s="392">
        <f>GECbladedata!$D35</f>
        <v>167.39266238102883</v>
      </c>
      <c r="G14" s="393">
        <f>GECbladedata!$O35</f>
        <v>193151808.19004357</v>
      </c>
      <c r="H14" s="394">
        <f>GECbladedata!$N35</f>
        <v>524348067.78249586</v>
      </c>
      <c r="I14" s="394">
        <f>GECbladedata!$L35</f>
        <v>14696592.313703869</v>
      </c>
      <c r="J14" s="394">
        <f>GECbladedata!$M35</f>
        <v>2189660191.2592182</v>
      </c>
    </row>
    <row r="15" spans="1:10">
      <c r="C15" s="392">
        <f>GECbladedata!$C36</f>
        <v>0.36842105263157893</v>
      </c>
      <c r="D15" s="392">
        <f>0.25+GECbladedata!$Q36/GECbladedata!$P36</f>
        <v>0.17604674710994853</v>
      </c>
      <c r="E15" s="392">
        <f>GECbladedata!$K36</f>
        <v>6.2999999999999989</v>
      </c>
      <c r="F15" s="392">
        <f>GECbladedata!$D36</f>
        <v>157.63609611194141</v>
      </c>
      <c r="G15" s="393">
        <f>GECbladedata!$O36</f>
        <v>153846143.33995068</v>
      </c>
      <c r="H15" s="394">
        <f>GECbladedata!$N36</f>
        <v>434855409.65109092</v>
      </c>
      <c r="I15" s="394">
        <f>GECbladedata!$L36</f>
        <v>12623510.044037616</v>
      </c>
      <c r="J15" s="394">
        <f>GECbladedata!$M36</f>
        <v>2062958456.4793797</v>
      </c>
    </row>
    <row r="16" spans="1:10">
      <c r="C16" s="392">
        <f>GECbladedata!$C37</f>
        <v>0.42105263157894735</v>
      </c>
      <c r="D16" s="392">
        <f>0.25+GECbladedata!$Q37/GECbladedata!$P37</f>
        <v>0.18262312633832978</v>
      </c>
      <c r="E16" s="392">
        <f>GECbladedata!$K37</f>
        <v>4.6999999999999993</v>
      </c>
      <c r="F16" s="392">
        <f>GECbladedata!$D37</f>
        <v>147.87952984285403</v>
      </c>
      <c r="G16" s="393">
        <f>GECbladedata!$O37</f>
        <v>114540478.48985788</v>
      </c>
      <c r="H16" s="394">
        <f>GECbladedata!$N37</f>
        <v>345362751.51968604</v>
      </c>
      <c r="I16" s="394">
        <f>GECbladedata!$L37</f>
        <v>10550427.774371365</v>
      </c>
      <c r="J16" s="394">
        <f>GECbladedata!$M37</f>
        <v>1936256721.6995411</v>
      </c>
    </row>
    <row r="17" spans="2:10">
      <c r="C17" s="392">
        <f>GECbladedata!$C38</f>
        <v>0.47368421052631576</v>
      </c>
      <c r="D17" s="392">
        <f>0.25+GECbladedata!$Q38/GECbladedata!$P38</f>
        <v>0.19</v>
      </c>
      <c r="E17" s="392">
        <f>GECbladedata!$K38</f>
        <v>3.1</v>
      </c>
      <c r="F17" s="392">
        <f>GECbladedata!$D38</f>
        <v>138.12296357376664</v>
      </c>
      <c r="G17" s="393">
        <f>GECbladedata!$O38</f>
        <v>75234813.639765084</v>
      </c>
      <c r="H17" s="394">
        <f>GECbladedata!$N38</f>
        <v>255870093.3882812</v>
      </c>
      <c r="I17" s="394">
        <f>GECbladedata!$L38</f>
        <v>8477345.5047051143</v>
      </c>
      <c r="J17" s="394">
        <f>GECbladedata!$M38</f>
        <v>1809554986.9197025</v>
      </c>
    </row>
    <row r="18" spans="2:10">
      <c r="C18" s="392">
        <f>GECbladedata!$C39</f>
        <v>0.52631578947368418</v>
      </c>
      <c r="D18" s="392">
        <f>0.25+GECbladedata!$Q39/GECbladedata!$P39</f>
        <v>0.19444531230315704</v>
      </c>
      <c r="E18" s="392">
        <f>GECbladedata!$K39</f>
        <v>2.5999999999999996</v>
      </c>
      <c r="F18" s="392">
        <f>GECbladedata!$D39</f>
        <v>122.89599194954269</v>
      </c>
      <c r="G18" s="393">
        <f>GECbladedata!$O39</f>
        <v>62494737.508431502</v>
      </c>
      <c r="H18" s="394">
        <f>GECbladedata!$N39</f>
        <v>217865844.56904829</v>
      </c>
      <c r="I18" s="394">
        <f>GECbladedata!$L39</f>
        <v>7117485.089523036</v>
      </c>
      <c r="J18" s="394">
        <f>GECbladedata!$M39</f>
        <v>1605306500.3754306</v>
      </c>
    </row>
    <row r="19" spans="2:10">
      <c r="C19" s="392">
        <f>GECbladedata!$C40</f>
        <v>0.57894736842105254</v>
      </c>
      <c r="D19" s="392">
        <f>0.25+GECbladedata!$Q40/GECbladedata!$P40</f>
        <v>0.199506438924511</v>
      </c>
      <c r="E19" s="392">
        <f>GECbladedata!$K40</f>
        <v>2.1000000000000005</v>
      </c>
      <c r="F19" s="392">
        <f>GECbladedata!$D40</f>
        <v>107.66902032531875</v>
      </c>
      <c r="G19" s="393">
        <f>GECbladedata!$O40</f>
        <v>49754661.377097949</v>
      </c>
      <c r="H19" s="394">
        <f>GECbladedata!$N40</f>
        <v>179861595.74981546</v>
      </c>
      <c r="I19" s="394">
        <f>GECbladedata!$L40</f>
        <v>5757624.6743409615</v>
      </c>
      <c r="J19" s="394">
        <f>GECbladedata!$M40</f>
        <v>1401058013.8311591</v>
      </c>
    </row>
    <row r="20" spans="2:10">
      <c r="B20" s="352"/>
      <c r="C20" s="392">
        <f>GECbladedata!$C41</f>
        <v>0.63157894736842102</v>
      </c>
      <c r="D20" s="392">
        <f>0.25+GECbladedata!$Q41/GECbladedata!$P41</f>
        <v>0.20532086722436099</v>
      </c>
      <c r="E20" s="392">
        <f>GECbladedata!$K41</f>
        <v>1.5999999999999999</v>
      </c>
      <c r="F20" s="392">
        <f>GECbladedata!$D41</f>
        <v>92.442048701094791</v>
      </c>
      <c r="G20" s="393">
        <f>GECbladedata!$O41</f>
        <v>37014585.245764367</v>
      </c>
      <c r="H20" s="394">
        <f>GECbladedata!$N41</f>
        <v>141857346.93058252</v>
      </c>
      <c r="I20" s="394">
        <f>GECbladedata!$L41</f>
        <v>4397764.2591588832</v>
      </c>
      <c r="J20" s="394">
        <f>GECbladedata!$M41</f>
        <v>1196809527.2868872</v>
      </c>
    </row>
    <row r="21" spans="2:10">
      <c r="B21" s="352"/>
      <c r="C21" s="392">
        <f>GECbladedata!$C42</f>
        <v>0.68421052631578938</v>
      </c>
      <c r="D21" s="392">
        <f>0.25+GECbladedata!$Q42/GECbladedata!$P42</f>
        <v>0.21207030272704525</v>
      </c>
      <c r="E21" s="392">
        <f>GECbladedata!$K42</f>
        <v>1.1000000000000005</v>
      </c>
      <c r="F21" s="392">
        <f>GECbladedata!$D42</f>
        <v>77.21507707687087</v>
      </c>
      <c r="G21" s="393">
        <f>GECbladedata!$O42</f>
        <v>24274509.114430815</v>
      </c>
      <c r="H21" s="394">
        <f>GECbladedata!$N42</f>
        <v>103853098.1113497</v>
      </c>
      <c r="I21" s="394">
        <f>GECbladedata!$L42</f>
        <v>3037903.8439768078</v>
      </c>
      <c r="J21" s="394">
        <f>GECbladedata!$M42</f>
        <v>992561040.74261582</v>
      </c>
    </row>
    <row r="22" spans="2:10">
      <c r="C22" s="392">
        <f>GECbladedata!$C43</f>
        <v>0.73684210526315785</v>
      </c>
      <c r="D22" s="392">
        <f>0.25+GECbladedata!$Q43/GECbladedata!$P43</f>
        <v>0.21999999999999997</v>
      </c>
      <c r="E22" s="392">
        <f>GECbladedata!$K43</f>
        <v>0.6</v>
      </c>
      <c r="F22" s="392">
        <f>GECbladedata!$D43</f>
        <v>61.988105452646913</v>
      </c>
      <c r="G22" s="393">
        <f>GECbladedata!$O43</f>
        <v>11534432.983097235</v>
      </c>
      <c r="H22" s="394">
        <f>GECbladedata!$N43</f>
        <v>65848849.292116806</v>
      </c>
      <c r="I22" s="394">
        <f>GECbladedata!$L43</f>
        <v>1678043.4287947295</v>
      </c>
      <c r="J22" s="394">
        <f>GECbladedata!$M43</f>
        <v>788312554.19834387</v>
      </c>
    </row>
    <row r="23" spans="2:10">
      <c r="C23" s="392">
        <f>GECbladedata!$C44</f>
        <v>0.78947368421052622</v>
      </c>
      <c r="D23" s="392">
        <f>0.25+GECbladedata!$Q44/GECbladedata!$P44</f>
        <v>0.22395002030194527</v>
      </c>
      <c r="E23" s="392">
        <f>GECbladedata!$K44</f>
        <v>0.47999999999999987</v>
      </c>
      <c r="F23" s="392">
        <f>GECbladedata!$D44</f>
        <v>51.861062495499205</v>
      </c>
      <c r="G23" s="393">
        <f>GECbladedata!$O44</f>
        <v>9273805.0162072163</v>
      </c>
      <c r="H23" s="394">
        <f>GECbladedata!$N44</f>
        <v>54253893.479183525</v>
      </c>
      <c r="I23" s="394">
        <f>GECbladedata!$L44</f>
        <v>1378321.3526189467</v>
      </c>
      <c r="J23" s="394">
        <f>GECbladedata!$M44</f>
        <v>654344501.53916144</v>
      </c>
    </row>
    <row r="24" spans="2:10">
      <c r="C24" s="392">
        <f>GECbladedata!$C45</f>
        <v>0.84210526315789458</v>
      </c>
      <c r="D24" s="392">
        <f>0.25+GECbladedata!$Q45/GECbladedata!$P45</f>
        <v>0.22863784961859787</v>
      </c>
      <c r="E24" s="392">
        <f>GECbladedata!$K45</f>
        <v>0.36000000000000004</v>
      </c>
      <c r="F24" s="392">
        <f>GECbladedata!$D45</f>
        <v>41.734019538351525</v>
      </c>
      <c r="G24" s="393">
        <f>GECbladedata!$O45</f>
        <v>7013177.0493172016</v>
      </c>
      <c r="H24" s="394">
        <f>GECbladedata!$N45</f>
        <v>42658937.666250259</v>
      </c>
      <c r="I24" s="394">
        <f>GECbladedata!$L45</f>
        <v>1078599.2764431648</v>
      </c>
      <c r="J24" s="394">
        <f>GECbladedata!$M45</f>
        <v>520376448.87997925</v>
      </c>
    </row>
    <row r="25" spans="2:10">
      <c r="C25" s="392">
        <f>GECbladedata!$C46</f>
        <v>0.89473684210526305</v>
      </c>
      <c r="D25" s="392">
        <f>0.25+GECbladedata!$Q46/GECbladedata!$P46</f>
        <v>0.23429150158037659</v>
      </c>
      <c r="E25" s="392">
        <f>GECbladedata!$K46</f>
        <v>0.23999999999999994</v>
      </c>
      <c r="F25" s="392">
        <f>GECbladedata!$D46</f>
        <v>31.606976581203817</v>
      </c>
      <c r="G25" s="393">
        <f>GECbladedata!$O46</f>
        <v>4752549.0824271832</v>
      </c>
      <c r="H25" s="394">
        <f>GECbladedata!$N46</f>
        <v>31063981.853316978</v>
      </c>
      <c r="I25" s="394">
        <f>GECbladedata!$L46</f>
        <v>778877.20026738197</v>
      </c>
      <c r="J25" s="394">
        <f>GECbladedata!$M46</f>
        <v>386408396.22079682</v>
      </c>
    </row>
    <row r="26" spans="2:10">
      <c r="C26" s="392">
        <f>GECbladedata!$C47</f>
        <v>0.94736842105263142</v>
      </c>
      <c r="D26" s="392">
        <f>0.25+GECbladedata!$Q47/GECbladedata!$P47</f>
        <v>0.24124373418035633</v>
      </c>
      <c r="E26" s="392">
        <f>GECbladedata!$K47</f>
        <v>0.12000000000000011</v>
      </c>
      <c r="F26" s="392">
        <f>GECbladedata!$D47</f>
        <v>21.479933624056137</v>
      </c>
      <c r="G26" s="393">
        <f>GECbladedata!$O47</f>
        <v>2491921.1155371685</v>
      </c>
      <c r="H26" s="394">
        <f>GECbladedata!$N47</f>
        <v>19469026.040383719</v>
      </c>
      <c r="I26" s="394">
        <f>GECbladedata!$L47</f>
        <v>479155.12409160007</v>
      </c>
      <c r="J26" s="394">
        <f>GECbladedata!$M47</f>
        <v>252440343.56161463</v>
      </c>
    </row>
    <row r="27" spans="2:10">
      <c r="C27" s="392">
        <f>GECbladedata!$C48</f>
        <v>0.99999999999999989</v>
      </c>
      <c r="D27" s="392">
        <f>0.25+GECbladedata!$Q48/GECbladedata!$P48</f>
        <v>0.25</v>
      </c>
      <c r="E27" s="392">
        <f>GECbladedata!$K48</f>
        <v>0</v>
      </c>
      <c r="F27" s="392">
        <f>GECbladedata!$D48</f>
        <v>11.352890666908433</v>
      </c>
      <c r="G27" s="393">
        <f>GECbladedata!$O48</f>
        <v>231293.14864714985</v>
      </c>
      <c r="H27" s="394">
        <f>GECbladedata!$N48</f>
        <v>7874070.2274504323</v>
      </c>
      <c r="I27" s="394">
        <f>GECbladedata!$L48</f>
        <v>179433.04791581735</v>
      </c>
      <c r="J27" s="394">
        <f>GECbladedata!$M48</f>
        <v>118472290.90243222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D29" sqref="D29"/>
    </sheetView>
  </sheetViews>
  <sheetFormatPr defaultRowHeight="10"/>
  <cols>
    <col min="2" max="2" width="13.77734375" bestFit="1" customWidth="1"/>
    <col min="3" max="3" width="12.6640625" bestFit="1" customWidth="1"/>
    <col min="11" max="11" width="12.6640625" bestFit="1" customWidth="1"/>
  </cols>
  <sheetData>
    <row r="2" spans="1:14">
      <c r="A2" t="s">
        <v>422</v>
      </c>
      <c r="B2" t="s">
        <v>423</v>
      </c>
      <c r="C2" t="s">
        <v>424</v>
      </c>
    </row>
    <row r="3" spans="1:14">
      <c r="K3" s="396"/>
      <c r="L3" s="356"/>
      <c r="M3" s="356"/>
      <c r="N3" s="352"/>
    </row>
    <row r="4" spans="1:14">
      <c r="A4" t="s">
        <v>395</v>
      </c>
      <c r="B4" t="s">
        <v>490</v>
      </c>
      <c r="C4" s="101">
        <f>'Main Page'!B87</f>
        <v>1800</v>
      </c>
      <c r="K4" s="396"/>
      <c r="L4" s="356"/>
      <c r="M4" s="356"/>
      <c r="N4" s="352"/>
    </row>
    <row r="5" spans="1:14">
      <c r="A5" t="s">
        <v>512</v>
      </c>
      <c r="B5" t="s">
        <v>491</v>
      </c>
      <c r="C5" s="397">
        <f>'Main Page'!$B$31</f>
        <v>8376.5759522050193</v>
      </c>
      <c r="K5" s="396"/>
    </row>
    <row r="6" spans="1:14">
      <c r="A6" t="s">
        <v>492</v>
      </c>
      <c r="B6" t="s">
        <v>493</v>
      </c>
      <c r="C6" s="395">
        <f>'Main Page'!B43</f>
        <v>2.5853629482114255E-3</v>
      </c>
      <c r="K6" s="396"/>
    </row>
    <row r="7" spans="1:14">
      <c r="A7" t="s">
        <v>464</v>
      </c>
      <c r="B7" t="s">
        <v>494</v>
      </c>
      <c r="C7" s="395">
        <v>2.6</v>
      </c>
      <c r="K7" s="396"/>
    </row>
    <row r="8" spans="1:14">
      <c r="A8" t="s">
        <v>395</v>
      </c>
      <c r="B8" t="s">
        <v>495</v>
      </c>
      <c r="C8">
        <f>'Main Page'!$B$29</f>
        <v>20.462778397529398</v>
      </c>
      <c r="E8" t="s">
        <v>496</v>
      </c>
      <c r="K8" s="396"/>
    </row>
    <row r="9" spans="1:14">
      <c r="A9" t="s">
        <v>464</v>
      </c>
      <c r="B9" t="s">
        <v>497</v>
      </c>
      <c r="C9" s="102">
        <f>'Main Page'!$B$34</f>
        <v>2.6</v>
      </c>
      <c r="E9" t="s">
        <v>498</v>
      </c>
      <c r="K9" s="396"/>
    </row>
    <row r="10" spans="1:14">
      <c r="A10" t="s">
        <v>464</v>
      </c>
      <c r="B10" t="s">
        <v>499</v>
      </c>
      <c r="C10" s="102">
        <f>'Main Page'!$B$35</f>
        <v>90</v>
      </c>
      <c r="E10" t="s">
        <v>500</v>
      </c>
      <c r="K10" s="396"/>
    </row>
    <row r="11" spans="1:14">
      <c r="A11" t="s">
        <v>438</v>
      </c>
      <c r="B11" t="s">
        <v>501</v>
      </c>
      <c r="C11">
        <f>'Main Page'!$B$40</f>
        <v>2.5000000000000001E-2</v>
      </c>
      <c r="E11" t="s">
        <v>502</v>
      </c>
      <c r="K11" s="396"/>
    </row>
    <row r="12" spans="1:14">
      <c r="A12" t="s">
        <v>503</v>
      </c>
      <c r="B12" t="s">
        <v>504</v>
      </c>
      <c r="C12">
        <f>'Main Page'!$B$37*PI()/180</f>
        <v>4.5378560551852569E-2</v>
      </c>
      <c r="E12" t="s">
        <v>505</v>
      </c>
      <c r="K12" s="396"/>
    </row>
    <row r="13" spans="1:14">
      <c r="A13" t="s">
        <v>503</v>
      </c>
      <c r="B13" t="s">
        <v>506</v>
      </c>
      <c r="C13">
        <f>'Main Page'!$B$38*PI()/180</f>
        <v>0.52359877559829882</v>
      </c>
      <c r="E13" t="s">
        <v>507</v>
      </c>
      <c r="K13" s="396"/>
    </row>
    <row r="14" spans="1:14">
      <c r="A14" t="s">
        <v>440</v>
      </c>
      <c r="B14" t="s">
        <v>508</v>
      </c>
      <c r="C14">
        <f>1/C12^C15</f>
        <v>0.21302244142778143</v>
      </c>
      <c r="E14" t="s">
        <v>509</v>
      </c>
      <c r="K14" s="396"/>
    </row>
    <row r="15" spans="1:14">
      <c r="A15" t="s">
        <v>440</v>
      </c>
      <c r="B15" t="s">
        <v>510</v>
      </c>
      <c r="C15">
        <f>'Main Page'!$B$39</f>
        <v>-0.5</v>
      </c>
      <c r="E15" t="s">
        <v>511</v>
      </c>
      <c r="K15" s="396"/>
    </row>
    <row r="16" spans="1:14">
      <c r="K16" s="396"/>
    </row>
    <row r="17" spans="11:11">
      <c r="K17" s="102"/>
    </row>
    <row r="19" spans="11:11">
      <c r="K19" s="397"/>
    </row>
    <row r="20" spans="11:11">
      <c r="K20" s="102"/>
    </row>
    <row r="21" spans="11:11">
      <c r="K21" s="102"/>
    </row>
    <row r="22" spans="11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I6" sqref="I6"/>
    </sheetView>
  </sheetViews>
  <sheetFormatPr defaultRowHeight="10"/>
  <cols>
    <col min="1" max="1" width="10.33203125" bestFit="1" customWidth="1"/>
    <col min="2" max="2" width="12.109375" customWidth="1"/>
    <col min="3" max="3" width="13.77734375" bestFit="1" customWidth="1"/>
    <col min="9" max="9" width="13.77734375" bestFit="1" customWidth="1"/>
  </cols>
  <sheetData>
    <row r="1" spans="1:13">
      <c r="A1" t="s">
        <v>422</v>
      </c>
      <c r="B1" t="s">
        <v>423</v>
      </c>
      <c r="C1" t="s">
        <v>424</v>
      </c>
    </row>
    <row r="3" spans="1:13">
      <c r="A3" t="s">
        <v>85</v>
      </c>
      <c r="B3" t="s">
        <v>458</v>
      </c>
      <c r="C3" s="397">
        <f>'Main Page'!B61</f>
        <v>-3.3</v>
      </c>
    </row>
    <row r="4" spans="1:13">
      <c r="A4" t="s">
        <v>85</v>
      </c>
      <c r="B4" t="s">
        <v>459</v>
      </c>
      <c r="C4" s="397">
        <f>('Main Page'!B5*'Main Page'!E5+'Main Page'!B6*'Main Page'!E6+'Main Page'!B7*'Main Page'!E7)/C11</f>
        <v>-0.16805247318887553</v>
      </c>
      <c r="I4" s="102"/>
    </row>
    <row r="5" spans="1:13">
      <c r="A5" t="s">
        <v>85</v>
      </c>
      <c r="B5" t="s">
        <v>460</v>
      </c>
      <c r="C5" s="397">
        <f>('Main Page'!C5*'Main Page'!E5+'Main Page'!C6*'Main Page'!E6+'Main Page'!C7*'Main Page'!E7)/C11</f>
        <v>0</v>
      </c>
    </row>
    <row r="6" spans="1:13">
      <c r="A6" t="s">
        <v>85</v>
      </c>
      <c r="B6" t="s">
        <v>461</v>
      </c>
      <c r="C6" s="397">
        <f>('Main Page'!D5*'Main Page'!E5+'Main Page'!D6*'Main Page'!E6+'Main Page'!D7*'Main Page'!E7)/C11+'Main Page'!B46</f>
        <v>1.3845180373045847</v>
      </c>
      <c r="I6" s="103"/>
      <c r="J6" s="103"/>
      <c r="K6" s="103"/>
    </row>
    <row r="7" spans="1:13">
      <c r="A7" t="s">
        <v>85</v>
      </c>
      <c r="B7" t="s">
        <v>462</v>
      </c>
      <c r="C7" s="397">
        <f>'Main Page'!B9-'Main Page'!B46</f>
        <v>82.39</v>
      </c>
      <c r="I7" s="103"/>
      <c r="J7" s="103"/>
      <c r="K7" s="103"/>
    </row>
    <row r="8" spans="1:13">
      <c r="A8" t="s">
        <v>85</v>
      </c>
      <c r="B8" t="s">
        <v>463</v>
      </c>
      <c r="C8" s="397">
        <f>'Main Page'!B46</f>
        <v>1.61</v>
      </c>
      <c r="I8" s="103"/>
      <c r="J8" s="103"/>
      <c r="K8" s="103"/>
    </row>
    <row r="9" spans="1:13">
      <c r="A9" t="s">
        <v>464</v>
      </c>
      <c r="B9" t="s">
        <v>465</v>
      </c>
      <c r="C9" s="397">
        <f>-'Main Page'!B11</f>
        <v>-5</v>
      </c>
      <c r="I9" s="103"/>
    </row>
    <row r="10" spans="1:13">
      <c r="A10" t="s">
        <v>464</v>
      </c>
      <c r="B10" t="s">
        <v>466</v>
      </c>
      <c r="C10" s="397">
        <f>-'Main Page'!B18</f>
        <v>0</v>
      </c>
      <c r="I10" s="103"/>
      <c r="M10" s="352"/>
    </row>
    <row r="11" spans="1:13">
      <c r="A11" t="s">
        <v>117</v>
      </c>
      <c r="B11" t="s">
        <v>467</v>
      </c>
      <c r="C11" s="397">
        <f>SUM('Main Page'!E5+'Main Page'!E6+'Main Page'!E7)</f>
        <v>52838.90825962169</v>
      </c>
      <c r="I11" s="103"/>
      <c r="M11" s="352"/>
    </row>
    <row r="12" spans="1:13">
      <c r="A12" t="s">
        <v>117</v>
      </c>
      <c r="B12" t="s">
        <v>468</v>
      </c>
      <c r="C12" s="397">
        <f>'Main Page'!E8</f>
        <v>19186.870177541427</v>
      </c>
      <c r="I12" s="103"/>
      <c r="M12" s="352"/>
    </row>
    <row r="13" spans="1:13">
      <c r="A13" t="s">
        <v>469</v>
      </c>
      <c r="B13" t="s">
        <v>470</v>
      </c>
      <c r="C13" s="397">
        <f>SUM('Main Page'!H5:H7)</f>
        <v>45376.990833681382</v>
      </c>
      <c r="I13" s="103"/>
    </row>
    <row r="14" spans="1:13">
      <c r="A14" t="s">
        <v>469</v>
      </c>
      <c r="B14" t="s">
        <v>471</v>
      </c>
      <c r="C14" s="397">
        <f>SUM(GECdrivetrain!M11:'GECdrivetrain'!M12)/('Main Page'!$B$88)^2</f>
        <v>56.442477248189412</v>
      </c>
      <c r="I14" s="103"/>
    </row>
    <row r="15" spans="1:13">
      <c r="A15" t="s">
        <v>469</v>
      </c>
      <c r="B15" t="s">
        <v>472</v>
      </c>
      <c r="C15" s="397">
        <f>GECdrivetrain!M5</f>
        <v>29975.370571214964</v>
      </c>
    </row>
    <row r="16" spans="1:13">
      <c r="A16" t="s">
        <v>440</v>
      </c>
      <c r="B16" t="s">
        <v>473</v>
      </c>
      <c r="C16" s="403">
        <f>'Main Page'!B19*100</f>
        <v>95</v>
      </c>
    </row>
    <row r="17" spans="1:13">
      <c r="A17" t="s">
        <v>440</v>
      </c>
      <c r="B17" t="s">
        <v>474</v>
      </c>
      <c r="C17">
        <f>'Main Page'!$B$88</f>
        <v>87.964594300514221</v>
      </c>
    </row>
    <row r="18" spans="1:13">
      <c r="A18" t="s">
        <v>475</v>
      </c>
      <c r="B18" t="s">
        <v>476</v>
      </c>
      <c r="C18" s="348">
        <f>'Main Page'!B14</f>
        <v>483129639.71309441</v>
      </c>
      <c r="I18" s="103"/>
    </row>
    <row r="19" spans="1:13">
      <c r="A19" t="s">
        <v>477</v>
      </c>
      <c r="B19" t="s">
        <v>478</v>
      </c>
      <c r="C19" s="348">
        <f>2*'Main Page'!B15/100*SQRT(C18*'Main Page'!B16*C14*C17^2/('Main Page'!B16+C14*C17^2))</f>
        <v>1355794.0774545206</v>
      </c>
      <c r="I19" s="103"/>
    </row>
    <row r="20" spans="1:13">
      <c r="A20" t="s">
        <v>479</v>
      </c>
      <c r="B20" t="s">
        <v>480</v>
      </c>
      <c r="C20" s="332">
        <f>'Main Page'!B92*1000</f>
        <v>1500000</v>
      </c>
      <c r="M20" s="352"/>
    </row>
    <row r="21" spans="1:13">
      <c r="I21" s="103"/>
      <c r="M21" s="352"/>
    </row>
    <row r="22" spans="1:13">
      <c r="I22" s="103"/>
      <c r="M22" s="3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C2" workbookViewId="0">
      <selection activeCell="D17" sqref="D17"/>
    </sheetView>
  </sheetViews>
  <sheetFormatPr defaultRowHeight="10"/>
  <cols>
    <col min="2" max="2" width="13.6640625" bestFit="1" customWidth="1"/>
    <col min="3" max="8" width="15.77734375" customWidth="1"/>
  </cols>
  <sheetData>
    <row r="1" spans="1:14">
      <c r="A1" t="s">
        <v>422</v>
      </c>
      <c r="B1" t="s">
        <v>423</v>
      </c>
      <c r="C1" t="s">
        <v>424</v>
      </c>
    </row>
    <row r="3" spans="1:14">
      <c r="A3" t="s">
        <v>386</v>
      </c>
      <c r="B3" t="s">
        <v>481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482</v>
      </c>
      <c r="C4" t="s">
        <v>483</v>
      </c>
      <c r="D4" t="s">
        <v>484</v>
      </c>
      <c r="E4" t="s">
        <v>485</v>
      </c>
      <c r="F4" t="s">
        <v>486</v>
      </c>
      <c r="G4" t="s">
        <v>487</v>
      </c>
      <c r="H4" t="s">
        <v>488</v>
      </c>
    </row>
    <row r="5" spans="1:14">
      <c r="C5" s="396">
        <f>GECtwrdata!$B15/9</f>
        <v>0</v>
      </c>
      <c r="D5">
        <f>GECtwrdata!$G15</f>
        <v>2549.9967909929578</v>
      </c>
      <c r="E5" s="400">
        <f>GECtwrdata!$N15</f>
        <v>248017961443.11847</v>
      </c>
      <c r="F5" s="400">
        <f>GECtwrdata!$N15</f>
        <v>248017961443.11847</v>
      </c>
      <c r="G5" s="400">
        <f>GECtwrdata!$K15</f>
        <v>190783047263.93729</v>
      </c>
      <c r="H5" s="400">
        <f>GECtwrdata!$H15</f>
        <v>61874353436.286514</v>
      </c>
      <c r="N5" s="352"/>
    </row>
    <row r="6" spans="1:14">
      <c r="C6" s="396">
        <f>GECtwrdata!$B16/9</f>
        <v>0.1111111111111111</v>
      </c>
      <c r="D6">
        <f>GECtwrdata!$G16</f>
        <v>2285.8940826504545</v>
      </c>
      <c r="E6" s="400">
        <f>GECtwrdata!$N16</f>
        <v>196124484340.01657</v>
      </c>
      <c r="F6" s="400">
        <f>GECtwrdata!$N16</f>
        <v>196124484340.01657</v>
      </c>
      <c r="G6" s="400">
        <f>GECtwrdata!$K16</f>
        <v>150864987953.85889</v>
      </c>
      <c r="H6" s="400">
        <f>GECtwrdata!$H16</f>
        <v>55466037795.582756</v>
      </c>
      <c r="N6" s="352"/>
    </row>
    <row r="7" spans="1:14">
      <c r="C7" s="396">
        <f>GECtwrdata!$B17/9</f>
        <v>0.22222222222222221</v>
      </c>
      <c r="D7">
        <f>GECtwrdata!$G17</f>
        <v>2035.9133906776767</v>
      </c>
      <c r="E7" s="400">
        <f>GECtwrdata!$N17</f>
        <v>152799439475.66925</v>
      </c>
      <c r="F7" s="400">
        <f>GECtwrdata!$N17</f>
        <v>152799439475.66925</v>
      </c>
      <c r="G7" s="400">
        <f>GECtwrdata!$K17</f>
        <v>117538030365.89941</v>
      </c>
      <c r="H7" s="400">
        <f>GECtwrdata!$H17</f>
        <v>49400385579.076172</v>
      </c>
      <c r="N7" s="352"/>
    </row>
    <row r="8" spans="1:14">
      <c r="C8" s="396">
        <f>GECtwrdata!$B18/9</f>
        <v>0.33333333333333331</v>
      </c>
      <c r="D8">
        <f>GECtwrdata!$G18</f>
        <v>1800.0547150746263</v>
      </c>
      <c r="E8" s="400">
        <f>GECtwrdata!$N18</f>
        <v>117048609933.02327</v>
      </c>
      <c r="F8" s="400">
        <f>GECtwrdata!$N18</f>
        <v>117048609933.02327</v>
      </c>
      <c r="G8" s="400">
        <f>GECtwrdata!$K18</f>
        <v>90037392256.171738</v>
      </c>
      <c r="H8" s="400">
        <f>GECtwrdata!$H18</f>
        <v>43677396786.766785</v>
      </c>
      <c r="N8" s="352"/>
    </row>
    <row r="9" spans="1:14">
      <c r="C9" s="396">
        <f>GECtwrdata!$B19/9</f>
        <v>0.44444444444444442</v>
      </c>
      <c r="D9">
        <f>GECtwrdata!$G19</f>
        <v>1578.3180558413023</v>
      </c>
      <c r="E9" s="400">
        <f>GECtwrdata!$N19</f>
        <v>87938673669.764404</v>
      </c>
      <c r="F9" s="400">
        <f>GECtwrdata!$N19</f>
        <v>87938673669.764404</v>
      </c>
      <c r="G9" s="400">
        <f>GECtwrdata!$K19</f>
        <v>67645133592.126465</v>
      </c>
      <c r="H9" s="400">
        <f>GECtwrdata!$H19</f>
        <v>38297071418.654587</v>
      </c>
      <c r="N9" s="352"/>
    </row>
    <row r="10" spans="1:14">
      <c r="C10" s="396">
        <f>GECtwrdata!$B20/9</f>
        <v>0.55555555555555558</v>
      </c>
      <c r="D10">
        <f>GECtwrdata!$G20</f>
        <v>1370.7034129777046</v>
      </c>
      <c r="E10" s="400">
        <f>GECtwrdata!$N20</f>
        <v>64597203518.317947</v>
      </c>
      <c r="F10" s="400">
        <f>GECtwrdata!$N20</f>
        <v>64597203518.317947</v>
      </c>
      <c r="G10" s="400">
        <f>GECtwrdata!$K20</f>
        <v>49690156552.552261</v>
      </c>
      <c r="H10" s="400">
        <f>GECtwrdata!$H20</f>
        <v>33259409474.739571</v>
      </c>
      <c r="N10" s="352"/>
    </row>
    <row r="11" spans="1:14">
      <c r="C11" s="396">
        <f>GECtwrdata!$B21/9</f>
        <v>0.66666666666666663</v>
      </c>
      <c r="D11">
        <f>GECtwrdata!$G21</f>
        <v>1177.2107864838345</v>
      </c>
      <c r="E11" s="400">
        <f>GECtwrdata!$N21</f>
        <v>46212667185.848305</v>
      </c>
      <c r="F11" s="400">
        <f>GECtwrdata!$N21</f>
        <v>46212667185.848305</v>
      </c>
      <c r="G11" s="400">
        <f>GECtwrdata!$K21</f>
        <v>35548205527.575615</v>
      </c>
      <c r="H11" s="400">
        <f>GECtwrdata!$H21</f>
        <v>28564410955.021763</v>
      </c>
      <c r="N11" s="352"/>
    </row>
    <row r="12" spans="1:14">
      <c r="C12" s="396">
        <f>GECtwrdata!$B22/9</f>
        <v>0.77777777777777779</v>
      </c>
      <c r="D12">
        <f>GECtwrdata!$G22</f>
        <v>997.84017635969042</v>
      </c>
      <c r="E12" s="400">
        <f>GECtwrdata!$N22</f>
        <v>32034427254.259068</v>
      </c>
      <c r="F12" s="400">
        <f>GECtwrdata!$N22</f>
        <v>32034427254.259068</v>
      </c>
      <c r="G12" s="400">
        <f>GECtwrdata!$K22</f>
        <v>24641867118.66082</v>
      </c>
      <c r="H12" s="400">
        <f>GECtwrdata!$H22</f>
        <v>24212075859.501129</v>
      </c>
      <c r="N12" s="352"/>
    </row>
    <row r="13" spans="1:14">
      <c r="C13" s="396">
        <f>GECtwrdata!$B23/9</f>
        <v>0.88888888888888884</v>
      </c>
      <c r="D13">
        <f>GECtwrdata!$G23</f>
        <v>832.5915826052734</v>
      </c>
      <c r="E13" s="400">
        <f>GECtwrdata!$N23</f>
        <v>21372741180.19326</v>
      </c>
      <c r="F13" s="400">
        <f>GECtwrdata!$N23</f>
        <v>21372741180.19326</v>
      </c>
      <c r="G13" s="400">
        <f>GECtwrdata!$K23</f>
        <v>16440570138.610201</v>
      </c>
      <c r="H13" s="400">
        <f>GECtwrdata!$H23</f>
        <v>20202404188.177696</v>
      </c>
      <c r="N13" s="352"/>
    </row>
    <row r="14" spans="1:14">
      <c r="C14" s="396">
        <f>GECtwrdata!$B24/9</f>
        <v>1</v>
      </c>
      <c r="D14">
        <f>GECtwrdata!$G24</f>
        <v>681.46500522058295</v>
      </c>
      <c r="E14" s="400">
        <f>GECtwrdata!$N24</f>
        <v>13598761295.033031</v>
      </c>
      <c r="F14" s="400">
        <f>GECtwrdata!$N24</f>
        <v>13598761295.033031</v>
      </c>
      <c r="G14" s="400">
        <f>GECtwrdata!$K24</f>
        <v>10460585611.563871</v>
      </c>
      <c r="H14" s="400">
        <f>GECtwrdata!$H24</f>
        <v>16535395941.051451</v>
      </c>
      <c r="I14" s="356"/>
      <c r="J14" s="356"/>
      <c r="K14" s="356"/>
      <c r="L14" s="356"/>
      <c r="N14" s="352"/>
    </row>
    <row r="15" spans="1:14">
      <c r="N15" s="3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0"/>
  <cols>
    <col min="1" max="1" width="15.109375" style="17" customWidth="1"/>
    <col min="2" max="2" width="13.10937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09375" customWidth="1"/>
    <col min="8" max="8" width="11.6640625" customWidth="1"/>
    <col min="9" max="9" width="12" customWidth="1"/>
    <col min="10" max="11" width="12.44140625" customWidth="1"/>
  </cols>
  <sheetData>
    <row r="1" spans="1:11" ht="13.5" thickBot="1">
      <c r="A1" s="55" t="s">
        <v>55</v>
      </c>
    </row>
    <row r="2" spans="1:11" ht="11" thickBot="1">
      <c r="A2" s="418" t="s">
        <v>84</v>
      </c>
      <c r="B2" s="419"/>
      <c r="C2" s="419"/>
      <c r="D2" s="420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1" thickBot="1">
      <c r="A4" s="363">
        <v>3.4349999999999999E-2</v>
      </c>
      <c r="B4" s="364">
        <v>3.4349999999999999E-2</v>
      </c>
      <c r="C4" s="364">
        <v>3.4349999999999999E-2</v>
      </c>
      <c r="D4" s="365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5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0.5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0.5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0.5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0.5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0.5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0.5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0.5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0.5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0.5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0.5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0"/>
  <cols>
    <col min="1" max="1" width="9.77734375" customWidth="1"/>
    <col min="2" max="2" width="10.44140625" customWidth="1"/>
    <col min="3" max="3" width="11.33203125" customWidth="1"/>
    <col min="4" max="4" width="8" customWidth="1"/>
    <col min="5" max="5" width="7.44140625" customWidth="1"/>
    <col min="6" max="6" width="10.44140625" customWidth="1"/>
    <col min="7" max="7" width="10.109375" customWidth="1"/>
    <col min="8" max="8" width="10.33203125" customWidth="1"/>
    <col min="9" max="9" width="10.109375" customWidth="1"/>
    <col min="11" max="11" width="11" customWidth="1"/>
    <col min="12" max="12" width="11.44140625" customWidth="1"/>
    <col min="13" max="13" width="12.33203125" customWidth="1"/>
    <col min="14" max="14" width="11.6640625" customWidth="1"/>
    <col min="15" max="15" width="7.33203125" customWidth="1"/>
    <col min="16" max="16" width="10.44140625" customWidth="1"/>
    <col min="17" max="17" width="15.44140625" customWidth="1"/>
  </cols>
  <sheetData>
    <row r="1" spans="1:20" ht="15.65" customHeight="1" thickBot="1">
      <c r="A1" s="55" t="s">
        <v>64</v>
      </c>
      <c r="B1" s="57"/>
    </row>
    <row r="2" spans="1:20" ht="20.5" thickBot="1">
      <c r="A2" s="96" t="s">
        <v>56</v>
      </c>
      <c r="B2" s="97">
        <f>GECbladedata!D12-B3</f>
        <v>33.25</v>
      </c>
      <c r="D2" s="404" t="s">
        <v>84</v>
      </c>
      <c r="E2" s="406"/>
      <c r="F2" s="407"/>
    </row>
    <row r="3" spans="1:20" ht="20.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1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 ht="10.5">
      <c r="A5" s="2"/>
      <c r="B5" s="3"/>
      <c r="F5" s="4"/>
      <c r="G5" s="1"/>
      <c r="H5" s="1"/>
      <c r="I5" s="1"/>
      <c r="J5" s="1"/>
      <c r="K5" s="1"/>
    </row>
    <row r="6" spans="1:20" ht="13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 ht="10.5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 ht="10.5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0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 t="s">
        <v>405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 ht="10.5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2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0"/>
  <cols>
    <col min="3" max="3" width="10.6640625" customWidth="1"/>
    <col min="4" max="4" width="11" customWidth="1"/>
    <col min="5" max="5" width="12.109375" customWidth="1"/>
    <col min="6" max="6" width="14.33203125" customWidth="1"/>
    <col min="7" max="7" width="11.109375" customWidth="1"/>
    <col min="8" max="8" width="13" customWidth="1"/>
    <col min="9" max="9" width="12.6640625" customWidth="1"/>
    <col min="10" max="10" width="11.44140625" customWidth="1"/>
    <col min="11" max="11" width="11.6640625" customWidth="1"/>
    <col min="12" max="12" width="10.77734375" customWidth="1"/>
    <col min="13" max="13" width="10.33203125" customWidth="1"/>
    <col min="14" max="14" width="12.33203125" customWidth="1"/>
    <col min="15" max="16" width="9.44140625" bestFit="1" customWidth="1"/>
    <col min="17" max="17" width="12.44140625" bestFit="1" customWidth="1"/>
    <col min="18" max="18" width="14.4414062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4414062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Page'!A124</f>
        <v>0.05</v>
      </c>
      <c r="C5" s="200">
        <f>'Main Page'!B124</f>
        <v>1.9250698501397006</v>
      </c>
      <c r="D5" s="201">
        <f>'Main Page'!C124</f>
        <v>1</v>
      </c>
      <c r="E5" s="201" t="str">
        <f>'Main Page'!D124</f>
        <v>NA</v>
      </c>
      <c r="F5" s="202">
        <f>'Main Page'!E124</f>
        <v>0.25</v>
      </c>
      <c r="G5" s="200">
        <f>'Main Page'!F124</f>
        <v>0.5</v>
      </c>
      <c r="H5" s="200">
        <f>'Main Page'!G124</f>
        <v>0.5</v>
      </c>
      <c r="I5" s="203">
        <f>'Main Page'!H124</f>
        <v>1447.6067650097025</v>
      </c>
      <c r="J5" s="204">
        <f>'Main Page'!I124</f>
        <v>7681455580.9267292</v>
      </c>
      <c r="K5" s="204">
        <f>'Main Page'!J124</f>
        <v>7681455580.9267292</v>
      </c>
      <c r="L5" s="204">
        <f>'Main Page'!K124</f>
        <v>17152702552.539173</v>
      </c>
      <c r="M5" s="204">
        <f>'Main Page'!L124</f>
        <v>2655231266.008985</v>
      </c>
      <c r="N5" s="205">
        <f>'Main Page'!M124</f>
        <v>1292.0872285403536</v>
      </c>
    </row>
    <row r="6" spans="2:21">
      <c r="B6" s="206">
        <f>'Main Page'!A125</f>
        <v>7.0000000000000007E-2</v>
      </c>
      <c r="C6" s="207">
        <f>'Main Page'!B125</f>
        <v>1.8895199390398785</v>
      </c>
      <c r="D6" s="208">
        <f>'Main Page'!C125</f>
        <v>1</v>
      </c>
      <c r="E6" s="208" t="str">
        <f>'Main Page'!D125</f>
        <v>NA</v>
      </c>
      <c r="F6" s="202">
        <f>'Main Page'!E125</f>
        <v>0.25</v>
      </c>
      <c r="G6" s="207">
        <f>'Main Page'!F125</f>
        <v>0.5</v>
      </c>
      <c r="H6" s="207">
        <f>'Main Page'!G125</f>
        <v>0.5</v>
      </c>
      <c r="I6" s="209">
        <f>'Main Page'!H125</f>
        <v>175.09526752452746</v>
      </c>
      <c r="J6" s="210">
        <f>'Main Page'!I125</f>
        <v>1135890133.898103</v>
      </c>
      <c r="K6" s="210">
        <f>'Main Page'!J125</f>
        <v>1135890133.898103</v>
      </c>
      <c r="L6" s="210">
        <f>'Main Page'!K125</f>
        <v>2564102972.7290158</v>
      </c>
      <c r="M6" s="210">
        <f>'Main Page'!L125</f>
        <v>396922874.29357898</v>
      </c>
      <c r="N6" s="211">
        <f>'Main Page'!M125</f>
        <v>156.28440292953599</v>
      </c>
    </row>
    <row r="7" spans="2:21">
      <c r="B7" s="196">
        <f>'Main Page'!A126</f>
        <v>0.25</v>
      </c>
      <c r="C7" s="207">
        <f>'Main Page'!B126</f>
        <v>2.8001016002032006</v>
      </c>
      <c r="D7" s="208">
        <f>'Main Page'!C126</f>
        <v>0.3</v>
      </c>
      <c r="E7" s="208">
        <f>'Main Page'!D126</f>
        <v>4.0013725457641511</v>
      </c>
      <c r="F7" s="202">
        <f>'Main Page'!E126</f>
        <v>0.34</v>
      </c>
      <c r="G7" s="207">
        <f>'Main Page'!F126</f>
        <v>0.41002988816858021</v>
      </c>
      <c r="H7" s="207">
        <f>'Main Page'!G126</f>
        <v>0.32873282532820286</v>
      </c>
      <c r="I7" s="209">
        <f>'Main Page'!H126</f>
        <v>186.9057949192036</v>
      </c>
      <c r="J7" s="210">
        <f>'Main Page'!I126</f>
        <v>271763137.89022917</v>
      </c>
      <c r="K7" s="210">
        <f>'Main Page'!J126</f>
        <v>703333384.04530549</v>
      </c>
      <c r="L7" s="197">
        <f>'Main Page'!K126</f>
        <v>2443063660.8188953</v>
      </c>
      <c r="M7" s="197">
        <f>'Main Page'!L126</f>
        <v>18842756.85303637</v>
      </c>
      <c r="N7" s="212">
        <f>'Main Page'!M126</f>
        <v>84.977866851913092</v>
      </c>
    </row>
    <row r="8" spans="2:21">
      <c r="B8" s="196">
        <f>'Main Page'!A127</f>
        <v>0.5</v>
      </c>
      <c r="C8" s="207">
        <f>'Main Page'!B127</f>
        <v>2.1468122936245875</v>
      </c>
      <c r="D8" s="213">
        <f>'Main Page'!C127</f>
        <v>0.24</v>
      </c>
      <c r="E8" s="208">
        <f>'Main Page'!D127</f>
        <v>6.7200108877128066</v>
      </c>
      <c r="F8" s="202">
        <f>'Main Page'!E127</f>
        <v>0.31</v>
      </c>
      <c r="G8" s="207">
        <f>'Main Page'!F127</f>
        <v>0.38649869580913698</v>
      </c>
      <c r="H8" s="207">
        <f>'Main Page'!G127</f>
        <v>0.3240414781728897</v>
      </c>
      <c r="I8" s="209">
        <f>'Main Page'!H127</f>
        <v>138.12296357376664</v>
      </c>
      <c r="J8" s="210">
        <f>'Main Page'!I127</f>
        <v>75234813.639765084</v>
      </c>
      <c r="K8" s="210">
        <f>'Main Page'!J127</f>
        <v>255870093.3882812</v>
      </c>
      <c r="L8" s="197">
        <f>'Main Page'!K127</f>
        <v>1809554986.9197025</v>
      </c>
      <c r="M8" s="197">
        <f>'Main Page'!L127</f>
        <v>8477345.5047051143</v>
      </c>
      <c r="N8" s="212">
        <f>'Main Page'!M127</f>
        <v>30.021881657931356</v>
      </c>
    </row>
    <row r="9" spans="2:21">
      <c r="B9" s="196">
        <f>'Main Page'!A128</f>
        <v>0.75</v>
      </c>
      <c r="C9" s="207">
        <f>'Main Page'!B128</f>
        <v>1.4937769875539753</v>
      </c>
      <c r="D9" s="213">
        <f>'Main Page'!C128</f>
        <v>0.21</v>
      </c>
      <c r="E9" s="208">
        <f>'Main Page'!D128</f>
        <v>6.2038591936354734</v>
      </c>
      <c r="F9" s="202">
        <f>'Main Page'!E128</f>
        <v>0.28000000000000003</v>
      </c>
      <c r="G9" s="207">
        <f>'Main Page'!F128</f>
        <v>0.40257796771355664</v>
      </c>
      <c r="H9" s="207">
        <f>'Main Page'!G128</f>
        <v>0.327834346949612</v>
      </c>
      <c r="I9" s="209">
        <f>'Main Page'!H128</f>
        <v>61.988105452646913</v>
      </c>
      <c r="J9" s="210">
        <f>'Main Page'!I128</f>
        <v>11534432.983097235</v>
      </c>
      <c r="K9" s="210">
        <f>'Main Page'!J128</f>
        <v>65848849.292116806</v>
      </c>
      <c r="L9" s="197">
        <f>'Main Page'!K128</f>
        <v>788312554.19834387</v>
      </c>
      <c r="M9" s="197">
        <f>'Main Page'!L128</f>
        <v>1678043.4287947295</v>
      </c>
      <c r="N9" s="212">
        <f>'Main Page'!M128</f>
        <v>6.9998727386933259</v>
      </c>
    </row>
    <row r="10" spans="2:21">
      <c r="B10" s="214">
        <f>'Main Page'!A129</f>
        <v>1</v>
      </c>
      <c r="C10" s="215">
        <f>'Main Page'!B129</f>
        <v>0.90601981203962423</v>
      </c>
      <c r="D10" s="216">
        <f>'Main Page'!C129</f>
        <v>0.16</v>
      </c>
      <c r="E10" s="216">
        <f>'Main Page'!D129</f>
        <v>0</v>
      </c>
      <c r="F10" s="215">
        <f>'Main Page'!E129</f>
        <v>0.25</v>
      </c>
      <c r="G10" s="215">
        <f>'Main Page'!F129</f>
        <v>0.49249999999999999</v>
      </c>
      <c r="H10" s="215">
        <f>'Main Page'!G129</f>
        <v>0.35780000000000001</v>
      </c>
      <c r="I10" s="217">
        <f>'Main Page'!H129</f>
        <v>11.352890666908433</v>
      </c>
      <c r="J10" s="218">
        <f>'Main Page'!I129</f>
        <v>231293.14864714985</v>
      </c>
      <c r="K10" s="218">
        <f>'Main Page'!J129</f>
        <v>7874070.2274504323</v>
      </c>
      <c r="L10" s="219">
        <f>'Main Page'!K129</f>
        <v>118472290.90243222</v>
      </c>
      <c r="M10" s="219">
        <f>'Main Page'!L129</f>
        <v>179433.04791581735</v>
      </c>
      <c r="N10" s="220">
        <f>'Main Page'!M129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Page'!B56/2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Page'!C$131/('Main Page'!C$131+1)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Page'!B136-'Main Page'!B$141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Page'!D136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Page'!C$131/('Main Page'!C$131+1)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Page'!B137-'Main Page'!B$141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Page'!D137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Page'!C$131/('Main Page'!C$131+1)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Page'!B138-'Main Page'!B$141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Page'!D138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Page'!C$131/('Main Page'!C$131+1)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Page'!B139-'Main Page'!B$141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Page'!C$131/('Main Page'!C$131+1)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Page'!B140-'Main Page'!B$141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Page'!D140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Page'!C$131/('Main Page'!C$131+1)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Page'!B141-'Main Page'!B$141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Page'!D141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400</v>
      </c>
      <c r="T26" t="s">
        <v>381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2015-12-09T06:31:19Z</dcterms:modified>
</cp:coreProperties>
</file>