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Jenn\Dropbox\POSTDOC\Manuscripts\RapidBlueCarbonAssessment_Kelp_Forests_Canada\manuscript_drafts\npj_Ocean_Sustainability_minor_revisions_04072025\submission_versions\"/>
    </mc:Choice>
  </mc:AlternateContent>
  <xr:revisionPtr revIDLastSave="0" documentId="13_ncr:1_{A60BEFEB-C0B8-47B8-8A67-897C7DA3A6A8}" xr6:coauthVersionLast="47" xr6:coauthVersionMax="47" xr10:uidLastSave="{00000000-0000-0000-0000-000000000000}"/>
  <bookViews>
    <workbookView xWindow="1110" yWindow="1575" windowWidth="27690" windowHeight="13905" firstSheet="4" activeTab="7" xr2:uid="{C5475228-1848-4694-8EE5-C6559B2A1378}"/>
  </bookViews>
  <sheets>
    <sheet name="1- Kelp Cover" sheetId="8" r:id="rId1"/>
    <sheet name="2- Rocky Reef" sheetId="20" r:id="rId2"/>
    <sheet name="3 - Areal Extents (Subsurface)" sheetId="3" r:id="rId3"/>
    <sheet name="4 - Areal Extents (Surface)" sheetId="18" r:id="rId4"/>
    <sheet name="5 - Standing Stocks (Per Area)" sheetId="1" r:id="rId5"/>
    <sheet name="6 - Carbon Prod (Per Area)" sheetId="5" r:id="rId6"/>
    <sheet name="7- Carbon Export (Per Area)" sheetId="21" r:id="rId7"/>
    <sheet name="8- Total C Stock Prod &amp; Export"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7" i="22" l="1"/>
  <c r="V30" i="22"/>
  <c r="U30" i="22"/>
  <c r="T30" i="22"/>
  <c r="S30" i="22"/>
  <c r="R30" i="22"/>
  <c r="Q30" i="22"/>
  <c r="P30" i="22"/>
  <c r="N30" i="22"/>
  <c r="M30" i="22"/>
  <c r="L30" i="22"/>
  <c r="K30" i="22"/>
  <c r="K29" i="22"/>
  <c r="M29" i="22"/>
  <c r="U29" i="22"/>
  <c r="T24" i="22"/>
  <c r="U24" i="22"/>
  <c r="T25" i="22"/>
  <c r="U25" i="22"/>
  <c r="U23" i="22"/>
  <c r="Q23" i="22"/>
  <c r="P24" i="22"/>
  <c r="Q24" i="22"/>
  <c r="P25" i="22"/>
  <c r="Q25" i="22"/>
  <c r="P23" i="22"/>
  <c r="M24" i="22"/>
  <c r="M25" i="22"/>
  <c r="M23" i="22"/>
  <c r="L23" i="22"/>
  <c r="G24" i="22"/>
  <c r="G25" i="22"/>
  <c r="G23" i="22"/>
  <c r="F23" i="22"/>
  <c r="D23" i="22"/>
  <c r="C38" i="18"/>
  <c r="C37" i="18"/>
  <c r="C36" i="18"/>
  <c r="F23" i="18"/>
  <c r="F22" i="18"/>
  <c r="E17" i="18"/>
  <c r="E13" i="18"/>
  <c r="D17" i="18"/>
  <c r="E9" i="18"/>
  <c r="F21" i="18" s="1"/>
  <c r="F25" i="18" s="1"/>
  <c r="O6" i="3"/>
  <c r="F31" i="18" l="1"/>
  <c r="F29" i="18"/>
  <c r="F27" i="18"/>
  <c r="F11" i="22"/>
  <c r="G11" i="22"/>
  <c r="B33" i="22"/>
  <c r="D33" i="22"/>
  <c r="C33" i="22"/>
  <c r="C29" i="21"/>
  <c r="B29" i="21"/>
  <c r="B34" i="21"/>
  <c r="B51" i="21"/>
  <c r="B46" i="21"/>
  <c r="G5" i="21"/>
  <c r="U36" i="3"/>
  <c r="P33" i="3"/>
  <c r="E22" i="18"/>
  <c r="E23" i="18"/>
  <c r="E11" i="22"/>
  <c r="H11" i="22"/>
  <c r="E12" i="22"/>
  <c r="F12" i="22"/>
  <c r="G12" i="22"/>
  <c r="H12" i="22"/>
  <c r="E13" i="22"/>
  <c r="F13" i="22"/>
  <c r="G13" i="22"/>
  <c r="H13" i="22"/>
  <c r="D12" i="22"/>
  <c r="D13" i="22"/>
  <c r="D11" i="22"/>
  <c r="F24" i="22" l="1"/>
  <c r="F25" i="22"/>
  <c r="D51" i="21"/>
  <c r="C36" i="21"/>
  <c r="B36" i="21"/>
  <c r="H10" i="21"/>
  <c r="H11" i="21"/>
  <c r="H12" i="21"/>
  <c r="H15" i="21"/>
  <c r="G15" i="21"/>
  <c r="H14" i="21"/>
  <c r="G14" i="21"/>
  <c r="H13" i="21"/>
  <c r="G13" i="21"/>
  <c r="C8" i="1"/>
  <c r="C14" i="1"/>
  <c r="C7" i="5"/>
  <c r="H6" i="3" l="1"/>
  <c r="H7" i="3"/>
  <c r="H8" i="3"/>
  <c r="H9" i="3"/>
  <c r="H10" i="3"/>
  <c r="N6" i="3"/>
  <c r="R30" i="3" l="1"/>
  <c r="R25" i="3"/>
  <c r="O35" i="3"/>
  <c r="Q25" i="3"/>
  <c r="P25" i="3"/>
  <c r="O25" i="3"/>
  <c r="O24" i="3"/>
  <c r="O29" i="3" s="1"/>
  <c r="N11" i="3"/>
  <c r="C46" i="21"/>
  <c r="B64" i="21"/>
  <c r="B65" i="21"/>
  <c r="B63" i="21"/>
  <c r="B57" i="21"/>
  <c r="B58" i="21"/>
  <c r="B47" i="21"/>
  <c r="B59" i="21"/>
  <c r="B60" i="21"/>
  <c r="B61" i="21"/>
  <c r="B56" i="21"/>
  <c r="B52" i="21"/>
  <c r="B53" i="21"/>
  <c r="D53" i="21" s="1"/>
  <c r="B54" i="21"/>
  <c r="D54" i="21" s="1"/>
  <c r="B37" i="21" l="1"/>
  <c r="B35" i="21"/>
  <c r="C37" i="21"/>
  <c r="C35" i="21"/>
  <c r="H18" i="21"/>
  <c r="G18" i="21"/>
  <c r="E6" i="22"/>
  <c r="E14" i="22"/>
  <c r="F14" i="22"/>
  <c r="G14" i="22"/>
  <c r="H14" i="22"/>
  <c r="E15" i="22"/>
  <c r="F15" i="22"/>
  <c r="G15" i="22"/>
  <c r="H15" i="22"/>
  <c r="E16" i="22"/>
  <c r="F16" i="22"/>
  <c r="G16" i="22"/>
  <c r="H16" i="22"/>
  <c r="E17" i="22"/>
  <c r="F17" i="22"/>
  <c r="G17" i="22"/>
  <c r="H17" i="22"/>
  <c r="E18" i="22"/>
  <c r="F18" i="22"/>
  <c r="G18" i="22"/>
  <c r="H18" i="22"/>
  <c r="E19" i="22"/>
  <c r="F19" i="22"/>
  <c r="G19" i="22"/>
  <c r="H19" i="22"/>
  <c r="D7" i="22"/>
  <c r="D8" i="22"/>
  <c r="D9" i="22"/>
  <c r="D10" i="22"/>
  <c r="D14" i="22"/>
  <c r="D15" i="22"/>
  <c r="D16" i="22"/>
  <c r="D17" i="22"/>
  <c r="D18" i="22"/>
  <c r="D19" i="22"/>
  <c r="D6" i="22"/>
  <c r="E6" i="3"/>
  <c r="G9" i="21"/>
  <c r="B38" i="21" l="1"/>
  <c r="D64" i="21"/>
  <c r="D65" i="21"/>
  <c r="D63" i="21"/>
  <c r="D60" i="21"/>
  <c r="D58" i="21"/>
  <c r="D46" i="21"/>
  <c r="D61" i="21"/>
  <c r="D56" i="21"/>
  <c r="D59" i="21"/>
  <c r="D47" i="21"/>
  <c r="D57" i="21"/>
  <c r="C34" i="21" l="1"/>
  <c r="C38" i="21" s="1"/>
  <c r="H9" i="21" l="1"/>
  <c r="H5" i="21"/>
  <c r="G7" i="21"/>
  <c r="H7" i="21"/>
  <c r="G8" i="21"/>
  <c r="H8" i="21"/>
  <c r="G6" i="21"/>
  <c r="H6" i="21"/>
  <c r="G17" i="21"/>
  <c r="H17" i="21"/>
  <c r="G21" i="21"/>
  <c r="H21" i="21"/>
  <c r="G20" i="21"/>
  <c r="H20" i="21"/>
  <c r="G16" i="21"/>
  <c r="H16" i="21"/>
  <c r="G10" i="21"/>
  <c r="G11" i="21"/>
  <c r="G12" i="21"/>
  <c r="H19" i="21"/>
  <c r="G19" i="21"/>
  <c r="B36" i="18"/>
  <c r="D21" i="18"/>
  <c r="D9" i="18"/>
  <c r="D22" i="18"/>
  <c r="D23" i="18"/>
  <c r="N7" i="3"/>
  <c r="N8" i="3"/>
  <c r="N9" i="3"/>
  <c r="N10" i="3"/>
  <c r="N12" i="3"/>
  <c r="N13" i="3"/>
  <c r="N14" i="3"/>
  <c r="N15" i="3"/>
  <c r="N16" i="3"/>
  <c r="N17" i="3"/>
  <c r="N18" i="3"/>
  <c r="N19" i="3"/>
  <c r="I6" i="8"/>
  <c r="C15" i="1" s="1"/>
  <c r="I5" i="8"/>
  <c r="C13" i="5" s="1"/>
  <c r="C24" i="1"/>
  <c r="C23" i="1"/>
  <c r="C22" i="1"/>
  <c r="C9" i="1"/>
  <c r="B33" i="1" s="1"/>
  <c r="C20" i="1"/>
  <c r="C19" i="1"/>
  <c r="C19" i="5"/>
  <c r="C57" i="21" s="1"/>
  <c r="C8" i="5"/>
  <c r="B32" i="5" s="1"/>
  <c r="C21" i="5"/>
  <c r="C59" i="21" s="1"/>
  <c r="C22" i="5"/>
  <c r="C60" i="21" s="1"/>
  <c r="C23" i="5"/>
  <c r="C61" i="21" s="1"/>
  <c r="C18" i="5"/>
  <c r="I12" i="8"/>
  <c r="F12" i="3"/>
  <c r="F13" i="3"/>
  <c r="F11" i="3"/>
  <c r="E12" i="3"/>
  <c r="E11" i="3"/>
  <c r="D37" i="18"/>
  <c r="D38" i="18"/>
  <c r="D36" i="18"/>
  <c r="B37" i="18"/>
  <c r="B38" i="18"/>
  <c r="F17" i="18"/>
  <c r="G23" i="18" s="1"/>
  <c r="H25" i="22" s="1"/>
  <c r="F9" i="18"/>
  <c r="G21" i="18" s="1"/>
  <c r="H23" i="22" s="1"/>
  <c r="F13" i="18"/>
  <c r="G22" i="18" s="1"/>
  <c r="H24" i="22" s="1"/>
  <c r="D13" i="18"/>
  <c r="E14" i="3"/>
  <c r="D7" i="3"/>
  <c r="E7" i="3"/>
  <c r="F7" i="3"/>
  <c r="G7" i="3"/>
  <c r="D8" i="3"/>
  <c r="E8" i="3"/>
  <c r="F8" i="3"/>
  <c r="G8" i="3"/>
  <c r="D9" i="3"/>
  <c r="E9" i="3"/>
  <c r="F9" i="3"/>
  <c r="G9" i="3"/>
  <c r="D10" i="3"/>
  <c r="E10" i="3"/>
  <c r="F10" i="3"/>
  <c r="G10" i="3"/>
  <c r="D16" i="3"/>
  <c r="E16" i="3"/>
  <c r="F16" i="3"/>
  <c r="G16" i="3"/>
  <c r="D17" i="3"/>
  <c r="E17" i="3"/>
  <c r="F17" i="3"/>
  <c r="G17" i="3"/>
  <c r="D18" i="3"/>
  <c r="E18" i="3"/>
  <c r="F18" i="3"/>
  <c r="G18" i="3"/>
  <c r="D19" i="3"/>
  <c r="E19" i="3"/>
  <c r="F19" i="3"/>
  <c r="G19" i="3"/>
  <c r="D14" i="3"/>
  <c r="F14" i="3"/>
  <c r="G14" i="3"/>
  <c r="D15" i="3"/>
  <c r="D4" i="20"/>
  <c r="H15" i="3" s="1"/>
  <c r="G15" i="3"/>
  <c r="E15" i="3"/>
  <c r="F15" i="3"/>
  <c r="G6" i="3"/>
  <c r="F6" i="3"/>
  <c r="D6" i="3"/>
  <c r="G12" i="3"/>
  <c r="G13" i="3"/>
  <c r="G11" i="3"/>
  <c r="E13" i="3"/>
  <c r="D12" i="3"/>
  <c r="D13" i="3"/>
  <c r="D11" i="3"/>
  <c r="I21" i="8"/>
  <c r="I20" i="8"/>
  <c r="I19" i="8"/>
  <c r="E21" i="18" l="1"/>
  <c r="B30" i="22"/>
  <c r="B26" i="21"/>
  <c r="C30" i="22"/>
  <c r="C26" i="21"/>
  <c r="E23" i="22"/>
  <c r="D24" i="22"/>
  <c r="E24" i="22"/>
  <c r="E25" i="22"/>
  <c r="D25" i="22"/>
  <c r="C47" i="21"/>
  <c r="B70" i="21" s="1"/>
  <c r="C51" i="21"/>
  <c r="C56" i="21"/>
  <c r="C14" i="5"/>
  <c r="C52" i="21" s="1"/>
  <c r="C21" i="1"/>
  <c r="B34" i="1" s="1"/>
  <c r="C20" i="5"/>
  <c r="C58" i="21" s="1"/>
  <c r="C26" i="1"/>
  <c r="C25" i="5"/>
  <c r="C27" i="1"/>
  <c r="C27" i="5"/>
  <c r="C65" i="21" s="1"/>
  <c r="C28" i="1"/>
  <c r="C26" i="5"/>
  <c r="C64" i="21" s="1"/>
  <c r="D25" i="18"/>
  <c r="D31" i="18" s="1"/>
  <c r="O10" i="3"/>
  <c r="E10" i="22" s="1"/>
  <c r="O8" i="3"/>
  <c r="E8" i="22" s="1"/>
  <c r="O7" i="3"/>
  <c r="O9" i="3"/>
  <c r="E9" i="22" s="1"/>
  <c r="H14" i="3"/>
  <c r="R14" i="3" s="1"/>
  <c r="H18" i="3"/>
  <c r="O18" i="3" s="1"/>
  <c r="H17" i="3"/>
  <c r="O17" i="3" s="1"/>
  <c r="H19" i="3"/>
  <c r="Q19" i="3" s="1"/>
  <c r="H16" i="3"/>
  <c r="R16" i="3" s="1"/>
  <c r="P6" i="3"/>
  <c r="Q8" i="3"/>
  <c r="G8" i="22" s="1"/>
  <c r="G25" i="18"/>
  <c r="G31" i="18" s="1"/>
  <c r="P15" i="3"/>
  <c r="R9" i="3"/>
  <c r="H9" i="22" s="1"/>
  <c r="Q9" i="3"/>
  <c r="G9" i="22" s="1"/>
  <c r="R7" i="3"/>
  <c r="H7" i="22" s="1"/>
  <c r="Q15" i="3"/>
  <c r="O11" i="3"/>
  <c r="O15" i="3"/>
  <c r="P8" i="3"/>
  <c r="F8" i="22" s="1"/>
  <c r="P9" i="3"/>
  <c r="F9" i="22" s="1"/>
  <c r="R8" i="3"/>
  <c r="H8" i="22" s="1"/>
  <c r="Q7" i="3"/>
  <c r="G7" i="22" s="1"/>
  <c r="P7" i="3"/>
  <c r="F7" i="22" s="1"/>
  <c r="R10" i="3"/>
  <c r="H10" i="22" s="1"/>
  <c r="P10" i="3"/>
  <c r="F10" i="22" s="1"/>
  <c r="Q10" i="3"/>
  <c r="G10" i="22" s="1"/>
  <c r="P11" i="3"/>
  <c r="L24" i="22" l="1"/>
  <c r="L25" i="22"/>
  <c r="R23" i="22"/>
  <c r="N25" i="22"/>
  <c r="E25" i="18"/>
  <c r="B71" i="21"/>
  <c r="N24" i="22"/>
  <c r="N23" i="22"/>
  <c r="B31" i="22"/>
  <c r="B27" i="21"/>
  <c r="R25" i="22"/>
  <c r="I11" i="21"/>
  <c r="I24" i="22" s="1"/>
  <c r="I12" i="21"/>
  <c r="I25" i="22" s="1"/>
  <c r="I10" i="21"/>
  <c r="J10" i="21"/>
  <c r="J23" i="22" s="1"/>
  <c r="J12" i="21"/>
  <c r="J25" i="22" s="1"/>
  <c r="J11" i="21"/>
  <c r="J24" i="22" s="1"/>
  <c r="R24" i="22"/>
  <c r="O23" i="22"/>
  <c r="K23" i="22"/>
  <c r="D29" i="18"/>
  <c r="D27" i="18"/>
  <c r="O25" i="22"/>
  <c r="K25" i="22"/>
  <c r="K24" i="22"/>
  <c r="O24" i="22"/>
  <c r="B33" i="5"/>
  <c r="B34" i="5"/>
  <c r="C63" i="21"/>
  <c r="B72" i="21" s="1"/>
  <c r="B35" i="1"/>
  <c r="O23" i="3"/>
  <c r="E7" i="22"/>
  <c r="P23" i="3"/>
  <c r="F6" i="22"/>
  <c r="Q18" i="3"/>
  <c r="Q14" i="3"/>
  <c r="O14" i="3"/>
  <c r="P18" i="3"/>
  <c r="P19" i="3"/>
  <c r="Q16" i="3"/>
  <c r="P16" i="3"/>
  <c r="O19" i="3"/>
  <c r="P17" i="3"/>
  <c r="Q17" i="3"/>
  <c r="R19" i="3"/>
  <c r="R34" i="3" s="1"/>
  <c r="R17" i="3"/>
  <c r="O16" i="3"/>
  <c r="G29" i="18"/>
  <c r="G27" i="18"/>
  <c r="R18" i="3"/>
  <c r="P14" i="3"/>
  <c r="N37" i="22" l="1"/>
  <c r="M11" i="22"/>
  <c r="L11" i="22"/>
  <c r="T23" i="22"/>
  <c r="E31" i="18"/>
  <c r="E27" i="18"/>
  <c r="E29" i="18"/>
  <c r="R37" i="22"/>
  <c r="R44" i="22" s="1"/>
  <c r="M13" i="22"/>
  <c r="N13" i="22"/>
  <c r="K11" i="22"/>
  <c r="L13" i="22"/>
  <c r="N11" i="22"/>
  <c r="N12" i="22"/>
  <c r="K13" i="22"/>
  <c r="M12" i="22"/>
  <c r="L12" i="22"/>
  <c r="K12" i="22"/>
  <c r="V25" i="22"/>
  <c r="V24" i="22"/>
  <c r="I23" i="22"/>
  <c r="F35" i="21"/>
  <c r="D35" i="21"/>
  <c r="D30" i="22" s="1"/>
  <c r="S24" i="22"/>
  <c r="C31" i="22"/>
  <c r="C27" i="21"/>
  <c r="S25" i="22"/>
  <c r="N44" i="22"/>
  <c r="O30" i="22"/>
  <c r="O37" i="22" s="1"/>
  <c r="C28" i="21"/>
  <c r="C32" i="22"/>
  <c r="O14" i="22" s="1"/>
  <c r="B28" i="21"/>
  <c r="B32" i="22"/>
  <c r="K14" i="22" s="1"/>
  <c r="O28" i="3"/>
  <c r="M37" i="22" l="1"/>
  <c r="M44" i="22" s="1"/>
  <c r="L37" i="22"/>
  <c r="L44" i="22" s="1"/>
  <c r="K37" i="22"/>
  <c r="K44" i="22" s="1"/>
  <c r="M31" i="22"/>
  <c r="M38" i="22" s="1"/>
  <c r="M45" i="22" s="1"/>
  <c r="L31" i="22"/>
  <c r="L38" i="22" s="1"/>
  <c r="L45" i="22" s="1"/>
  <c r="N31" i="22"/>
  <c r="N38" i="22" s="1"/>
  <c r="N54" i="22" s="1"/>
  <c r="K31" i="22"/>
  <c r="K38" i="22" s="1"/>
  <c r="I15" i="21"/>
  <c r="I13" i="22" s="1"/>
  <c r="I13" i="21"/>
  <c r="J15" i="21"/>
  <c r="J13" i="22" s="1"/>
  <c r="J13" i="21"/>
  <c r="I14" i="21"/>
  <c r="I12" i="22" s="1"/>
  <c r="J14" i="21"/>
  <c r="J12" i="22" s="1"/>
  <c r="O11" i="22"/>
  <c r="P12" i="22"/>
  <c r="Q13" i="22"/>
  <c r="Q12" i="22"/>
  <c r="O12" i="22"/>
  <c r="R13" i="22"/>
  <c r="R11" i="22"/>
  <c r="O13" i="22"/>
  <c r="P13" i="22"/>
  <c r="P11" i="22"/>
  <c r="Q11" i="22"/>
  <c r="R12" i="22"/>
  <c r="V23" i="22"/>
  <c r="S23" i="22"/>
  <c r="S37" i="22" s="1"/>
  <c r="I16" i="21"/>
  <c r="I14" i="22" s="1"/>
  <c r="I17" i="21"/>
  <c r="I15" i="22" s="1"/>
  <c r="P37" i="22"/>
  <c r="Q37" i="22"/>
  <c r="O44" i="22"/>
  <c r="E35" i="21"/>
  <c r="Q14" i="22"/>
  <c r="P17" i="22"/>
  <c r="R19" i="22"/>
  <c r="Q15" i="22"/>
  <c r="P18" i="22"/>
  <c r="O16" i="22"/>
  <c r="R15" i="22"/>
  <c r="O17" i="22"/>
  <c r="P16" i="22"/>
  <c r="R18" i="22"/>
  <c r="O18" i="22"/>
  <c r="Q16" i="22"/>
  <c r="P19" i="22"/>
  <c r="R16" i="22"/>
  <c r="Q19" i="22"/>
  <c r="R14" i="22"/>
  <c r="Q17" i="22"/>
  <c r="O19" i="22"/>
  <c r="P15" i="22"/>
  <c r="R17" i="22"/>
  <c r="O15" i="22"/>
  <c r="Q18" i="22"/>
  <c r="P14" i="22"/>
  <c r="I18" i="21"/>
  <c r="I16" i="22" s="1"/>
  <c r="J18" i="21"/>
  <c r="J16" i="22" s="1"/>
  <c r="J20" i="21"/>
  <c r="J18" i="22" s="1"/>
  <c r="I21" i="21"/>
  <c r="I19" i="22" s="1"/>
  <c r="J19" i="21"/>
  <c r="J17" i="22" s="1"/>
  <c r="I19" i="21"/>
  <c r="I17" i="22" s="1"/>
  <c r="J17" i="21"/>
  <c r="J15" i="22" s="1"/>
  <c r="J16" i="21"/>
  <c r="J14" i="22" s="1"/>
  <c r="J21" i="21"/>
  <c r="J19" i="22" s="1"/>
  <c r="I20" i="21"/>
  <c r="I18" i="22" s="1"/>
  <c r="G35" i="21"/>
  <c r="N17" i="22"/>
  <c r="L14" i="22"/>
  <c r="K16" i="22"/>
  <c r="K18" i="22"/>
  <c r="L19" i="22"/>
  <c r="M19" i="22"/>
  <c r="K17" i="22"/>
  <c r="L16" i="22"/>
  <c r="M15" i="22"/>
  <c r="K19" i="22"/>
  <c r="L17" i="22"/>
  <c r="K15" i="22"/>
  <c r="M16" i="22"/>
  <c r="L18" i="22"/>
  <c r="N14" i="22"/>
  <c r="M18" i="22"/>
  <c r="M14" i="22"/>
  <c r="L15" i="22"/>
  <c r="N18" i="22"/>
  <c r="N19" i="22"/>
  <c r="N16" i="22"/>
  <c r="N15" i="22"/>
  <c r="M17" i="22"/>
  <c r="O31" i="22" l="1"/>
  <c r="O38" i="22" s="1"/>
  <c r="O45" i="22" s="1"/>
  <c r="M54" i="22"/>
  <c r="L54" i="22"/>
  <c r="R31" i="22"/>
  <c r="R38" i="22" s="1"/>
  <c r="P31" i="22"/>
  <c r="P38" i="22" s="1"/>
  <c r="P45" i="22" s="1"/>
  <c r="K45" i="22"/>
  <c r="K54" i="22"/>
  <c r="N45" i="22"/>
  <c r="R45" i="22"/>
  <c r="R54" i="22"/>
  <c r="U12" i="22"/>
  <c r="V12" i="22"/>
  <c r="T12" i="22"/>
  <c r="S12" i="22"/>
  <c r="S44" i="22"/>
  <c r="V37" i="22"/>
  <c r="J11" i="22"/>
  <c r="E36" i="21"/>
  <c r="P44" i="22"/>
  <c r="O54" i="22"/>
  <c r="T37" i="22"/>
  <c r="I11" i="22"/>
  <c r="F36" i="21"/>
  <c r="G36" i="21"/>
  <c r="D36" i="21"/>
  <c r="D31" i="22" s="1"/>
  <c r="Q44" i="22"/>
  <c r="Q31" i="22"/>
  <c r="Q38" i="22" s="1"/>
  <c r="Q45" i="22" s="1"/>
  <c r="S13" i="22"/>
  <c r="V13" i="22"/>
  <c r="U13" i="22"/>
  <c r="T13" i="22"/>
  <c r="O32" i="22"/>
  <c r="P32" i="22"/>
  <c r="P39" i="22" s="1"/>
  <c r="U14" i="22"/>
  <c r="S14" i="22"/>
  <c r="V14" i="22"/>
  <c r="T14" i="22"/>
  <c r="E37" i="21"/>
  <c r="F37" i="21"/>
  <c r="D37" i="21"/>
  <c r="D32" i="22" s="1"/>
  <c r="G37" i="21"/>
  <c r="S16" i="22"/>
  <c r="U16" i="22"/>
  <c r="T16" i="22"/>
  <c r="V16" i="22"/>
  <c r="R32" i="22"/>
  <c r="R39" i="22" s="1"/>
  <c r="Q32" i="22"/>
  <c r="Q39" i="22" s="1"/>
  <c r="Q55" i="22" s="1"/>
  <c r="U17" i="22"/>
  <c r="V17" i="22"/>
  <c r="S17" i="22"/>
  <c r="T17" i="22"/>
  <c r="U18" i="22"/>
  <c r="T18" i="22"/>
  <c r="S18" i="22"/>
  <c r="V18" i="22"/>
  <c r="S19" i="22"/>
  <c r="T19" i="22"/>
  <c r="U19" i="22"/>
  <c r="V19" i="22"/>
  <c r="N32" i="22"/>
  <c r="N39" i="22" s="1"/>
  <c r="K32" i="22"/>
  <c r="K39" i="22" s="1"/>
  <c r="K55" i="22" s="1"/>
  <c r="M32" i="22"/>
  <c r="M39" i="22" s="1"/>
  <c r="L32" i="22"/>
  <c r="L39" i="22" s="1"/>
  <c r="Q6" i="3"/>
  <c r="G6" i="22" s="1"/>
  <c r="I8" i="8"/>
  <c r="I7" i="8"/>
  <c r="P54" i="22" l="1"/>
  <c r="K46" i="22"/>
  <c r="L46" i="22"/>
  <c r="L55" i="22"/>
  <c r="M46" i="22"/>
  <c r="M55" i="22"/>
  <c r="N46" i="22"/>
  <c r="N55" i="22"/>
  <c r="V44" i="22"/>
  <c r="T44" i="22"/>
  <c r="Q54" i="22"/>
  <c r="R46" i="22"/>
  <c r="R55" i="22"/>
  <c r="Q46" i="22"/>
  <c r="V11" i="22"/>
  <c r="V31" i="22" s="1"/>
  <c r="V38" i="22" s="1"/>
  <c r="V45" i="22" s="1"/>
  <c r="U11" i="22"/>
  <c r="U31" i="22" s="1"/>
  <c r="U38" i="22" s="1"/>
  <c r="U45" i="22" s="1"/>
  <c r="T11" i="22"/>
  <c r="T31" i="22" s="1"/>
  <c r="T38" i="22" s="1"/>
  <c r="T45" i="22" s="1"/>
  <c r="S11" i="22"/>
  <c r="P46" i="22"/>
  <c r="P55" i="22"/>
  <c r="U44" i="22"/>
  <c r="O39" i="22"/>
  <c r="O55" i="22" s="1"/>
  <c r="V15" i="22"/>
  <c r="V32" i="22" s="1"/>
  <c r="T15" i="22"/>
  <c r="U15" i="22"/>
  <c r="U32" i="22" s="1"/>
  <c r="S15" i="22"/>
  <c r="S32" i="22" s="1"/>
  <c r="S39" i="22" s="1"/>
  <c r="S55" i="22" s="1"/>
  <c r="C15" i="5"/>
  <c r="C16" i="1"/>
  <c r="C17" i="1"/>
  <c r="C16" i="5"/>
  <c r="C54" i="21" s="1"/>
  <c r="R15" i="3"/>
  <c r="R33" i="3" s="1"/>
  <c r="Q12" i="3"/>
  <c r="R12" i="3"/>
  <c r="Q13" i="3"/>
  <c r="R13" i="3"/>
  <c r="R11" i="3"/>
  <c r="Q11" i="3"/>
  <c r="R6" i="3"/>
  <c r="H6" i="22" s="1"/>
  <c r="T54" i="22" l="1"/>
  <c r="S31" i="22"/>
  <c r="S38" i="22" s="1"/>
  <c r="B31" i="5"/>
  <c r="C25" i="21" s="1"/>
  <c r="U54" i="22"/>
  <c r="V54" i="22"/>
  <c r="O46" i="22"/>
  <c r="B32" i="1"/>
  <c r="C53" i="21"/>
  <c r="B69" i="21" s="1"/>
  <c r="U39" i="22"/>
  <c r="U55" i="22" s="1"/>
  <c r="T32" i="22"/>
  <c r="Q23" i="3"/>
  <c r="Q33" i="3" s="1"/>
  <c r="R23" i="3"/>
  <c r="R26" i="3" s="1"/>
  <c r="Q24" i="3"/>
  <c r="B25" i="21" l="1"/>
  <c r="B36" i="1"/>
  <c r="J5" i="21"/>
  <c r="I5" i="21"/>
  <c r="I6" i="22" s="1"/>
  <c r="S6" i="22" s="1"/>
  <c r="B35" i="5"/>
  <c r="S45" i="22"/>
  <c r="S54" i="22"/>
  <c r="B74" i="21"/>
  <c r="C29" i="22"/>
  <c r="B29" i="22"/>
  <c r="K6" i="22" s="1"/>
  <c r="R31" i="3"/>
  <c r="R41" i="3" s="1"/>
  <c r="R36" i="3"/>
  <c r="T39" i="22"/>
  <c r="T55" i="22" s="1"/>
  <c r="V39" i="22"/>
  <c r="R28" i="3"/>
  <c r="Q30" i="3"/>
  <c r="Q35" i="3"/>
  <c r="Q29" i="3"/>
  <c r="Q34" i="3"/>
  <c r="Q26" i="3"/>
  <c r="Q28" i="3"/>
  <c r="V46" i="22" l="1"/>
  <c r="V55" i="22"/>
  <c r="B73" i="21"/>
  <c r="T6" i="22"/>
  <c r="U6" i="22"/>
  <c r="K7" i="22"/>
  <c r="O6" i="22"/>
  <c r="O9" i="22"/>
  <c r="O7" i="22"/>
  <c r="Q6" i="22"/>
  <c r="P9" i="22"/>
  <c r="Q7" i="22"/>
  <c r="P10" i="22"/>
  <c r="R7" i="22"/>
  <c r="Q10" i="22"/>
  <c r="P8" i="22"/>
  <c r="R10" i="22"/>
  <c r="Q8" i="22"/>
  <c r="R8" i="22"/>
  <c r="R6" i="22"/>
  <c r="Q9" i="22"/>
  <c r="P7" i="22"/>
  <c r="R9" i="22"/>
  <c r="P6" i="22"/>
  <c r="O8" i="22"/>
  <c r="O10" i="22"/>
  <c r="I6" i="21"/>
  <c r="I9" i="21"/>
  <c r="I10" i="22" s="1"/>
  <c r="J6" i="22"/>
  <c r="J6" i="21"/>
  <c r="J7" i="22" s="1"/>
  <c r="J8" i="21"/>
  <c r="J9" i="22" s="1"/>
  <c r="J7" i="21"/>
  <c r="J8" i="22" s="1"/>
  <c r="I8" i="21"/>
  <c r="I9" i="22" s="1"/>
  <c r="J9" i="21"/>
  <c r="J10" i="22" s="1"/>
  <c r="I7" i="21"/>
  <c r="I8" i="22" s="1"/>
  <c r="K9" i="22"/>
  <c r="K8" i="22"/>
  <c r="L10" i="22"/>
  <c r="M8" i="22"/>
  <c r="N7" i="22"/>
  <c r="K10" i="22"/>
  <c r="M10" i="22"/>
  <c r="L9" i="22"/>
  <c r="N9" i="22"/>
  <c r="M7" i="22"/>
  <c r="N10" i="22"/>
  <c r="N8" i="22"/>
  <c r="L8" i="22"/>
  <c r="L7" i="22"/>
  <c r="M9" i="22"/>
  <c r="L6" i="22"/>
  <c r="M6" i="22"/>
  <c r="N6" i="22"/>
  <c r="T46" i="22"/>
  <c r="U46" i="22"/>
  <c r="S46" i="22"/>
  <c r="Q31" i="3"/>
  <c r="Q36" i="3"/>
  <c r="Q41" i="3"/>
  <c r="Q40" i="3"/>
  <c r="Q38" i="3"/>
  <c r="Q39" i="3"/>
  <c r="P12" i="3"/>
  <c r="P13" i="3"/>
  <c r="O12" i="3"/>
  <c r="O13" i="3"/>
  <c r="L29" i="22" l="1"/>
  <c r="K36" i="22"/>
  <c r="K53" i="22" s="1"/>
  <c r="K56" i="22" s="1"/>
  <c r="I7" i="22"/>
  <c r="U7" i="22" s="1"/>
  <c r="D34" i="21"/>
  <c r="D29" i="22" s="1"/>
  <c r="F34" i="21"/>
  <c r="G34" i="21"/>
  <c r="O29" i="22"/>
  <c r="I25" i="21"/>
  <c r="I24" i="21"/>
  <c r="I23" i="21"/>
  <c r="P29" i="22"/>
  <c r="P36" i="22" s="1"/>
  <c r="P53" i="22" s="1"/>
  <c r="P56" i="22" s="1"/>
  <c r="Q29" i="22"/>
  <c r="Q36" i="22" s="1"/>
  <c r="Q53" i="22" s="1"/>
  <c r="Q56" i="22" s="1"/>
  <c r="E34" i="21"/>
  <c r="E38" i="21" s="1"/>
  <c r="T10" i="22"/>
  <c r="V10" i="22"/>
  <c r="U10" i="22"/>
  <c r="S10" i="22"/>
  <c r="T8" i="22"/>
  <c r="S8" i="22"/>
  <c r="U8" i="22"/>
  <c r="V8" i="22"/>
  <c r="T9" i="22"/>
  <c r="U9" i="22"/>
  <c r="V9" i="22"/>
  <c r="S9" i="22"/>
  <c r="F38" i="21"/>
  <c r="G38" i="21"/>
  <c r="R29" i="22"/>
  <c r="N29" i="22"/>
  <c r="P24" i="3"/>
  <c r="O33" i="3"/>
  <c r="P35" i="3"/>
  <c r="R24" i="3"/>
  <c r="S7" i="22" l="1"/>
  <c r="S29" i="22" s="1"/>
  <c r="S33" i="22" s="1"/>
  <c r="V7" i="22"/>
  <c r="T7" i="22"/>
  <c r="T29" i="22" s="1"/>
  <c r="O36" i="22"/>
  <c r="O33" i="22"/>
  <c r="D38" i="21"/>
  <c r="P33" i="22"/>
  <c r="Q33" i="22"/>
  <c r="R36" i="22"/>
  <c r="R53" i="22" s="1"/>
  <c r="R56" i="22" s="1"/>
  <c r="R33" i="22"/>
  <c r="V6" i="22"/>
  <c r="V29" i="22" s="1"/>
  <c r="Q43" i="22"/>
  <c r="Q47" i="22" s="1"/>
  <c r="Q40" i="22"/>
  <c r="P43" i="22"/>
  <c r="P47" i="22" s="1"/>
  <c r="P40" i="22"/>
  <c r="L33" i="22"/>
  <c r="L36" i="22"/>
  <c r="L53" i="22" s="1"/>
  <c r="L56" i="22" s="1"/>
  <c r="K33" i="22"/>
  <c r="M36" i="22"/>
  <c r="M53" i="22" s="1"/>
  <c r="M56" i="22" s="1"/>
  <c r="M33" i="22"/>
  <c r="N36" i="22"/>
  <c r="N53" i="22" s="1"/>
  <c r="N56" i="22" s="1"/>
  <c r="N33" i="22"/>
  <c r="P34" i="3"/>
  <c r="O34" i="3"/>
  <c r="O30" i="3"/>
  <c r="R29" i="3"/>
  <c r="R35" i="3" s="1"/>
  <c r="P29" i="3"/>
  <c r="P30" i="3"/>
  <c r="P28" i="3"/>
  <c r="O26" i="3"/>
  <c r="P26" i="3"/>
  <c r="P36" i="3" s="1"/>
  <c r="V36" i="22" l="1"/>
  <c r="V53" i="22" s="1"/>
  <c r="V56" i="22" s="1"/>
  <c r="V33" i="22"/>
  <c r="O40" i="22"/>
  <c r="O53" i="22"/>
  <c r="O56" i="22" s="1"/>
  <c r="U36" i="22"/>
  <c r="U53" i="22" s="1"/>
  <c r="U56" i="22" s="1"/>
  <c r="U33" i="22"/>
  <c r="T36" i="22"/>
  <c r="T53" i="22" s="1"/>
  <c r="T56" i="22" s="1"/>
  <c r="T33" i="22"/>
  <c r="O43" i="22"/>
  <c r="O47" i="22" s="1"/>
  <c r="S36" i="22"/>
  <c r="R43" i="22"/>
  <c r="R47" i="22" s="1"/>
  <c r="R40" i="22"/>
  <c r="N43" i="22"/>
  <c r="N47" i="22" s="1"/>
  <c r="N40" i="22"/>
  <c r="K43" i="22"/>
  <c r="K47" i="22" s="1"/>
  <c r="K40" i="22"/>
  <c r="L43" i="22"/>
  <c r="L47" i="22" s="1"/>
  <c r="L40" i="22"/>
  <c r="M43" i="22"/>
  <c r="M47" i="22" s="1"/>
  <c r="M40" i="22"/>
  <c r="O36" i="3"/>
  <c r="P31" i="3"/>
  <c r="O31" i="3"/>
  <c r="S40" i="22" l="1"/>
  <c r="S53" i="22"/>
  <c r="S56" i="22" s="1"/>
  <c r="T43" i="22"/>
  <c r="T47" i="22" s="1"/>
  <c r="T40" i="22"/>
  <c r="U43" i="22"/>
  <c r="U47" i="22" s="1"/>
  <c r="U40" i="22"/>
  <c r="S43" i="22"/>
  <c r="S47" i="22" s="1"/>
  <c r="V43" i="22"/>
  <c r="V47" i="22" s="1"/>
  <c r="V40" i="22"/>
  <c r="R38" i="3"/>
  <c r="P41" i="3"/>
  <c r="R39" i="3"/>
  <c r="P38" i="3"/>
  <c r="P39" i="3"/>
  <c r="R40" i="3"/>
  <c r="P40" i="3"/>
  <c r="O39" i="3"/>
  <c r="O40" i="3"/>
  <c r="O38" i="3"/>
  <c r="O41" i="3"/>
</calcChain>
</file>

<file path=xl/sharedStrings.xml><?xml version="1.0" encoding="utf-8"?>
<sst xmlns="http://schemas.openxmlformats.org/spreadsheetml/2006/main" count="669" uniqueCount="231">
  <si>
    <t xml:space="preserve">Arctic </t>
  </si>
  <si>
    <t>Laminaria solidungula</t>
  </si>
  <si>
    <t>Saccharina latissima</t>
  </si>
  <si>
    <t>Pacific</t>
  </si>
  <si>
    <t>Atlantic</t>
  </si>
  <si>
    <t>Mean</t>
  </si>
  <si>
    <t>Fraction of Hard Bottom</t>
  </si>
  <si>
    <t>Northern Shelf</t>
  </si>
  <si>
    <t>Southern Shelf</t>
  </si>
  <si>
    <t>Strait of Georgia</t>
  </si>
  <si>
    <t>Total</t>
  </si>
  <si>
    <t>Arctic</t>
  </si>
  <si>
    <t>Western Arctic</t>
  </si>
  <si>
    <t>Eastern Arctic</t>
  </si>
  <si>
    <t>Hudson Bay Complex</t>
  </si>
  <si>
    <t>Newfoundland / Laborador</t>
  </si>
  <si>
    <t>Gulf of Saint Lawrence</t>
  </si>
  <si>
    <t>Scotian Shelf</t>
  </si>
  <si>
    <t>Macrocystis pyrifera</t>
  </si>
  <si>
    <t>Nereocystis luetkeana</t>
  </si>
  <si>
    <t>Pleurophycus gardneri</t>
  </si>
  <si>
    <t>Canada</t>
  </si>
  <si>
    <t>L. digitata / H. nigripes</t>
  </si>
  <si>
    <t>A. clathratum / N. fimbriatum</t>
  </si>
  <si>
    <t>Costaria costata</t>
  </si>
  <si>
    <t>NA</t>
  </si>
  <si>
    <t>Source</t>
  </si>
  <si>
    <t>Max Percent Cover (%)</t>
  </si>
  <si>
    <t>Upper Qt (75%)</t>
  </si>
  <si>
    <t>Lower Qt (25%)</t>
  </si>
  <si>
    <t>Median</t>
  </si>
  <si>
    <t>Filbee-Dexter et al. 2021</t>
  </si>
  <si>
    <t>Joanne Lessard; DFO Benthic Habitat Mapping Survey</t>
  </si>
  <si>
    <t>Median Percent Cover (%)</t>
  </si>
  <si>
    <t>Lower Quartile Percent Cover(%)</t>
  </si>
  <si>
    <t>Hedophyllum nigripes</t>
  </si>
  <si>
    <t>Laminaria digitata</t>
  </si>
  <si>
    <t>Max</t>
  </si>
  <si>
    <t>Pterygophora californ</t>
  </si>
  <si>
    <t>Krumhansel - DFO 2022;  Attridge and Metaxas 2022</t>
  </si>
  <si>
    <r>
      <t xml:space="preserve">Lower Boundary Extent
</t>
    </r>
    <r>
      <rPr>
        <sz val="12"/>
        <color rgb="FF000000"/>
        <rFont val="Calibri"/>
        <family val="2"/>
        <scheme val="minor"/>
      </rPr>
      <t>(i.e., recent surface canopy maps determined by Sentinel-2 satellite imagery)</t>
    </r>
  </si>
  <si>
    <t>Mixed</t>
  </si>
  <si>
    <t>Nereocystis leutkeana</t>
  </si>
  <si>
    <t>Northern Grand Banks - Southern Labrador</t>
  </si>
  <si>
    <t>Northern Labrador</t>
  </si>
  <si>
    <t>Baffin Bay - Davis Strait</t>
  </si>
  <si>
    <t>Hudson Complex</t>
  </si>
  <si>
    <t>Lancaster Sound</t>
  </si>
  <si>
    <t>Beaufort-Amundsen-Viscount Melville-Queen Maud</t>
  </si>
  <si>
    <t>Gulf of St. Lawrence - Eastern Scotian Shelf</t>
  </si>
  <si>
    <t>Southern Grand Banks - South Newfoundland</t>
  </si>
  <si>
    <t>Gulf of Maine/Bay of Fundy</t>
  </si>
  <si>
    <t>Oregon, Washington, Vancouver Coast and Shelf</t>
  </si>
  <si>
    <t xml:space="preserve">North American Pacific Fijordland </t>
  </si>
  <si>
    <t>Puget Trough/ Georgia Basin</t>
  </si>
  <si>
    <t>Ecoregions</t>
  </si>
  <si>
    <t>Canada's Bioregions</t>
  </si>
  <si>
    <t>not available</t>
  </si>
  <si>
    <t>Surface kelps</t>
  </si>
  <si>
    <t>Marine Ecoregions</t>
  </si>
  <si>
    <t>Kelp Species</t>
  </si>
  <si>
    <t>Northern shelf</t>
  </si>
  <si>
    <t>Southern shelf</t>
  </si>
  <si>
    <t>Ecoregion</t>
  </si>
  <si>
    <t xml:space="preserve">Scotian Shelf </t>
  </si>
  <si>
    <t>Reef Area (ha)</t>
  </si>
  <si>
    <t xml:space="preserve">Area Other (ha) </t>
  </si>
  <si>
    <t>Fraction of Reef</t>
  </si>
  <si>
    <t>Area (Mha)</t>
  </si>
  <si>
    <t>Area (sqkm)</t>
  </si>
  <si>
    <t xml:space="preserve">Pacific </t>
  </si>
  <si>
    <t>Duarte et al. 2022</t>
  </si>
  <si>
    <t>Weblink</t>
  </si>
  <si>
    <t xml:space="preserve"> </t>
  </si>
  <si>
    <t xml:space="preserve">https://open.canada.ca/data/dataset/f2c493e4-ceaa-11eb-be59-1860247f53e3 </t>
  </si>
  <si>
    <t>https://onlinelibrary.wiley.com/doi/full/10.1111/geb.13515</t>
  </si>
  <si>
    <t>Greenlaw, M., Harvey, C. Data of: A substrate classification for the Inshore Scotian Shelf and Bay of Fundy, Maritimes Region. Published: March 2022. Coastal Ecosystems Science Division, Fisheries and Oceans Canada, St. Andrews, N.B.</t>
  </si>
  <si>
    <t>Area (hectares)</t>
  </si>
  <si>
    <t>Percentage of Total Kelp Extent (%)</t>
  </si>
  <si>
    <t>Coast</t>
  </si>
  <si>
    <t>Coasts</t>
  </si>
  <si>
    <t>EcoNumber</t>
  </si>
  <si>
    <t>North American Pacific Fijordland</t>
  </si>
  <si>
    <t>Puget Trough/Georgia Basin</t>
  </si>
  <si>
    <t>Sheet 1- Percent Cover (%)</t>
  </si>
  <si>
    <t>Mean Fractional Composition</t>
  </si>
  <si>
    <t>Sheet 2 - Fraction of Rocky Reef (Decimal)</t>
  </si>
  <si>
    <t xml:space="preserve">Sheet 3 - Areal Extent Calculation for Subsurface Kelps </t>
  </si>
  <si>
    <t xml:space="preserve">Sheet 4 - Areal Extent Calculation for Surface Kelps </t>
  </si>
  <si>
    <t>SOURCES:</t>
  </si>
  <si>
    <t>Area of Suitable Depths- 0 - 5m (ha)</t>
  </si>
  <si>
    <t>Area of Suitable Depths - 0 - 10m (ha)</t>
  </si>
  <si>
    <t>Area of Suitable Depths 0 - 20m (Mha)</t>
  </si>
  <si>
    <t>Area of Suitable Depths - 0 - 30m (ha)</t>
  </si>
  <si>
    <t>S1 - Kelp Cover</t>
  </si>
  <si>
    <t xml:space="preserve">Calculated Here: </t>
  </si>
  <si>
    <t xml:space="preserve">S2- Rocky Reef </t>
  </si>
  <si>
    <t>Surface kelps (BY COAST)</t>
  </si>
  <si>
    <t xml:space="preserve">Subsurface kelps </t>
  </si>
  <si>
    <t xml:space="preserve">Sheet 5 - Standing Stocks (Area-Specific) </t>
  </si>
  <si>
    <t xml:space="preserve">Sheet 6 - Carbon Production (Area-Specific) </t>
  </si>
  <si>
    <t>S6- Carbon Prod (Per Area)</t>
  </si>
  <si>
    <t xml:space="preserve">Calculated here: </t>
  </si>
  <si>
    <t>Calculated Here:</t>
  </si>
  <si>
    <r>
      <t>Relative Abundance (</t>
    </r>
    <r>
      <rPr>
        <sz val="12"/>
        <color theme="1"/>
        <rFont val="Calibri"/>
        <family val="2"/>
        <scheme val="minor"/>
      </rPr>
      <t>i.e., fraction of the mean total kelp cover and/or density per coast</t>
    </r>
    <r>
      <rPr>
        <b/>
        <sz val="12"/>
        <color theme="1"/>
        <rFont val="Calibri"/>
        <family val="2"/>
        <scheme val="minor"/>
      </rPr>
      <t>).</t>
    </r>
  </si>
  <si>
    <r>
      <t xml:space="preserve">Maximum Potential     </t>
    </r>
    <r>
      <rPr>
        <sz val="12"/>
        <color rgb="FF000000"/>
        <rFont val="Calibri"/>
        <family val="2"/>
        <scheme val="minor"/>
      </rPr>
      <t xml:space="preserve">             (i.e., area in hectares of reef shallower than 20m at the maximum observed cover)</t>
    </r>
  </si>
  <si>
    <r>
      <t xml:space="preserve">Lower Boundary Extent
</t>
    </r>
    <r>
      <rPr>
        <sz val="12"/>
        <color rgb="FF000000"/>
        <rFont val="Calibri"/>
        <family val="2"/>
        <scheme val="minor"/>
      </rPr>
      <t>(i.e., area in hectares of reef shallower than 20m at the 25th-percentile of observed cover)</t>
    </r>
  </si>
  <si>
    <r>
      <t xml:space="preserve">Relative Abundance </t>
    </r>
    <r>
      <rPr>
        <sz val="12"/>
        <color theme="1"/>
        <rFont val="Calibri"/>
        <family val="2"/>
        <scheme val="minor"/>
      </rPr>
      <t>(i.e., fraction of the mean total kelp cover and/or density per coast).</t>
    </r>
  </si>
  <si>
    <r>
      <t xml:space="preserve">Annual Carbon Production Per Coast </t>
    </r>
    <r>
      <rPr>
        <sz val="12"/>
        <color theme="1"/>
        <rFont val="Calibri"/>
        <family val="2"/>
        <scheme val="minor"/>
      </rPr>
      <t>(Mg Ha-1 Yr-1; Weighted Posterior Mean)</t>
    </r>
  </si>
  <si>
    <r>
      <t xml:space="preserve">Annual Carbon Production Per Species </t>
    </r>
    <r>
      <rPr>
        <sz val="12"/>
        <color theme="1"/>
        <rFont val="Calibri"/>
        <family val="2"/>
        <scheme val="minor"/>
      </rPr>
      <t>(Mg Ha-1 Yr-1; Posterior Mean)</t>
    </r>
  </si>
  <si>
    <r>
      <t xml:space="preserve">Carbon Stock Per Species </t>
    </r>
    <r>
      <rPr>
        <sz val="12"/>
        <color theme="1"/>
        <rFont val="Calibri"/>
        <family val="2"/>
        <scheme val="minor"/>
      </rPr>
      <t>(Mg Ha-1; Posterior Mean)</t>
    </r>
  </si>
  <si>
    <t xml:space="preserve">Sheet 7 - Carbon Export to Deep Ocean Sinks (Per Area) </t>
  </si>
  <si>
    <t xml:space="preserve">Sheet 8 - Total Carbon Stock, Production, and Export Capacity </t>
  </si>
  <si>
    <t>Step 8:</t>
  </si>
  <si>
    <t>S3 - Areal Extents</t>
  </si>
  <si>
    <t>Sourthern Shelf</t>
  </si>
  <si>
    <t xml:space="preserve">Gulf of Saint Lawrence </t>
  </si>
  <si>
    <t>Newfoundland / Labrador</t>
  </si>
  <si>
    <r>
      <t xml:space="preserve">StDev Export Rate Per Coast </t>
    </r>
    <r>
      <rPr>
        <sz val="12"/>
        <rFont val="Calibri"/>
        <family val="2"/>
        <scheme val="minor"/>
      </rPr>
      <t>(i.e., the fraction of kelp production reaching deep ocean sinks beyond 200m depth)</t>
    </r>
  </si>
  <si>
    <r>
      <t xml:space="preserve">Mean Export Rate Per Coast </t>
    </r>
    <r>
      <rPr>
        <sz val="12"/>
        <rFont val="Calibri"/>
        <family val="2"/>
        <scheme val="minor"/>
      </rPr>
      <t>(i.e., the fraction of kelp production reaching deep ocean sinks beyond 200m depth</t>
    </r>
    <r>
      <rPr>
        <b/>
        <sz val="12"/>
        <rFont val="Calibri"/>
        <family val="2"/>
        <scheme val="minor"/>
      </rPr>
      <t>)</t>
    </r>
  </si>
  <si>
    <r>
      <t>Mean Annual Carbon Export Capacity Per Coast</t>
    </r>
    <r>
      <rPr>
        <sz val="12"/>
        <color theme="1"/>
        <rFont val="Calibri"/>
        <family val="2"/>
        <scheme val="minor"/>
      </rPr>
      <t xml:space="preserve"> (Mg C Ha-1 Yr-1, i.e., the quantity of carbon potentially exported to deep ocean sinks beyond 200m depth) </t>
    </r>
  </si>
  <si>
    <r>
      <t xml:space="preserve">StDev Annual Carbon Export Capacity Per Coast </t>
    </r>
    <r>
      <rPr>
        <sz val="12"/>
        <color theme="1"/>
        <rFont val="Calibri"/>
        <family val="2"/>
        <scheme val="minor"/>
      </rPr>
      <t>(Mg C Ha-1 Yr-1, , i.e., the quantity of carbon potentially exported to deep ocean sinks beyond 200m depth)</t>
    </r>
  </si>
  <si>
    <r>
      <t xml:space="preserve">Carbon Stock in Living Biomass Per Coast </t>
    </r>
    <r>
      <rPr>
        <sz val="12"/>
        <color theme="1"/>
        <rFont val="Calibri"/>
        <family val="2"/>
        <scheme val="minor"/>
      </rPr>
      <t>(Mg Ha-1; Weighted Posterior Mean)</t>
    </r>
  </si>
  <si>
    <t>S5- Carbon Stocks (Per Area)</t>
  </si>
  <si>
    <r>
      <t>Mean Annual Carbon Export Capacity Per Coast</t>
    </r>
    <r>
      <rPr>
        <sz val="12"/>
        <color theme="1"/>
        <rFont val="Calibri"/>
        <family val="2"/>
        <scheme val="minor"/>
      </rPr>
      <t xml:space="preserve"> (Mg C Ha-1 Yr-1, i.e., the quantity of potential carbon export to deep ocean sinks beyond 200m depth) </t>
    </r>
  </si>
  <si>
    <t>Lower Carbon Stock in Living Biomass (Tg C)</t>
  </si>
  <si>
    <t>Median Carbon Stock in Living Biomass (Tg C)</t>
  </si>
  <si>
    <t>S7- Carbon Export (Per Area)</t>
  </si>
  <si>
    <t>Maximum Carbon Stock in Living Biomass per Ecoregion (Mg C)</t>
  </si>
  <si>
    <t>Median Carbon Stock in Living Biomass (Mg C)</t>
  </si>
  <si>
    <t>Lower Carbon Stock in Living Biomass (Mg C)</t>
  </si>
  <si>
    <t>Maximum Annual Carbon Production per Ecoregion (Mg C Yr-1)</t>
  </si>
  <si>
    <t>Median Annual Carbon Production per Ecoregion (Mg C Yr-1)</t>
  </si>
  <si>
    <t>Lower Annual Carbon Production per Ecoregion (Mg C Yr-1)</t>
  </si>
  <si>
    <t>Maximum Carbon Stock in Living Biomass per Ecoregion (Tg C)</t>
  </si>
  <si>
    <t>Maximum Carbon Stock in Living Biomass per Ecoregion (Tg CO2)</t>
  </si>
  <si>
    <t>Median Carbon Stock in Living Biomass (Tg CO2)</t>
  </si>
  <si>
    <t>Lower Carbon Stock in Living Biomass (Tg CO2)</t>
  </si>
  <si>
    <t>Maximum Annual Carbon  Export per Ecoregion (Mg C Yr-1)</t>
  </si>
  <si>
    <t>Median Annual Carbon Export per Ecoregion (Mg C Yr-1)</t>
  </si>
  <si>
    <t>Lower Annual Carbon Export per Ecoregion (Mg C Yr-1)</t>
  </si>
  <si>
    <t>Maximum Annual Carbon Production (Mg C Yr-1)</t>
  </si>
  <si>
    <t>Median Annual Carbon Production (Mg C Yr-1)</t>
  </si>
  <si>
    <t>Lower Annual Carbon Production (Mg C Yr-1)</t>
  </si>
  <si>
    <t>Maximum Annual Carbon Production  (Tg C Yr-1)</t>
  </si>
  <si>
    <t>Median Annual Carbon Production  (Tg C Yr-1)</t>
  </si>
  <si>
    <t>Lower Annual Carbon Production  (Tg C Yr-1)</t>
  </si>
  <si>
    <t>Maximum Annual Carbon Production  (Tg CO2 Yr-1)</t>
  </si>
  <si>
    <t>Median Annual Carbon Production  (Tg CO2 Yr-1)</t>
  </si>
  <si>
    <t>Lower Annual Carbon Production  (Tg CO2 Yr-1)</t>
  </si>
  <si>
    <r>
      <t xml:space="preserve">Median Extent </t>
    </r>
    <r>
      <rPr>
        <sz val="12"/>
        <color rgb="FF000000"/>
        <rFont val="Calibri"/>
        <family val="2"/>
        <scheme val="minor"/>
      </rPr>
      <t>(i.e.,  area in hectares of reef shallower than 20m at the median observed cover)</t>
    </r>
  </si>
  <si>
    <r>
      <t xml:space="preserve">Annual Carbon Export Per Species </t>
    </r>
    <r>
      <rPr>
        <sz val="12"/>
        <color theme="1"/>
        <rFont val="Calibri"/>
        <family val="2"/>
        <scheme val="minor"/>
      </rPr>
      <t>(Mg Ha-1 Yr-1; Posterior Mean)</t>
    </r>
  </si>
  <si>
    <t>Maximum Annual Carbon Export (Mg C Yr-1)</t>
  </si>
  <si>
    <t>Median Annual Carbon Export (Mg C Yr-1)</t>
  </si>
  <si>
    <t>Lower Annual Carbon Export (Mg C Yr-1)</t>
  </si>
  <si>
    <t>Maximum Annual Carbon Export  (Tg C Yr-1)</t>
  </si>
  <si>
    <t>Median Annual Carbon Export  (Tg C Yr-1)</t>
  </si>
  <si>
    <t>Lower Annual Carbon Export  (Tg C Yr-1)</t>
  </si>
  <si>
    <t>Maximum Annual Carbon Export  (Tg CO2 Yr-1)</t>
  </si>
  <si>
    <t>Median Annual Carbon Export  (Tg CO2 Yr-1)</t>
  </si>
  <si>
    <t>Lower Annual Carbon Export  (Tg CO2 Yr-1)</t>
  </si>
  <si>
    <t xml:space="preserve">Total </t>
  </si>
  <si>
    <t>Min</t>
  </si>
  <si>
    <t>Canada (mean)</t>
  </si>
  <si>
    <r>
      <t xml:space="preserve">Min Annual Carbon Export Capacity Per Coast </t>
    </r>
    <r>
      <rPr>
        <sz val="12"/>
        <color theme="1"/>
        <rFont val="Calibri"/>
        <family val="2"/>
        <scheme val="minor"/>
      </rPr>
      <t>(Mg C Ha-1 Yr-1, , i.e., the quantity of carbon potentially exported to deep ocean sinks beyond 200m depth)</t>
    </r>
  </si>
  <si>
    <r>
      <t xml:space="preserve">Max Annual Carbon Export Capacity Per Coast </t>
    </r>
    <r>
      <rPr>
        <sz val="12"/>
        <color theme="1"/>
        <rFont val="Calibri"/>
        <family val="2"/>
        <scheme val="minor"/>
      </rPr>
      <t>(Mg C Ha-1 Yr-1, , i.e., the quantity of carbon potentially exported to deep ocean sinks beyond 200m depth)</t>
    </r>
  </si>
  <si>
    <t>S7- Carbon Export (per Area)</t>
  </si>
  <si>
    <t>Subsurface kelps</t>
  </si>
  <si>
    <t>Pacific (subsurface)</t>
  </si>
  <si>
    <r>
      <t xml:space="preserve">Pacific </t>
    </r>
    <r>
      <rPr>
        <sz val="14"/>
        <color rgb="FF7030A0"/>
        <rFont val="Calibri"/>
        <family val="2"/>
        <scheme val="minor"/>
      </rPr>
      <t>(surface)</t>
    </r>
  </si>
  <si>
    <r>
      <t xml:space="preserve">Pacific </t>
    </r>
    <r>
      <rPr>
        <sz val="14"/>
        <color rgb="FF7030A0"/>
        <rFont val="Calibri"/>
        <family val="2"/>
        <scheme val="minor"/>
      </rPr>
      <t>(subsurface)</t>
    </r>
  </si>
  <si>
    <t>Pacific (surface)</t>
  </si>
  <si>
    <r>
      <t>Pacific</t>
    </r>
    <r>
      <rPr>
        <sz val="14"/>
        <color rgb="FF7030A0"/>
        <rFont val="Calibri"/>
        <family val="2"/>
        <scheme val="minor"/>
      </rPr>
      <t xml:space="preserve"> (surface)</t>
    </r>
  </si>
  <si>
    <r>
      <t xml:space="preserve">Pacific  </t>
    </r>
    <r>
      <rPr>
        <sz val="14"/>
        <color rgb="FF7030A0"/>
        <rFont val="Calibri"/>
        <family val="2"/>
        <scheme val="minor"/>
      </rPr>
      <t>(subsurface)</t>
    </r>
  </si>
  <si>
    <t>Percent of global extent (Duarte et al. 2021)</t>
  </si>
  <si>
    <t>Canada (weighted sum)</t>
  </si>
  <si>
    <t>Upper CI (95%</t>
  </si>
  <si>
    <t>Lower CI (95%)</t>
  </si>
  <si>
    <t xml:space="preserve">Calculated by McHenry et al. </t>
  </si>
  <si>
    <t>S3 - Areal Extents (Subsurface)</t>
  </si>
  <si>
    <t xml:space="preserve">Filbee-Dexter et al. in review </t>
  </si>
  <si>
    <r>
      <t xml:space="preserve">Mean Export Rate </t>
    </r>
    <r>
      <rPr>
        <sz val="12"/>
        <color theme="1"/>
        <rFont val="Open sans"/>
      </rPr>
      <t>(i.e., the percent of kelp production reaching deep ocean sinks beyond 200m depth)</t>
    </r>
  </si>
  <si>
    <r>
      <t xml:space="preserve">SD Export Rate  </t>
    </r>
    <r>
      <rPr>
        <sz val="12"/>
        <color theme="1"/>
        <rFont val="Open sans"/>
      </rPr>
      <t>(i.e., the percent of kelp production reaching deep ocean sinks beyond 200m depth)</t>
    </r>
  </si>
  <si>
    <r>
      <t xml:space="preserve">Fractional Mean Export Rate </t>
    </r>
    <r>
      <rPr>
        <sz val="12"/>
        <color theme="1"/>
        <rFont val="Open sans"/>
      </rPr>
      <t>(i.e., the fraction of kelp production reaching deep ocean sinks beyond 200m depth)</t>
    </r>
  </si>
  <si>
    <r>
      <t xml:space="preserve">Fractional StDev Export Rate  </t>
    </r>
    <r>
      <rPr>
        <sz val="12"/>
        <color theme="1"/>
        <rFont val="Open sans"/>
      </rPr>
      <t>(i.e., the fraction of kelp production reaching deep ocean sinks beyond 200m depth)</t>
    </r>
  </si>
  <si>
    <r>
      <t xml:space="preserve">Mean Annual Kelp Carbon Export Capacity Per Ecoregion </t>
    </r>
    <r>
      <rPr>
        <sz val="12"/>
        <color theme="1"/>
        <rFont val="Open sans"/>
      </rPr>
      <t xml:space="preserve">(Mg C Ha-1 Yr-1, i.e,. the quantity of carbon potentially exported to deep ocean sinks beyond 200m depth) </t>
    </r>
  </si>
  <si>
    <r>
      <t xml:space="preserve">Stdev Annual Carbon Export Capacity Per Ecoregion </t>
    </r>
    <r>
      <rPr>
        <sz val="12"/>
        <color theme="1"/>
        <rFont val="Open sans"/>
      </rPr>
      <t xml:space="preserve">(Mg C Ha-1 Yr-1, i.,e. the quantity of carbon potentially exported to deep ocean sinks beyond 200m depth) </t>
    </r>
  </si>
  <si>
    <r>
      <t xml:space="preserve">Maximum Suitable Depths </t>
    </r>
    <r>
      <rPr>
        <sz val="12"/>
        <color theme="1"/>
        <rFont val="Calibri"/>
        <family val="2"/>
        <scheme val="minor"/>
      </rPr>
      <t>(i.e.,  area in hectares of reef shallwer than max depth cutoff)</t>
    </r>
  </si>
  <si>
    <r>
      <t xml:space="preserve">Median Extent </t>
    </r>
    <r>
      <rPr>
        <sz val="12"/>
        <color rgb="FF000000"/>
        <rFont val="Calibri"/>
        <family val="2"/>
        <scheme val="minor"/>
      </rPr>
      <t>(i.e.,  area in hectares of reef shallower than 20m at the mean observed cover)</t>
    </r>
  </si>
  <si>
    <r>
      <t xml:space="preserve">Mean Annual Kelp Carbon Export Capacity Per Ecoregion </t>
    </r>
    <r>
      <rPr>
        <sz val="12"/>
        <color theme="1"/>
        <rFont val="Calibri"/>
        <family val="2"/>
        <scheme val="minor"/>
      </rPr>
      <t xml:space="preserve">(Mg C Ha-1 Yr-1, i.e,. the quantity of carbon potentially exported to deep ocean sinks beyond 200m depth) </t>
    </r>
  </si>
  <si>
    <r>
      <t xml:space="preserve">Stdev Annual Carbon Export Capacity Per Ecoregion </t>
    </r>
    <r>
      <rPr>
        <sz val="12"/>
        <color theme="1"/>
        <rFont val="Calibri"/>
        <family val="2"/>
        <scheme val="minor"/>
      </rPr>
      <t xml:space="preserve">(Mg C Ha-1 Yr-1, i.,e. the quantity of carbon potentially exported to deep ocean sinks beyond 200m depth) </t>
    </r>
  </si>
  <si>
    <r>
      <t xml:space="preserve">Pacific </t>
    </r>
    <r>
      <rPr>
        <sz val="12"/>
        <color rgb="FF7030A0"/>
        <rFont val="Calibri"/>
        <family val="2"/>
        <scheme val="minor"/>
      </rPr>
      <t>(surface)</t>
    </r>
  </si>
  <si>
    <r>
      <t>Pacific</t>
    </r>
    <r>
      <rPr>
        <sz val="12"/>
        <color rgb="FF7030A0"/>
        <rFont val="Calibri"/>
        <family val="2"/>
        <scheme val="minor"/>
      </rPr>
      <t xml:space="preserve"> (surface)</t>
    </r>
  </si>
  <si>
    <r>
      <t>Pacific</t>
    </r>
    <r>
      <rPr>
        <sz val="12"/>
        <color rgb="FF7030A0"/>
        <rFont val="Calibri"/>
        <family val="2"/>
        <scheme val="minor"/>
      </rPr>
      <t xml:space="preserve"> (subsurface)</t>
    </r>
  </si>
  <si>
    <r>
      <t>Step 7:</t>
    </r>
    <r>
      <rPr>
        <sz val="14"/>
        <color theme="1"/>
        <rFont val="Calibri"/>
        <family val="2"/>
        <scheme val="minor"/>
      </rPr>
      <t xml:space="preserve"> Estimate the annual rate of kelp carbon export per area by species, ecoregion, and coast, using the available information on the rate of particlate export reaching waters deeper than 200m(%) and the posterior mean estimates of annual carbon production per species (S6 - Carbon Prod -Per Area).</t>
    </r>
  </si>
  <si>
    <r>
      <t>Step 1:</t>
    </r>
    <r>
      <rPr>
        <sz val="14"/>
        <color theme="1"/>
        <rFont val="Calibri"/>
        <family val="2"/>
        <scheme val="minor"/>
      </rPr>
      <t xml:space="preserve"> Compile availabe information on the percent cover of kelps by species and coast. Where percent cover data is not available, other relative abundance measures can be used (e.g., based on relative densities and/or biomass measurements). </t>
    </r>
  </si>
  <si>
    <r>
      <t xml:space="preserve">Step 2: </t>
    </r>
    <r>
      <rPr>
        <sz val="14"/>
        <color theme="1"/>
        <rFont val="Calibri"/>
        <family val="2"/>
        <scheme val="minor"/>
      </rPr>
      <t xml:space="preserve">Compile available information on the percent of rocky reefs, including continuous and discontinous ledge and boulder habitats, by coast. Where spatial explicit data is not available, coarser estimates from the literature or from other regions of the coast can be used as a proxy. </t>
    </r>
  </si>
  <si>
    <r>
      <t xml:space="preserve">Step 3: </t>
    </r>
    <r>
      <rPr>
        <sz val="14"/>
        <color theme="1"/>
        <rFont val="Calibri"/>
        <family val="2"/>
        <scheme val="minor"/>
      </rPr>
      <t xml:space="preserve">Calculate the areal extent of subsurface kelp forests using compiled estimates of kelp cover (S1- Kelp Cover), rocky reef coverage (S2- Rocky Reef), and the area of suitable depths per coast. </t>
    </r>
  </si>
  <si>
    <r>
      <t xml:space="preserve">Maximum Suitable Depths </t>
    </r>
    <r>
      <rPr>
        <sz val="12"/>
        <color theme="1"/>
        <rFont val="Calibri"/>
        <family val="2"/>
        <scheme val="minor"/>
      </rPr>
      <t>(i.e.,  area in hectares of reef shallwer than 20m)</t>
    </r>
  </si>
  <si>
    <r>
      <t xml:space="preserve">Step 4: </t>
    </r>
    <r>
      <rPr>
        <sz val="14"/>
        <color theme="1"/>
        <rFont val="Calibri"/>
        <family val="2"/>
        <scheme val="minor"/>
      </rPr>
      <t xml:space="preserve">Calculate the areal extent of surface kelp forests using compiled estimates rocky reef coverage (S2- Rocky Reef), the area of suitable depths , and available remote sensing/ aerial maps per coast. </t>
    </r>
  </si>
  <si>
    <r>
      <t xml:space="preserve">Lower Boundary Extent
</t>
    </r>
    <r>
      <rPr>
        <sz val="12"/>
        <color rgb="FF000000"/>
        <rFont val="Calibri"/>
        <family val="2"/>
        <scheme val="minor"/>
      </rPr>
      <t>(i.e.,  area in hectares of recent surface canopy maps determined by Sentinel-2 satellite imagery)</t>
    </r>
  </si>
  <si>
    <r>
      <t>Maximum Potential Extent</t>
    </r>
    <r>
      <rPr>
        <sz val="12"/>
        <color rgb="FF000000"/>
        <rFont val="Calibri"/>
        <family val="2"/>
        <scheme val="minor"/>
      </rPr>
      <t xml:space="preserve"> (i.e.,  area in hectares of reef shallower than 10m assuming 100% cover)</t>
    </r>
  </si>
  <si>
    <r>
      <t xml:space="preserve">Step 5: </t>
    </r>
    <r>
      <rPr>
        <sz val="14"/>
        <color theme="1"/>
        <rFont val="Calibri"/>
        <family val="2"/>
        <scheme val="minor"/>
      </rPr>
      <t xml:space="preserve">Determine the posterior mean estimate for the carbon stock held by the canopy biomass of kelp species on each coast from Bayesian Regression Models (Script </t>
    </r>
    <r>
      <rPr>
        <sz val="14"/>
        <color rgb="FF0066FF"/>
        <rFont val="Calibri"/>
        <family val="2"/>
        <scheme val="minor"/>
      </rPr>
      <t>"Fitting_BRMs_for_Kelp_Species_Carbon_Stocks.Rmd"</t>
    </r>
    <r>
      <rPr>
        <sz val="14"/>
        <color theme="1"/>
        <rFont val="Calibri"/>
        <family val="2"/>
        <scheme val="minor"/>
      </rPr>
      <t>). Determined the per-area carbon stock potential of kelp forests by combining posterior means based on the relative percent cover and/or abundance of kelp species found on each coast (S1 - Kelp Cover).</t>
    </r>
  </si>
  <si>
    <r>
      <t xml:space="preserve">Calculated from Script </t>
    </r>
    <r>
      <rPr>
        <b/>
        <sz val="15"/>
        <color rgb="FF0066FF"/>
        <rFont val="Calibri"/>
        <family val="2"/>
        <scheme val="minor"/>
      </rPr>
      <t>"Fitting_BRMs_for_Kelp_Species_Carbon_Stocks.Rmd"</t>
    </r>
  </si>
  <si>
    <r>
      <t xml:space="preserve">Step 6: </t>
    </r>
    <r>
      <rPr>
        <sz val="14"/>
        <color theme="1"/>
        <rFont val="Calibri"/>
        <family val="2"/>
        <scheme val="minor"/>
      </rPr>
      <t xml:space="preserve">Determine the posterior mean estimate for the annual carbon production rate  of kelp species on each coast from Bayesian Regression Models (Script </t>
    </r>
    <r>
      <rPr>
        <sz val="14"/>
        <color rgb="FF0066FF"/>
        <rFont val="Calibri"/>
        <family val="2"/>
        <scheme val="minor"/>
      </rPr>
      <t>"Fitting_BRMs_for_Kelp_Species_Carbon_Production_Rates.Rmd"</t>
    </r>
    <r>
      <rPr>
        <sz val="14"/>
        <color theme="1"/>
        <rFont val="Calibri"/>
        <family val="2"/>
        <scheme val="minor"/>
      </rPr>
      <t>). Determine the per-area carbon carbon potential of kelp forests by combining the posterior mean estimates based on the relative percent cover and/or abundance of kelp species found on each coast (S1 - Kelp Cover).</t>
    </r>
  </si>
  <si>
    <r>
      <t xml:space="preserve">Calculated from Script </t>
    </r>
    <r>
      <rPr>
        <sz val="15"/>
        <color rgb="FF0066FF"/>
        <rFont val="Calibri"/>
        <family val="2"/>
        <scheme val="minor"/>
      </rPr>
      <t>"Fitting_BRMs_for_Kelp_Species_Carbon_Production_Rates.Rmd"</t>
    </r>
  </si>
  <si>
    <r>
      <t xml:space="preserve">Low Boundary Extent
</t>
    </r>
    <r>
      <rPr>
        <sz val="12"/>
        <color rgb="FF000000"/>
        <rFont val="Calibri"/>
        <family val="2"/>
        <scheme val="minor"/>
      </rPr>
      <t>(i.e.,  area in hectares of recent surface canopy maps determined by Sentinel-2 satellite imagery)</t>
    </r>
  </si>
  <si>
    <r>
      <t xml:space="preserve">Median Boundary Extent </t>
    </r>
    <r>
      <rPr>
        <sz val="12"/>
        <color rgb="FF000000"/>
        <rFont val="Calibri"/>
        <family val="2"/>
        <scheme val="minor"/>
      </rPr>
      <t>(i.e., area in hectares of the historical BCMA maps)</t>
    </r>
  </si>
  <si>
    <t>SUBSURFACE KELPS</t>
  </si>
  <si>
    <t>SURFACE KELPS</t>
  </si>
  <si>
    <t>S4 - Areal Extents</t>
  </si>
  <si>
    <r>
      <t xml:space="preserve">Maximum Suitable Depths </t>
    </r>
    <r>
      <rPr>
        <sz val="12"/>
        <color theme="1"/>
        <rFont val="Calibri"/>
        <family val="2"/>
        <scheme val="minor"/>
      </rPr>
      <t>(i.e.,  area in hectares of reef shallower than max depth cutoff)</t>
    </r>
  </si>
  <si>
    <r>
      <t>Median Boundary Extent</t>
    </r>
    <r>
      <rPr>
        <sz val="12"/>
        <color rgb="FF000000"/>
        <rFont val="Calibri"/>
        <family val="2"/>
        <scheme val="minor"/>
      </rPr>
      <t xml:space="preserve"> (i.e., area in hectares of the historical BCMA maps)</t>
    </r>
  </si>
  <si>
    <t>Gregr et al. 2021</t>
  </si>
  <si>
    <t>10.1371/journal.pone.0259156</t>
  </si>
  <si>
    <t>High Quartile Percent Cover (%)</t>
  </si>
  <si>
    <r>
      <t xml:space="preserve">High Boundary Extent                          </t>
    </r>
    <r>
      <rPr>
        <sz val="12"/>
        <color rgb="FF000000"/>
        <rFont val="Calibri"/>
        <family val="2"/>
        <scheme val="minor"/>
      </rPr>
      <t>(i.e.,  area in hectares of reef shallower than 20m at the 75th-percentile of observed cover)</t>
    </r>
  </si>
  <si>
    <t>Surface kelps (High &amp; Lower Bound by Species)</t>
  </si>
  <si>
    <r>
      <t xml:space="preserve">High Boundary Extent                         </t>
    </r>
    <r>
      <rPr>
        <sz val="12"/>
        <color rgb="FF000000"/>
        <rFont val="Calibri"/>
        <family val="2"/>
        <scheme val="minor"/>
      </rPr>
      <t>(i.e., area in hectares of reef shallower than 10m intersecting historic shoreline maps)</t>
    </r>
  </si>
  <si>
    <r>
      <t xml:space="preserve">High Boundary Extent                         </t>
    </r>
    <r>
      <rPr>
        <sz val="12"/>
        <color rgb="FF000000"/>
        <rFont val="Calibri"/>
        <family val="2"/>
        <scheme val="minor"/>
      </rPr>
      <t>(i.e., reef shallower than 10m intersecting historic shoreline maps)</t>
    </r>
  </si>
  <si>
    <t>High Carbon Stock in Living Biomass (Mg C)</t>
  </si>
  <si>
    <t>High Annual Carbon Production per Ecoregion (Mg C Yr-1)</t>
  </si>
  <si>
    <t>High Annual Carbon Export per Ecoregion (Mg C Yr-1)</t>
  </si>
  <si>
    <t>High Annual Carbon Production (Mg C Yr-1)</t>
  </si>
  <si>
    <t>High Annual Carbon Export (Mg C Yr-1)</t>
  </si>
  <si>
    <t>High Carbon Stock in Living Biomass (Tg C)</t>
  </si>
  <si>
    <t>High Annual Carbon Production  (Tg C Yr-1)</t>
  </si>
  <si>
    <t>High Annual Carbon Export  (Tg C Yr-1)</t>
  </si>
  <si>
    <t>High Carbon Stock in Living Biomass (Tg CO2)</t>
  </si>
  <si>
    <t>High Annual Carbon Production  (Tg CO2 Yr-1)</t>
  </si>
  <si>
    <t>High Annual Carbon Export  (Tg CO2 Yr-1)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</si>
</sst>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8" x14ac:knownFonts="1">
    <font>
      <sz val="11"/>
      <color theme="1"/>
      <name val="Calibri"/>
      <family val="2"/>
      <scheme val="minor"/>
    </font>
    <font>
      <b/>
      <sz val="14"/>
      <color theme="1"/>
      <name val="Calibri"/>
      <family val="2"/>
      <scheme val="minor"/>
    </font>
    <font>
      <b/>
      <u/>
      <sz val="15"/>
      <color theme="1"/>
      <name val="Calibri"/>
      <family val="2"/>
      <scheme val="minor"/>
    </font>
    <font>
      <b/>
      <sz val="12"/>
      <color rgb="FF000000"/>
      <name val="Calibri"/>
      <family val="2"/>
      <scheme val="minor"/>
    </font>
    <font>
      <sz val="12"/>
      <color rgb="FF000000"/>
      <name val="Calibri"/>
      <family val="2"/>
      <scheme val="minor"/>
    </font>
    <font>
      <sz val="11"/>
      <name val="Calibri"/>
      <family val="2"/>
      <scheme val="minor"/>
    </font>
    <font>
      <b/>
      <sz val="12"/>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12"/>
      <name val="Calibri"/>
      <family val="2"/>
      <scheme val="minor"/>
    </font>
    <font>
      <b/>
      <sz val="14"/>
      <color rgb="FF7030A0"/>
      <name val="Calibri"/>
      <family val="2"/>
      <scheme val="minor"/>
    </font>
    <font>
      <b/>
      <sz val="14"/>
      <color rgb="FF33CC33"/>
      <name val="Calibri"/>
      <family val="2"/>
      <scheme val="minor"/>
    </font>
    <font>
      <b/>
      <sz val="14"/>
      <color rgb="FF0066FF"/>
      <name val="Calibri"/>
      <family val="2"/>
      <scheme val="minor"/>
    </font>
    <font>
      <sz val="12"/>
      <color rgb="FF0066FF"/>
      <name val="Calibri"/>
      <family val="2"/>
      <scheme val="minor"/>
    </font>
    <font>
      <sz val="12"/>
      <color rgb="FF33CC33"/>
      <name val="Calibri"/>
      <family val="2"/>
      <scheme val="minor"/>
    </font>
    <font>
      <b/>
      <sz val="15"/>
      <color theme="1"/>
      <name val="Calibri"/>
      <family val="2"/>
      <scheme val="minor"/>
    </font>
    <font>
      <b/>
      <sz val="14"/>
      <color rgb="FF000000"/>
      <name val="Calibri"/>
      <family val="2"/>
      <scheme val="minor"/>
    </font>
    <font>
      <i/>
      <sz val="12"/>
      <name val="Calibri"/>
      <family val="2"/>
      <scheme val="minor"/>
    </font>
    <font>
      <b/>
      <sz val="12"/>
      <color rgb="FF0066FF"/>
      <name val="Calibri"/>
      <family val="2"/>
      <scheme val="minor"/>
    </font>
    <font>
      <b/>
      <sz val="12"/>
      <color rgb="FF7030A0"/>
      <name val="Calibri"/>
      <family val="2"/>
      <scheme val="minor"/>
    </font>
    <font>
      <b/>
      <sz val="12"/>
      <color rgb="FF33CC33"/>
      <name val="Calibri"/>
      <family val="2"/>
      <scheme val="minor"/>
    </font>
    <font>
      <b/>
      <sz val="14"/>
      <name val="Calibri"/>
      <family val="2"/>
      <scheme val="minor"/>
    </font>
    <font>
      <sz val="15"/>
      <color theme="1"/>
      <name val="Calibri"/>
      <family val="2"/>
      <scheme val="minor"/>
    </font>
    <font>
      <sz val="11"/>
      <color theme="1"/>
      <name val="Calibri"/>
      <family val="2"/>
      <scheme val="minor"/>
    </font>
    <font>
      <sz val="14"/>
      <color rgb="FF7030A0"/>
      <name val="Calibri"/>
      <family val="2"/>
      <scheme val="minor"/>
    </font>
    <font>
      <b/>
      <sz val="20"/>
      <color theme="1"/>
      <name val="Open sans"/>
    </font>
    <font>
      <sz val="11"/>
      <color theme="1"/>
      <name val="Open sans"/>
    </font>
    <font>
      <b/>
      <sz val="14"/>
      <color theme="1"/>
      <name val="Open sans"/>
    </font>
    <font>
      <sz val="14"/>
      <color theme="1"/>
      <name val="Open sans"/>
    </font>
    <font>
      <b/>
      <sz val="12"/>
      <color theme="1"/>
      <name val="Open sans"/>
    </font>
    <font>
      <b/>
      <sz val="11"/>
      <color theme="1"/>
      <name val="Open sans"/>
    </font>
    <font>
      <sz val="11"/>
      <color rgb="FF0066FF"/>
      <name val="Open sans"/>
    </font>
    <font>
      <sz val="12"/>
      <color theme="1"/>
      <name val="Open sans"/>
    </font>
    <font>
      <sz val="11"/>
      <color rgb="FF7030A0"/>
      <name val="Open sans"/>
    </font>
    <font>
      <sz val="11"/>
      <color rgb="FF33CC33"/>
      <name val="Open sans"/>
    </font>
    <font>
      <b/>
      <u/>
      <sz val="15"/>
      <color theme="1"/>
      <name val="Open sans"/>
    </font>
    <font>
      <b/>
      <sz val="15"/>
      <color theme="1"/>
      <name val="Open sans"/>
    </font>
    <font>
      <b/>
      <sz val="12"/>
      <color rgb="FF0066FF"/>
      <name val="Open sans"/>
    </font>
    <font>
      <b/>
      <sz val="12"/>
      <color rgb="FF7030A0"/>
      <name val="Open sans"/>
    </font>
    <font>
      <b/>
      <sz val="12"/>
      <color rgb="FF33CC33"/>
      <name val="Open sans"/>
    </font>
    <font>
      <b/>
      <sz val="14"/>
      <name val="Open sans"/>
    </font>
    <font>
      <b/>
      <sz val="11"/>
      <color theme="1"/>
      <name val="Calibri"/>
      <family val="2"/>
      <scheme val="minor"/>
    </font>
    <font>
      <b/>
      <sz val="20"/>
      <color theme="1"/>
      <name val="Calibri"/>
      <family val="2"/>
      <scheme val="minor"/>
    </font>
    <font>
      <sz val="12"/>
      <color rgb="FF7030A0"/>
      <name val="Calibri"/>
      <family val="2"/>
      <scheme val="minor"/>
    </font>
    <font>
      <sz val="14"/>
      <color theme="1"/>
      <name val="Calibri"/>
      <family val="2"/>
      <scheme val="minor"/>
    </font>
    <font>
      <sz val="11"/>
      <color rgb="FF0066FF"/>
      <name val="Calibri"/>
      <family val="2"/>
      <scheme val="minor"/>
    </font>
    <font>
      <sz val="11"/>
      <color rgb="FF7030A0"/>
      <name val="Calibri"/>
      <family val="2"/>
      <scheme val="minor"/>
    </font>
    <font>
      <sz val="11"/>
      <color rgb="FF33CC33"/>
      <name val="Calibri"/>
      <family val="2"/>
      <scheme val="minor"/>
    </font>
    <font>
      <sz val="20"/>
      <color theme="1"/>
      <name val="Calibri"/>
      <family val="2"/>
      <scheme val="minor"/>
    </font>
    <font>
      <sz val="12"/>
      <color rgb="FF333333"/>
      <name val="Calibri"/>
      <family val="2"/>
      <scheme val="minor"/>
    </font>
    <font>
      <u/>
      <sz val="12"/>
      <color theme="10"/>
      <name val="Calibri"/>
      <family val="2"/>
      <scheme val="minor"/>
    </font>
    <font>
      <b/>
      <sz val="11"/>
      <color rgb="FF7030A0"/>
      <name val="Calibri"/>
      <family val="2"/>
      <scheme val="minor"/>
    </font>
    <font>
      <sz val="14"/>
      <color rgb="FF0066FF"/>
      <name val="Calibri"/>
      <family val="2"/>
      <scheme val="minor"/>
    </font>
    <font>
      <b/>
      <sz val="15"/>
      <color rgb="FF0066FF"/>
      <name val="Calibri"/>
      <family val="2"/>
      <scheme val="minor"/>
    </font>
    <font>
      <sz val="15"/>
      <color rgb="FF0066FF"/>
      <name val="Calibri"/>
      <family val="2"/>
      <scheme val="minor"/>
    </font>
    <font>
      <sz val="13"/>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CECFF"/>
        <bgColor indexed="64"/>
      </patternFill>
    </fill>
    <fill>
      <patternFill patternType="solid">
        <fgColor rgb="FFCCCCFF"/>
        <bgColor indexed="64"/>
      </patternFill>
    </fill>
    <fill>
      <patternFill patternType="solid">
        <fgColor rgb="FF99FFCC"/>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7" fillId="0" borderId="0" applyNumberFormat="0" applyFill="0" applyBorder="0" applyAlignment="0" applyProtection="0"/>
    <xf numFmtId="9" fontId="25" fillId="0" borderId="0" applyFont="0" applyFill="0" applyBorder="0" applyAlignment="0" applyProtection="0"/>
  </cellStyleXfs>
  <cellXfs count="281">
    <xf numFmtId="0" fontId="0" fillId="0" borderId="0" xfId="0"/>
    <xf numFmtId="0" fontId="1" fillId="0" borderId="2" xfId="0" applyFont="1" applyBorder="1"/>
    <xf numFmtId="2" fontId="0" fillId="0" borderId="0" xfId="0" applyNumberFormat="1"/>
    <xf numFmtId="0" fontId="3" fillId="0" borderId="0" xfId="0" applyFont="1" applyAlignment="1">
      <alignment vertical="center" wrapText="1"/>
    </xf>
    <xf numFmtId="1" fontId="2" fillId="0" borderId="0" xfId="0" applyNumberFormat="1" applyFont="1"/>
    <xf numFmtId="0" fontId="8" fillId="0" borderId="0" xfId="0" applyFont="1"/>
    <xf numFmtId="2" fontId="8" fillId="0" borderId="0" xfId="0" applyNumberFormat="1" applyFont="1"/>
    <xf numFmtId="1" fontId="11" fillId="2" borderId="2" xfId="0" applyNumberFormat="1" applyFont="1" applyFill="1" applyBorder="1" applyAlignment="1">
      <alignment vertical="center"/>
    </xf>
    <xf numFmtId="2" fontId="8" fillId="2" borderId="2" xfId="0" applyNumberFormat="1" applyFont="1" applyFill="1" applyBorder="1"/>
    <xf numFmtId="1" fontId="5" fillId="0" borderId="0" xfId="0" applyNumberFormat="1" applyFont="1" applyAlignment="1">
      <alignment vertical="center"/>
    </xf>
    <xf numFmtId="2" fontId="8" fillId="2" borderId="2" xfId="0" applyNumberFormat="1" applyFont="1" applyFill="1" applyBorder="1" applyAlignment="1">
      <alignment wrapText="1"/>
    </xf>
    <xf numFmtId="2" fontId="8" fillId="0" borderId="2" xfId="0" applyNumberFormat="1" applyFont="1" applyBorder="1"/>
    <xf numFmtId="1" fontId="8" fillId="0" borderId="0" xfId="0" applyNumberFormat="1" applyFont="1"/>
    <xf numFmtId="165" fontId="8" fillId="0" borderId="2" xfId="0" applyNumberFormat="1" applyFont="1" applyBorder="1"/>
    <xf numFmtId="0" fontId="10" fillId="0" borderId="0" xfId="0" applyFont="1" applyAlignment="1">
      <alignment horizontal="right"/>
    </xf>
    <xf numFmtId="0" fontId="10" fillId="0" borderId="0" xfId="0" applyFont="1"/>
    <xf numFmtId="0" fontId="8" fillId="0" borderId="0" xfId="0" applyFont="1" applyAlignment="1">
      <alignment wrapText="1"/>
    </xf>
    <xf numFmtId="2" fontId="10" fillId="0" borderId="0" xfId="0" applyNumberFormat="1" applyFont="1"/>
    <xf numFmtId="0" fontId="12" fillId="0" borderId="2" xfId="0" applyFont="1" applyBorder="1"/>
    <xf numFmtId="0" fontId="13" fillId="0" borderId="2" xfId="0" applyFont="1" applyBorder="1"/>
    <xf numFmtId="0" fontId="14" fillId="0" borderId="2" xfId="0" applyFont="1" applyBorder="1"/>
    <xf numFmtId="0" fontId="10" fillId="0" borderId="0" xfId="0" applyFont="1" applyAlignment="1">
      <alignment horizontal="right" wrapText="1"/>
    </xf>
    <xf numFmtId="0" fontId="6" fillId="0" borderId="0" xfId="0" applyFont="1" applyAlignment="1">
      <alignment wrapText="1"/>
    </xf>
    <xf numFmtId="1" fontId="6" fillId="0" borderId="0" xfId="0" applyNumberFormat="1" applyFont="1" applyAlignment="1">
      <alignment wrapText="1"/>
    </xf>
    <xf numFmtId="164" fontId="8" fillId="0" borderId="0" xfId="0" applyNumberFormat="1" applyFont="1" applyAlignment="1">
      <alignment horizontal="right"/>
    </xf>
    <xf numFmtId="164" fontId="10" fillId="0" borderId="0" xfId="0" applyNumberFormat="1" applyFont="1"/>
    <xf numFmtId="0" fontId="8" fillId="0" borderId="0" xfId="0" applyFont="1" applyAlignment="1">
      <alignment horizontal="right"/>
    </xf>
    <xf numFmtId="0" fontId="16" fillId="0" borderId="0" xfId="0" applyFont="1" applyAlignment="1">
      <alignment horizontal="left" wrapText="1"/>
    </xf>
    <xf numFmtId="0" fontId="10" fillId="0" borderId="0" xfId="0" applyFont="1" applyAlignment="1">
      <alignment horizontal="left"/>
    </xf>
    <xf numFmtId="0" fontId="10" fillId="0" borderId="0" xfId="0" applyFont="1" applyAlignment="1">
      <alignment wrapText="1"/>
    </xf>
    <xf numFmtId="164" fontId="8" fillId="0" borderId="0" xfId="0" applyNumberFormat="1" applyFont="1"/>
    <xf numFmtId="2" fontId="8" fillId="0" borderId="0" xfId="0" applyNumberFormat="1" applyFont="1" applyAlignment="1">
      <alignment horizontal="right"/>
    </xf>
    <xf numFmtId="2" fontId="9" fillId="0" borderId="0" xfId="0" applyNumberFormat="1" applyFont="1" applyAlignment="1">
      <alignment vertical="center"/>
    </xf>
    <xf numFmtId="0" fontId="14" fillId="3" borderId="2" xfId="0" applyFont="1" applyFill="1" applyBorder="1"/>
    <xf numFmtId="0" fontId="0" fillId="3" borderId="2" xfId="0" applyFill="1" applyBorder="1"/>
    <xf numFmtId="0" fontId="12" fillId="3" borderId="2" xfId="0" applyFont="1" applyFill="1" applyBorder="1"/>
    <xf numFmtId="0" fontId="13" fillId="3" borderId="2" xfId="0" applyFont="1" applyFill="1" applyBorder="1"/>
    <xf numFmtId="0" fontId="6" fillId="3" borderId="2" xfId="0" applyFont="1" applyFill="1" applyBorder="1"/>
    <xf numFmtId="0" fontId="8" fillId="3" borderId="2" xfId="0" applyFont="1" applyFill="1" applyBorder="1"/>
    <xf numFmtId="0" fontId="6" fillId="3" borderId="2" xfId="0" applyFont="1" applyFill="1" applyBorder="1" applyAlignment="1">
      <alignment horizontal="left" wrapText="1"/>
    </xf>
    <xf numFmtId="0" fontId="6" fillId="3" borderId="2" xfId="0" applyFont="1" applyFill="1" applyBorder="1" applyAlignment="1">
      <alignment wrapText="1"/>
    </xf>
    <xf numFmtId="0" fontId="3" fillId="3" borderId="0" xfId="0" applyFont="1" applyFill="1" applyAlignment="1">
      <alignment vertical="center" wrapText="1"/>
    </xf>
    <xf numFmtId="2" fontId="6" fillId="3" borderId="2" xfId="0" applyNumberFormat="1" applyFont="1" applyFill="1" applyBorder="1" applyAlignment="1">
      <alignment wrapText="1"/>
    </xf>
    <xf numFmtId="1" fontId="2" fillId="3" borderId="2" xfId="0" applyNumberFormat="1" applyFont="1" applyFill="1" applyBorder="1" applyAlignment="1">
      <alignment horizontal="right"/>
    </xf>
    <xf numFmtId="164" fontId="10" fillId="3" borderId="0" xfId="0" applyNumberFormat="1" applyFont="1" applyFill="1"/>
    <xf numFmtId="0" fontId="3" fillId="3" borderId="2" xfId="0" applyFont="1" applyFill="1" applyBorder="1" applyAlignment="1">
      <alignment vertical="center" wrapText="1"/>
    </xf>
    <xf numFmtId="0" fontId="8" fillId="0" borderId="0" xfId="0" applyFont="1" applyAlignment="1">
      <alignment horizontal="left"/>
    </xf>
    <xf numFmtId="2" fontId="19" fillId="0" borderId="0" xfId="0" applyNumberFormat="1" applyFont="1" applyAlignment="1">
      <alignment vertical="center"/>
    </xf>
    <xf numFmtId="2" fontId="10" fillId="0" borderId="0" xfId="0" applyNumberFormat="1" applyFont="1" applyAlignment="1">
      <alignment horizontal="right"/>
    </xf>
    <xf numFmtId="164" fontId="8" fillId="0" borderId="0" xfId="0" applyNumberFormat="1" applyFont="1" applyAlignment="1">
      <alignment horizontal="right" wrapText="1"/>
    </xf>
    <xf numFmtId="0" fontId="10" fillId="3" borderId="2" xfId="0" applyFont="1" applyFill="1" applyBorder="1" applyAlignment="1">
      <alignment horizontal="right"/>
    </xf>
    <xf numFmtId="0" fontId="8" fillId="5" borderId="2" xfId="0" applyFont="1" applyFill="1" applyBorder="1" applyAlignment="1">
      <alignment horizontal="left"/>
    </xf>
    <xf numFmtId="164" fontId="10" fillId="5" borderId="2" xfId="0" applyNumberFormat="1" applyFont="1" applyFill="1" applyBorder="1"/>
    <xf numFmtId="0" fontId="20" fillId="3" borderId="2" xfId="0" applyFont="1" applyFill="1" applyBorder="1" applyAlignment="1">
      <alignment horizontal="left"/>
    </xf>
    <xf numFmtId="0" fontId="21" fillId="3" borderId="2" xfId="0" applyFont="1" applyFill="1" applyBorder="1" applyAlignment="1">
      <alignment horizontal="left"/>
    </xf>
    <xf numFmtId="0" fontId="22" fillId="3" borderId="2" xfId="0" applyFont="1" applyFill="1" applyBorder="1" applyAlignment="1">
      <alignment horizontal="left" wrapText="1"/>
    </xf>
    <xf numFmtId="0" fontId="8" fillId="5" borderId="2" xfId="0" applyFont="1" applyFill="1" applyBorder="1"/>
    <xf numFmtId="1" fontId="2" fillId="3" borderId="2" xfId="0" applyNumberFormat="1" applyFont="1" applyFill="1" applyBorder="1"/>
    <xf numFmtId="0" fontId="1" fillId="0" borderId="1" xfId="0" applyFont="1" applyBorder="1" applyAlignment="1">
      <alignment wrapText="1"/>
    </xf>
    <xf numFmtId="0" fontId="1" fillId="0" borderId="0" xfId="0" applyFont="1" applyAlignment="1">
      <alignment wrapText="1"/>
    </xf>
    <xf numFmtId="0" fontId="0" fillId="0" borderId="0" xfId="0" applyAlignment="1">
      <alignment horizontal="left"/>
    </xf>
    <xf numFmtId="1" fontId="2" fillId="0" borderId="0" xfId="0" applyNumberFormat="1" applyFont="1" applyAlignment="1">
      <alignment horizontal="left"/>
    </xf>
    <xf numFmtId="2" fontId="2" fillId="0" borderId="0" xfId="0" applyNumberFormat="1" applyFont="1" applyAlignment="1">
      <alignment horizontal="left"/>
    </xf>
    <xf numFmtId="0" fontId="8" fillId="3" borderId="2" xfId="0" applyFont="1" applyFill="1" applyBorder="1" applyAlignment="1">
      <alignment horizontal="center"/>
    </xf>
    <xf numFmtId="2" fontId="8" fillId="4" borderId="2" xfId="0" applyNumberFormat="1" applyFont="1" applyFill="1" applyBorder="1"/>
    <xf numFmtId="0" fontId="8" fillId="4" borderId="2" xfId="0" applyFont="1" applyFill="1" applyBorder="1"/>
    <xf numFmtId="2" fontId="8" fillId="5" borderId="2" xfId="0" applyNumberFormat="1" applyFont="1" applyFill="1" applyBorder="1"/>
    <xf numFmtId="0" fontId="8" fillId="5" borderId="2" xfId="0" applyFont="1" applyFill="1" applyBorder="1" applyAlignment="1">
      <alignment vertical="center"/>
    </xf>
    <xf numFmtId="2" fontId="8" fillId="6" borderId="2" xfId="0" applyNumberFormat="1" applyFont="1" applyFill="1" applyBorder="1"/>
    <xf numFmtId="0" fontId="8" fillId="6" borderId="2" xfId="0" applyFont="1" applyFill="1" applyBorder="1"/>
    <xf numFmtId="2" fontId="8" fillId="6" borderId="2" xfId="0" applyNumberFormat="1" applyFont="1" applyFill="1" applyBorder="1" applyAlignment="1">
      <alignment horizontal="right"/>
    </xf>
    <xf numFmtId="2" fontId="15" fillId="3" borderId="2" xfId="0" applyNumberFormat="1" applyFont="1" applyFill="1" applyBorder="1"/>
    <xf numFmtId="0" fontId="20" fillId="3" borderId="2" xfId="0" applyFont="1" applyFill="1" applyBorder="1"/>
    <xf numFmtId="2" fontId="9" fillId="3" borderId="2" xfId="0" applyNumberFormat="1" applyFont="1" applyFill="1" applyBorder="1"/>
    <xf numFmtId="2" fontId="8" fillId="3" borderId="2" xfId="0" applyNumberFormat="1" applyFont="1" applyFill="1" applyBorder="1"/>
    <xf numFmtId="0" fontId="1" fillId="2" borderId="2" xfId="0" applyFont="1" applyFill="1" applyBorder="1"/>
    <xf numFmtId="164" fontId="19" fillId="5" borderId="2" xfId="0" applyNumberFormat="1" applyFont="1" applyFill="1" applyBorder="1" applyAlignment="1">
      <alignment vertical="center"/>
    </xf>
    <xf numFmtId="0" fontId="1" fillId="0" borderId="2" xfId="0" applyFont="1" applyBorder="1" applyAlignment="1">
      <alignment wrapText="1"/>
    </xf>
    <xf numFmtId="1" fontId="17" fillId="0" borderId="0" xfId="0" applyNumberFormat="1" applyFont="1" applyAlignment="1">
      <alignment wrapText="1"/>
    </xf>
    <xf numFmtId="0" fontId="6" fillId="3" borderId="2" xfId="0" applyFont="1" applyFill="1" applyBorder="1" applyAlignment="1">
      <alignment horizontal="center" wrapText="1"/>
    </xf>
    <xf numFmtId="1" fontId="23" fillId="2" borderId="2" xfId="0" applyNumberFormat="1" applyFont="1" applyFill="1" applyBorder="1" applyAlignment="1">
      <alignment wrapText="1"/>
    </xf>
    <xf numFmtId="2" fontId="8" fillId="4" borderId="2" xfId="0" applyNumberFormat="1" applyFont="1" applyFill="1" applyBorder="1" applyAlignment="1">
      <alignment horizontal="right"/>
    </xf>
    <xf numFmtId="165" fontId="8" fillId="4" borderId="2" xfId="0" applyNumberFormat="1" applyFont="1" applyFill="1" applyBorder="1"/>
    <xf numFmtId="2" fontId="8" fillId="5" borderId="2" xfId="0" applyNumberFormat="1" applyFont="1" applyFill="1" applyBorder="1" applyAlignment="1">
      <alignment horizontal="right"/>
    </xf>
    <xf numFmtId="165" fontId="8" fillId="5" borderId="2" xfId="0" applyNumberFormat="1" applyFont="1" applyFill="1" applyBorder="1"/>
    <xf numFmtId="165" fontId="8" fillId="6" borderId="2" xfId="0" applyNumberFormat="1" applyFont="1" applyFill="1" applyBorder="1"/>
    <xf numFmtId="165" fontId="8" fillId="0" borderId="0" xfId="0" applyNumberFormat="1" applyFont="1"/>
    <xf numFmtId="1" fontId="17" fillId="0" borderId="7" xfId="0" applyNumberFormat="1" applyFont="1" applyBorder="1" applyAlignment="1">
      <alignment wrapText="1"/>
    </xf>
    <xf numFmtId="0" fontId="11" fillId="3" borderId="2" xfId="0" applyFont="1" applyFill="1" applyBorder="1" applyAlignment="1">
      <alignment wrapText="1"/>
    </xf>
    <xf numFmtId="2" fontId="8" fillId="0" borderId="2" xfId="0" applyNumberFormat="1" applyFont="1" applyBorder="1" applyAlignment="1">
      <alignment horizontal="right"/>
    </xf>
    <xf numFmtId="0" fontId="24" fillId="0" borderId="0" xfId="0" applyFont="1"/>
    <xf numFmtId="0" fontId="17" fillId="0" borderId="0" xfId="0" applyFont="1"/>
    <xf numFmtId="2" fontId="8" fillId="0" borderId="0" xfId="0" applyNumberFormat="1" applyFont="1" applyAlignment="1">
      <alignment horizontal="right" wrapText="1"/>
    </xf>
    <xf numFmtId="166" fontId="8" fillId="4" borderId="2" xfId="2" applyNumberFormat="1" applyFont="1" applyFill="1" applyBorder="1" applyAlignment="1">
      <alignment horizontal="right"/>
    </xf>
    <xf numFmtId="166" fontId="8" fillId="5" borderId="2" xfId="2" applyNumberFormat="1" applyFont="1" applyFill="1" applyBorder="1" applyAlignment="1">
      <alignment horizontal="right"/>
    </xf>
    <xf numFmtId="166" fontId="8" fillId="6" borderId="2" xfId="2" applyNumberFormat="1" applyFont="1" applyFill="1" applyBorder="1" applyAlignment="1">
      <alignment horizontal="right"/>
    </xf>
    <xf numFmtId="166" fontId="8" fillId="0" borderId="2" xfId="2" applyNumberFormat="1" applyFont="1" applyBorder="1"/>
    <xf numFmtId="0" fontId="8" fillId="3" borderId="9" xfId="0" applyFont="1" applyFill="1" applyBorder="1" applyAlignment="1">
      <alignment horizontal="center"/>
    </xf>
    <xf numFmtId="2" fontId="6" fillId="3" borderId="9" xfId="0" applyNumberFormat="1" applyFont="1" applyFill="1" applyBorder="1" applyAlignment="1">
      <alignment wrapText="1"/>
    </xf>
    <xf numFmtId="0" fontId="6" fillId="3" borderId="9" xfId="0" applyFont="1" applyFill="1" applyBorder="1" applyAlignment="1">
      <alignment wrapText="1"/>
    </xf>
    <xf numFmtId="0" fontId="0" fillId="2" borderId="0" xfId="0" applyFill="1"/>
    <xf numFmtId="1" fontId="2" fillId="0" borderId="5" xfId="0" applyNumberFormat="1" applyFont="1" applyBorder="1" applyAlignment="1">
      <alignment wrapText="1"/>
    </xf>
    <xf numFmtId="2" fontId="1" fillId="0" borderId="0" xfId="0" applyNumberFormat="1" applyFont="1" applyAlignment="1">
      <alignment wrapText="1"/>
    </xf>
    <xf numFmtId="1" fontId="23" fillId="0" borderId="0" xfId="0" applyNumberFormat="1" applyFont="1"/>
    <xf numFmtId="0" fontId="0" fillId="5" borderId="2" xfId="0" applyFill="1" applyBorder="1"/>
    <xf numFmtId="0" fontId="0" fillId="4" borderId="2" xfId="0" applyFill="1" applyBorder="1"/>
    <xf numFmtId="0" fontId="0" fillId="6" borderId="2" xfId="0" applyFill="1" applyBorder="1"/>
    <xf numFmtId="0" fontId="27" fillId="0" borderId="0" xfId="0" applyFont="1"/>
    <xf numFmtId="0" fontId="28" fillId="0" borderId="0" xfId="0" applyFont="1"/>
    <xf numFmtId="0" fontId="32" fillId="0" borderId="0" xfId="0" applyFont="1"/>
    <xf numFmtId="0" fontId="33" fillId="0" borderId="0" xfId="0" applyFont="1"/>
    <xf numFmtId="0" fontId="35" fillId="0" borderId="0" xfId="0" applyFont="1"/>
    <xf numFmtId="0" fontId="36" fillId="0" borderId="0" xfId="0" applyFont="1"/>
    <xf numFmtId="2" fontId="28" fillId="0" borderId="0" xfId="0" applyNumberFormat="1" applyFont="1"/>
    <xf numFmtId="0" fontId="30" fillId="0" borderId="0" xfId="0" applyFont="1"/>
    <xf numFmtId="2" fontId="31" fillId="3" borderId="2" xfId="0" applyNumberFormat="1" applyFont="1" applyFill="1" applyBorder="1" applyAlignment="1">
      <alignment wrapText="1"/>
    </xf>
    <xf numFmtId="0" fontId="34" fillId="4" borderId="2" xfId="0" applyFont="1" applyFill="1" applyBorder="1" applyAlignment="1">
      <alignment wrapText="1"/>
    </xf>
    <xf numFmtId="0" fontId="34" fillId="6" borderId="2" xfId="0" applyFont="1" applyFill="1" applyBorder="1" applyAlignment="1">
      <alignment wrapText="1"/>
    </xf>
    <xf numFmtId="0" fontId="31" fillId="3" borderId="2" xfId="0" applyFont="1" applyFill="1" applyBorder="1"/>
    <xf numFmtId="0" fontId="34" fillId="5" borderId="2" xfId="0" applyFont="1" applyFill="1" applyBorder="1"/>
    <xf numFmtId="2" fontId="34" fillId="5" borderId="2" xfId="0" applyNumberFormat="1" applyFont="1" applyFill="1" applyBorder="1"/>
    <xf numFmtId="0" fontId="39" fillId="3" borderId="2" xfId="0" applyFont="1" applyFill="1" applyBorder="1"/>
    <xf numFmtId="0" fontId="34" fillId="4" borderId="2" xfId="0" applyFont="1" applyFill="1" applyBorder="1"/>
    <xf numFmtId="2" fontId="34" fillId="4" borderId="2" xfId="0" applyNumberFormat="1" applyFont="1" applyFill="1" applyBorder="1"/>
    <xf numFmtId="0" fontId="34" fillId="6" borderId="2" xfId="0" applyFont="1" applyFill="1" applyBorder="1"/>
    <xf numFmtId="2" fontId="34" fillId="6" borderId="2" xfId="0" applyNumberFormat="1" applyFont="1" applyFill="1" applyBorder="1"/>
    <xf numFmtId="0" fontId="31" fillId="3" borderId="2" xfId="0" applyFont="1" applyFill="1" applyBorder="1" applyAlignment="1">
      <alignment horizontal="center" wrapText="1"/>
    </xf>
    <xf numFmtId="0" fontId="40" fillId="3" borderId="2" xfId="0" applyFont="1" applyFill="1" applyBorder="1"/>
    <xf numFmtId="0" fontId="34" fillId="5" borderId="2" xfId="0" applyFont="1" applyFill="1" applyBorder="1" applyAlignment="1">
      <alignment wrapText="1"/>
    </xf>
    <xf numFmtId="0" fontId="41" fillId="3" borderId="2" xfId="0" applyFont="1" applyFill="1" applyBorder="1"/>
    <xf numFmtId="0" fontId="44" fillId="0" borderId="0" xfId="0" applyFont="1"/>
    <xf numFmtId="0" fontId="1" fillId="0" borderId="0" xfId="0" applyFont="1" applyAlignment="1">
      <alignment horizontal="left" wrapText="1"/>
    </xf>
    <xf numFmtId="1" fontId="6" fillId="3" borderId="2" xfId="0" applyNumberFormat="1" applyFont="1" applyFill="1" applyBorder="1" applyAlignment="1">
      <alignment wrapText="1"/>
    </xf>
    <xf numFmtId="0" fontId="8" fillId="4" borderId="2" xfId="0" applyFont="1" applyFill="1" applyBorder="1" applyAlignment="1">
      <alignment horizontal="left"/>
    </xf>
    <xf numFmtId="0" fontId="8" fillId="4" borderId="2" xfId="0" applyFont="1" applyFill="1" applyBorder="1" applyAlignment="1">
      <alignment wrapText="1"/>
    </xf>
    <xf numFmtId="164" fontId="9" fillId="4" borderId="2" xfId="0" applyNumberFormat="1" applyFont="1" applyFill="1" applyBorder="1" applyAlignment="1">
      <alignment vertical="center"/>
    </xf>
    <xf numFmtId="2" fontId="9" fillId="4" borderId="2" xfId="0" applyNumberFormat="1" applyFont="1" applyFill="1" applyBorder="1" applyAlignment="1">
      <alignment vertical="center"/>
    </xf>
    <xf numFmtId="0" fontId="8" fillId="5" borderId="2" xfId="0" applyFont="1" applyFill="1" applyBorder="1" applyAlignment="1">
      <alignment horizontal="left" wrapText="1"/>
    </xf>
    <xf numFmtId="164" fontId="9" fillId="5" borderId="2" xfId="0" applyNumberFormat="1" applyFont="1" applyFill="1" applyBorder="1" applyAlignment="1">
      <alignment vertical="center"/>
    </xf>
    <xf numFmtId="2" fontId="9" fillId="5" borderId="2" xfId="0" applyNumberFormat="1" applyFont="1" applyFill="1" applyBorder="1" applyAlignment="1">
      <alignment vertical="center"/>
    </xf>
    <xf numFmtId="0" fontId="8" fillId="6" borderId="2" xfId="0" applyFont="1" applyFill="1" applyBorder="1" applyAlignment="1">
      <alignment horizontal="left" wrapText="1"/>
    </xf>
    <xf numFmtId="0" fontId="8" fillId="6" borderId="2" xfId="0" applyFont="1" applyFill="1" applyBorder="1" applyAlignment="1">
      <alignment wrapText="1"/>
    </xf>
    <xf numFmtId="164" fontId="9" fillId="6" borderId="2" xfId="0" applyNumberFormat="1" applyFont="1" applyFill="1" applyBorder="1" applyAlignment="1">
      <alignment vertical="center"/>
    </xf>
    <xf numFmtId="2" fontId="9" fillId="6" borderId="2" xfId="0" applyNumberFormat="1" applyFont="1" applyFill="1" applyBorder="1" applyAlignment="1">
      <alignment vertical="center"/>
    </xf>
    <xf numFmtId="0" fontId="8" fillId="6" borderId="2" xfId="0" applyFont="1" applyFill="1" applyBorder="1" applyAlignment="1">
      <alignment horizontal="left"/>
    </xf>
    <xf numFmtId="0" fontId="1" fillId="3" borderId="9" xfId="0" applyFont="1" applyFill="1" applyBorder="1" applyAlignment="1">
      <alignment horizontal="center"/>
    </xf>
    <xf numFmtId="0" fontId="6" fillId="3" borderId="9" xfId="0" applyFont="1" applyFill="1" applyBorder="1"/>
    <xf numFmtId="0" fontId="43" fillId="3" borderId="0" xfId="0" applyFont="1" applyFill="1"/>
    <xf numFmtId="164" fontId="15" fillId="0" borderId="2" xfId="0" applyNumberFormat="1" applyFont="1" applyBorder="1"/>
    <xf numFmtId="2" fontId="15" fillId="0" borderId="2" xfId="0" applyNumberFormat="1" applyFont="1" applyBorder="1"/>
    <xf numFmtId="0" fontId="9" fillId="0" borderId="2" xfId="0" applyFont="1" applyBorder="1"/>
    <xf numFmtId="0" fontId="47" fillId="3" borderId="0" xfId="0" applyFont="1" applyFill="1"/>
    <xf numFmtId="0" fontId="8" fillId="0" borderId="2" xfId="0" applyFont="1" applyBorder="1"/>
    <xf numFmtId="0" fontId="0" fillId="3" borderId="0" xfId="0" applyFill="1"/>
    <xf numFmtId="0" fontId="45" fillId="0" borderId="2" xfId="0" applyFont="1" applyBorder="1"/>
    <xf numFmtId="2" fontId="45" fillId="0" borderId="2" xfId="0" applyNumberFormat="1" applyFont="1" applyBorder="1"/>
    <xf numFmtId="0" fontId="9" fillId="0" borderId="2" xfId="0" applyFont="1" applyBorder="1" applyAlignment="1">
      <alignment wrapText="1"/>
    </xf>
    <xf numFmtId="0" fontId="48" fillId="3" borderId="0" xfId="0" applyFont="1" applyFill="1"/>
    <xf numFmtId="0" fontId="0" fillId="3" borderId="7" xfId="0" applyFill="1" applyBorder="1"/>
    <xf numFmtId="0" fontId="8" fillId="0" borderId="7" xfId="0" applyFont="1" applyBorder="1"/>
    <xf numFmtId="0" fontId="8" fillId="0" borderId="2" xfId="0" applyFont="1" applyBorder="1" applyAlignment="1">
      <alignment wrapText="1"/>
    </xf>
    <xf numFmtId="0" fontId="0" fillId="3" borderId="2" xfId="0" applyFill="1" applyBorder="1" applyAlignment="1">
      <alignment vertical="center"/>
    </xf>
    <xf numFmtId="0" fontId="8" fillId="0" borderId="2" xfId="0" applyFont="1" applyBorder="1" applyAlignment="1">
      <alignment vertical="center"/>
    </xf>
    <xf numFmtId="164" fontId="16" fillId="0" borderId="2" xfId="0" applyNumberFormat="1" applyFont="1" applyBorder="1"/>
    <xf numFmtId="2" fontId="16" fillId="0" borderId="2" xfId="0" applyNumberFormat="1" applyFont="1" applyBorder="1"/>
    <xf numFmtId="0" fontId="49" fillId="3" borderId="0" xfId="0" applyFont="1" applyFill="1"/>
    <xf numFmtId="0" fontId="0" fillId="0" borderId="2" xfId="0" applyBorder="1"/>
    <xf numFmtId="2" fontId="0" fillId="0" borderId="2" xfId="0" applyNumberFormat="1" applyBorder="1"/>
    <xf numFmtId="0" fontId="50" fillId="0" borderId="0" xfId="0" applyFont="1"/>
    <xf numFmtId="0" fontId="1" fillId="3" borderId="2" xfId="0" applyFont="1" applyFill="1" applyBorder="1"/>
    <xf numFmtId="0" fontId="51" fillId="0" borderId="2" xfId="0" applyFont="1" applyBorder="1" applyAlignment="1">
      <alignment wrapText="1"/>
    </xf>
    <xf numFmtId="0" fontId="52" fillId="0" borderId="2" xfId="1" applyFont="1" applyBorder="1" applyAlignment="1">
      <alignment wrapText="1"/>
    </xf>
    <xf numFmtId="0" fontId="7" fillId="0" borderId="2" xfId="1" applyBorder="1" applyAlignment="1">
      <alignment wrapText="1"/>
    </xf>
    <xf numFmtId="1" fontId="17" fillId="0" borderId="9" xfId="0" applyNumberFormat="1" applyFont="1" applyBorder="1" applyAlignment="1">
      <alignment wrapText="1"/>
    </xf>
    <xf numFmtId="1" fontId="17" fillId="3" borderId="0" xfId="0" applyNumberFormat="1" applyFont="1" applyFill="1" applyAlignment="1">
      <alignment horizontal="center"/>
    </xf>
    <xf numFmtId="0" fontId="6" fillId="3" borderId="0" xfId="0" applyFont="1" applyFill="1" applyAlignment="1">
      <alignment wrapText="1"/>
    </xf>
    <xf numFmtId="0" fontId="0" fillId="3" borderId="0" xfId="0" applyFill="1" applyAlignment="1">
      <alignment wrapText="1"/>
    </xf>
    <xf numFmtId="2" fontId="19" fillId="4" borderId="2" xfId="0" applyNumberFormat="1" applyFont="1" applyFill="1" applyBorder="1" applyAlignment="1">
      <alignment vertical="center"/>
    </xf>
    <xf numFmtId="2" fontId="10" fillId="4" borderId="2" xfId="0" applyNumberFormat="1" applyFont="1" applyFill="1" applyBorder="1"/>
    <xf numFmtId="0" fontId="10" fillId="4" borderId="2" xfId="0" applyFont="1" applyFill="1" applyBorder="1" applyAlignment="1">
      <alignment horizontal="right"/>
    </xf>
    <xf numFmtId="164" fontId="10" fillId="4" borderId="2" xfId="0" applyNumberFormat="1" applyFont="1" applyFill="1" applyBorder="1"/>
    <xf numFmtId="164" fontId="10" fillId="4" borderId="0" xfId="0" applyNumberFormat="1" applyFont="1" applyFill="1"/>
    <xf numFmtId="164" fontId="8" fillId="4" borderId="2" xfId="0" applyNumberFormat="1" applyFont="1" applyFill="1" applyBorder="1"/>
    <xf numFmtId="164" fontId="8" fillId="4" borderId="2" xfId="0" applyNumberFormat="1" applyFont="1" applyFill="1" applyBorder="1" applyAlignment="1">
      <alignment horizontal="right"/>
    </xf>
    <xf numFmtId="1" fontId="0" fillId="0" borderId="0" xfId="0" applyNumberFormat="1" applyAlignment="1">
      <alignment horizontal="right"/>
    </xf>
    <xf numFmtId="2" fontId="19" fillId="5" borderId="2" xfId="0" applyNumberFormat="1" applyFont="1" applyFill="1" applyBorder="1" applyAlignment="1">
      <alignment vertical="center"/>
    </xf>
    <xf numFmtId="2" fontId="10" fillId="5" borderId="2" xfId="0" applyNumberFormat="1" applyFont="1" applyFill="1" applyBorder="1"/>
    <xf numFmtId="0" fontId="10" fillId="5" borderId="2" xfId="0" applyFont="1" applyFill="1" applyBorder="1" applyAlignment="1">
      <alignment horizontal="right"/>
    </xf>
    <xf numFmtId="164" fontId="10" fillId="5" borderId="0" xfId="0" applyNumberFormat="1" applyFont="1" applyFill="1"/>
    <xf numFmtId="164" fontId="8" fillId="5" borderId="2" xfId="0" applyNumberFormat="1" applyFont="1" applyFill="1" applyBorder="1"/>
    <xf numFmtId="164" fontId="8" fillId="5" borderId="2" xfId="0" applyNumberFormat="1" applyFont="1" applyFill="1" applyBorder="1" applyAlignment="1">
      <alignment horizontal="right"/>
    </xf>
    <xf numFmtId="2" fontId="19" fillId="6" borderId="2" xfId="0" applyNumberFormat="1" applyFont="1" applyFill="1" applyBorder="1" applyAlignment="1">
      <alignment vertical="center"/>
    </xf>
    <xf numFmtId="2" fontId="10" fillId="6" borderId="2" xfId="0" applyNumberFormat="1" applyFont="1" applyFill="1" applyBorder="1"/>
    <xf numFmtId="2" fontId="10" fillId="6" borderId="2" xfId="0" applyNumberFormat="1" applyFont="1" applyFill="1" applyBorder="1" applyAlignment="1">
      <alignment horizontal="right"/>
    </xf>
    <xf numFmtId="164" fontId="10" fillId="6" borderId="2" xfId="0" applyNumberFormat="1" applyFont="1" applyFill="1" applyBorder="1"/>
    <xf numFmtId="164" fontId="10" fillId="6" borderId="0" xfId="0" applyNumberFormat="1" applyFont="1" applyFill="1"/>
    <xf numFmtId="164" fontId="8" fillId="6" borderId="2" xfId="0" applyNumberFormat="1" applyFont="1" applyFill="1" applyBorder="1" applyAlignment="1">
      <alignment horizontal="right" wrapText="1"/>
    </xf>
    <xf numFmtId="164" fontId="8" fillId="6" borderId="2" xfId="0" applyNumberFormat="1" applyFont="1" applyFill="1" applyBorder="1"/>
    <xf numFmtId="164" fontId="8" fillId="6" borderId="2" xfId="0" applyNumberFormat="1" applyFont="1" applyFill="1" applyBorder="1" applyAlignment="1">
      <alignment horizontal="right"/>
    </xf>
    <xf numFmtId="0" fontId="0" fillId="0" borderId="0" xfId="0" applyAlignment="1">
      <alignment wrapText="1"/>
    </xf>
    <xf numFmtId="3" fontId="0" fillId="0" borderId="0" xfId="0" applyNumberFormat="1"/>
    <xf numFmtId="1" fontId="17" fillId="0" borderId="0" xfId="0" applyNumberFormat="1" applyFont="1"/>
    <xf numFmtId="0" fontId="3" fillId="3" borderId="3" xfId="0" applyFont="1" applyFill="1" applyBorder="1" applyAlignment="1">
      <alignment vertical="center" wrapText="1"/>
    </xf>
    <xf numFmtId="0" fontId="10" fillId="0" borderId="2" xfId="0" applyFont="1" applyBorder="1" applyAlignment="1">
      <alignment horizontal="right"/>
    </xf>
    <xf numFmtId="164" fontId="8" fillId="0" borderId="2" xfId="0" applyNumberFormat="1" applyFont="1" applyBorder="1" applyAlignment="1">
      <alignment horizontal="right"/>
    </xf>
    <xf numFmtId="0" fontId="53" fillId="3" borderId="2" xfId="0" applyFont="1" applyFill="1" applyBorder="1" applyAlignment="1">
      <alignment wrapText="1"/>
    </xf>
    <xf numFmtId="164" fontId="10" fillId="5" borderId="2" xfId="0" applyNumberFormat="1" applyFont="1" applyFill="1" applyBorder="1" applyAlignment="1">
      <alignment horizontal="right"/>
    </xf>
    <xf numFmtId="1" fontId="19" fillId="5" borderId="2" xfId="0" applyNumberFormat="1" applyFont="1" applyFill="1" applyBorder="1" applyAlignment="1">
      <alignment vertical="center"/>
    </xf>
    <xf numFmtId="0" fontId="53" fillId="0" borderId="0" xfId="0" applyFont="1" applyAlignment="1">
      <alignment wrapText="1"/>
    </xf>
    <xf numFmtId="0" fontId="8" fillId="0" borderId="0" xfId="0" applyFont="1" applyAlignment="1">
      <alignment horizontal="left" wrapText="1"/>
    </xf>
    <xf numFmtId="164" fontId="8" fillId="2" borderId="2" xfId="0" applyNumberFormat="1" applyFont="1" applyFill="1" applyBorder="1" applyAlignment="1">
      <alignment horizontal="right"/>
    </xf>
    <xf numFmtId="165" fontId="8" fillId="2" borderId="2" xfId="0" applyNumberFormat="1" applyFont="1" applyFill="1" applyBorder="1"/>
    <xf numFmtId="2" fontId="0" fillId="0" borderId="0" xfId="0" applyNumberFormat="1" applyAlignment="1">
      <alignment horizontal="left"/>
    </xf>
    <xf numFmtId="0" fontId="44" fillId="0" borderId="1" xfId="0" applyFont="1" applyBorder="1"/>
    <xf numFmtId="1" fontId="2" fillId="0" borderId="8" xfId="0" applyNumberFormat="1" applyFont="1" applyBorder="1" applyAlignment="1">
      <alignment wrapText="1"/>
    </xf>
    <xf numFmtId="0" fontId="57" fillId="0" borderId="0" xfId="0" applyFont="1"/>
    <xf numFmtId="2" fontId="8" fillId="2" borderId="13" xfId="0" applyNumberFormat="1" applyFont="1" applyFill="1" applyBorder="1"/>
    <xf numFmtId="164" fontId="0" fillId="0" borderId="0" xfId="0" applyNumberFormat="1"/>
    <xf numFmtId="1" fontId="2" fillId="0" borderId="4" xfId="0" applyNumberFormat="1" applyFont="1" applyBorder="1"/>
    <xf numFmtId="1" fontId="2" fillId="0" borderId="5" xfId="0" applyNumberFormat="1" applyFont="1" applyBorder="1"/>
    <xf numFmtId="164" fontId="0" fillId="0" borderId="0" xfId="0" applyNumberFormat="1" applyAlignment="1">
      <alignment wrapText="1"/>
    </xf>
    <xf numFmtId="1" fontId="17" fillId="0" borderId="3" xfId="0" applyNumberFormat="1" applyFont="1" applyBorder="1"/>
    <xf numFmtId="1" fontId="17" fillId="0" borderId="5" xfId="0" applyNumberFormat="1" applyFont="1" applyBorder="1"/>
    <xf numFmtId="1" fontId="17" fillId="0" borderId="4" xfId="0" applyNumberFormat="1" applyFont="1" applyBorder="1"/>
    <xf numFmtId="0" fontId="3" fillId="3" borderId="2" xfId="0" applyFont="1" applyFill="1" applyBorder="1" applyAlignment="1">
      <alignment wrapText="1"/>
    </xf>
    <xf numFmtId="0" fontId="52" fillId="0" borderId="0" xfId="1" applyFont="1" applyAlignment="1">
      <alignment vertical="center" wrapText="1"/>
    </xf>
    <xf numFmtId="0" fontId="29" fillId="0" borderId="0" xfId="0" applyFont="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8" fillId="3" borderId="2" xfId="0" applyFont="1" applyFill="1" applyBorder="1" applyAlignment="1">
      <alignment horizontal="center" vertical="center" wrapText="1"/>
    </xf>
    <xf numFmtId="1" fontId="2" fillId="0" borderId="2" xfId="0" applyNumberFormat="1" applyFont="1" applyBorder="1" applyAlignment="1">
      <alignment horizontal="left"/>
    </xf>
    <xf numFmtId="1" fontId="2" fillId="3" borderId="9" xfId="0" applyNumberFormat="1" applyFont="1" applyFill="1" applyBorder="1" applyAlignment="1">
      <alignment horizontal="right"/>
    </xf>
    <xf numFmtId="1" fontId="17" fillId="0" borderId="6" xfId="0" applyNumberFormat="1" applyFont="1" applyBorder="1" applyAlignment="1">
      <alignment horizontal="center"/>
    </xf>
    <xf numFmtId="1" fontId="17" fillId="0" borderId="1" xfId="0" applyNumberFormat="1" applyFont="1" applyBorder="1" applyAlignment="1">
      <alignment horizontal="center"/>
    </xf>
    <xf numFmtId="1" fontId="17" fillId="0" borderId="8" xfId="0" applyNumberFormat="1" applyFont="1" applyBorder="1" applyAlignment="1">
      <alignment horizontal="center"/>
    </xf>
    <xf numFmtId="1" fontId="17" fillId="0" borderId="9" xfId="0" applyNumberFormat="1" applyFont="1" applyBorder="1" applyAlignment="1">
      <alignment horizontal="center"/>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1" fontId="2" fillId="0" borderId="3" xfId="0" applyNumberFormat="1" applyFont="1" applyBorder="1" applyAlignment="1">
      <alignment horizontal="left"/>
    </xf>
    <xf numFmtId="1" fontId="2" fillId="0" borderId="4" xfId="0" applyNumberFormat="1" applyFont="1" applyBorder="1" applyAlignment="1">
      <alignment horizontal="left"/>
    </xf>
    <xf numFmtId="1" fontId="2" fillId="0" borderId="5" xfId="0" applyNumberFormat="1" applyFont="1" applyBorder="1" applyAlignment="1">
      <alignment horizontal="left"/>
    </xf>
    <xf numFmtId="1" fontId="2" fillId="0" borderId="2" xfId="0" applyNumberFormat="1" applyFont="1" applyBorder="1" applyAlignment="1">
      <alignment horizontal="left" wrapText="1"/>
    </xf>
    <xf numFmtId="1" fontId="2" fillId="0" borderId="7" xfId="0" applyNumberFormat="1" applyFont="1" applyBorder="1" applyAlignment="1">
      <alignment horizontal="left" wrapText="1"/>
    </xf>
    <xf numFmtId="1" fontId="2" fillId="3" borderId="2" xfId="0" applyNumberFormat="1" applyFont="1" applyFill="1" applyBorder="1" applyAlignment="1">
      <alignment horizontal="right"/>
    </xf>
    <xf numFmtId="1" fontId="17" fillId="0" borderId="3" xfId="0" applyNumberFormat="1" applyFont="1" applyBorder="1" applyAlignment="1">
      <alignment horizontal="center"/>
    </xf>
    <xf numFmtId="1" fontId="17" fillId="0" borderId="4" xfId="0" applyNumberFormat="1" applyFont="1" applyBorder="1" applyAlignment="1">
      <alignment horizontal="center"/>
    </xf>
    <xf numFmtId="1" fontId="17" fillId="0" borderId="5" xfId="0" applyNumberFormat="1" applyFont="1" applyBorder="1" applyAlignment="1">
      <alignment horizont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5" xfId="0" applyFont="1" applyFill="1" applyBorder="1" applyAlignment="1">
      <alignment horizontal="center" vertical="center"/>
    </xf>
    <xf numFmtId="0" fontId="1" fillId="0" borderId="12" xfId="0" applyFont="1" applyBorder="1" applyAlignment="1">
      <alignment horizontal="left" wrapText="1"/>
    </xf>
    <xf numFmtId="0" fontId="1" fillId="0" borderId="0" xfId="0" applyFont="1" applyAlignment="1">
      <alignment horizontal="left" wrapText="1"/>
    </xf>
    <xf numFmtId="1" fontId="2" fillId="0" borderId="3" xfId="0" applyNumberFormat="1" applyFont="1" applyBorder="1" applyAlignment="1">
      <alignment horizontal="left" wrapText="1"/>
    </xf>
    <xf numFmtId="1" fontId="2" fillId="0" borderId="4" xfId="0" applyNumberFormat="1" applyFont="1" applyBorder="1" applyAlignment="1">
      <alignment horizontal="left" wrapText="1"/>
    </xf>
    <xf numFmtId="1" fontId="2" fillId="0" borderId="10" xfId="0" applyNumberFormat="1" applyFont="1" applyBorder="1" applyAlignment="1">
      <alignment horizontal="left" wrapText="1"/>
    </xf>
    <xf numFmtId="1" fontId="2" fillId="0" borderId="11" xfId="0" applyNumberFormat="1" applyFont="1" applyBorder="1" applyAlignment="1">
      <alignment horizontal="left" wrapText="1"/>
    </xf>
    <xf numFmtId="1" fontId="2" fillId="0" borderId="5" xfId="0" applyNumberFormat="1" applyFont="1" applyBorder="1" applyAlignment="1">
      <alignment horizontal="left" wrapText="1"/>
    </xf>
    <xf numFmtId="1" fontId="2" fillId="0" borderId="1" xfId="0" applyNumberFormat="1" applyFont="1" applyBorder="1" applyAlignment="1">
      <alignment horizontal="left" wrapText="1"/>
    </xf>
    <xf numFmtId="1" fontId="17" fillId="0" borderId="2" xfId="0" applyNumberFormat="1" applyFont="1" applyBorder="1" applyAlignment="1">
      <alignment horizontal="center"/>
    </xf>
    <xf numFmtId="0" fontId="6" fillId="0" borderId="0" xfId="0" applyFont="1" applyAlignment="1">
      <alignment horizontal="center"/>
    </xf>
    <xf numFmtId="1" fontId="17" fillId="0" borderId="2" xfId="0" applyNumberFormat="1" applyFont="1" applyBorder="1" applyAlignment="1">
      <alignment horizontal="center" wrapText="1"/>
    </xf>
    <xf numFmtId="0" fontId="1" fillId="0" borderId="6" xfId="0" applyFont="1" applyBorder="1" applyAlignment="1">
      <alignment horizontal="left" wrapText="1"/>
    </xf>
    <xf numFmtId="0" fontId="1" fillId="0" borderId="1" xfId="0" applyFont="1" applyBorder="1" applyAlignment="1">
      <alignment horizontal="left" wrapText="1"/>
    </xf>
    <xf numFmtId="0" fontId="42" fillId="2" borderId="3" xfId="0" applyFont="1" applyFill="1" applyBorder="1" applyAlignment="1">
      <alignment horizontal="center"/>
    </xf>
    <xf numFmtId="0" fontId="42" fillId="2" borderId="5" xfId="0" applyFont="1" applyFill="1" applyBorder="1" applyAlignment="1">
      <alignment horizontal="center"/>
    </xf>
    <xf numFmtId="1" fontId="37" fillId="3" borderId="2" xfId="0" applyNumberFormat="1" applyFont="1" applyFill="1" applyBorder="1" applyAlignment="1">
      <alignment horizontal="right"/>
    </xf>
    <xf numFmtId="1" fontId="38" fillId="0" borderId="2" xfId="0" applyNumberFormat="1" applyFont="1" applyBorder="1" applyAlignment="1">
      <alignment horizontal="center" wrapText="1"/>
    </xf>
    <xf numFmtId="1" fontId="23" fillId="2" borderId="6" xfId="0" applyNumberFormat="1" applyFont="1" applyFill="1" applyBorder="1" applyAlignment="1">
      <alignment horizontal="center" wrapText="1"/>
    </xf>
    <xf numFmtId="1" fontId="23" fillId="2" borderId="1" xfId="0" applyNumberFormat="1" applyFont="1" applyFill="1" applyBorder="1" applyAlignment="1">
      <alignment horizontal="center" wrapText="1"/>
    </xf>
    <xf numFmtId="1" fontId="2" fillId="0" borderId="6" xfId="0" applyNumberFormat="1" applyFont="1" applyBorder="1" applyAlignment="1">
      <alignment horizontal="left" wrapText="1"/>
    </xf>
    <xf numFmtId="1" fontId="17" fillId="0" borderId="2" xfId="0" applyNumberFormat="1" applyFont="1" applyBorder="1" applyAlignment="1">
      <alignment horizontal="left"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23" fillId="2" borderId="2" xfId="0" applyFont="1" applyFill="1" applyBorder="1" applyAlignment="1">
      <alignment horizontal="center"/>
    </xf>
    <xf numFmtId="1" fontId="2" fillId="3" borderId="3" xfId="0" applyNumberFormat="1" applyFont="1" applyFill="1" applyBorder="1" applyAlignment="1">
      <alignment horizontal="left"/>
    </xf>
    <xf numFmtId="1" fontId="2" fillId="3" borderId="4" xfId="0" applyNumberFormat="1" applyFont="1" applyFill="1" applyBorder="1" applyAlignment="1">
      <alignment horizontal="left"/>
    </xf>
    <xf numFmtId="1" fontId="2" fillId="3" borderId="5" xfId="0" applyNumberFormat="1" applyFont="1" applyFill="1" applyBorder="1"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FFCC"/>
      <color rgb="FFCCECFF"/>
      <color rgb="FFCCCCFF"/>
      <color rgb="FF0066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371/journal.pone.0259156" TargetMode="External"/><Relationship Id="rId2" Type="http://schemas.openxmlformats.org/officeDocument/2006/relationships/hyperlink" Target="https://onlinelibrary.wiley.com/doi/full/10.1111/geb.13515" TargetMode="External"/><Relationship Id="rId1" Type="http://schemas.openxmlformats.org/officeDocument/2006/relationships/hyperlink" Target="https://open.canada.ca/data/dataset/f2c493e4-ceaa-11eb-be59-1860247f53e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FFF6D-33D9-4B09-AA82-6E06B953E744}">
  <dimension ref="A1:P33"/>
  <sheetViews>
    <sheetView workbookViewId="0">
      <selection activeCell="C20" sqref="A1:I21"/>
    </sheetView>
  </sheetViews>
  <sheetFormatPr defaultColWidth="8.7109375" defaultRowHeight="16.5" x14ac:dyDescent="0.3"/>
  <cols>
    <col min="1" max="1" width="26.5703125" style="108" customWidth="1"/>
    <col min="2" max="2" width="9.5703125" style="108" customWidth="1"/>
    <col min="3" max="3" width="17.42578125" style="108" customWidth="1"/>
    <col min="4" max="4" width="14.5703125" style="108" bestFit="1" customWidth="1"/>
    <col min="5" max="5" width="14.5703125" style="108" customWidth="1"/>
    <col min="6" max="6" width="17.5703125" style="108" customWidth="1"/>
    <col min="7" max="7" width="52" style="108" bestFit="1" customWidth="1"/>
    <col min="8" max="8" width="2.42578125" style="108" customWidth="1"/>
    <col min="9" max="9" width="31" style="108" customWidth="1"/>
    <col min="10" max="16384" width="8.7109375" style="108"/>
  </cols>
  <sheetData>
    <row r="1" spans="1:16" ht="26.25" x14ac:dyDescent="0.4">
      <c r="A1" s="130" t="s">
        <v>84</v>
      </c>
      <c r="B1" s="130"/>
      <c r="C1" s="130"/>
      <c r="D1" s="130"/>
      <c r="E1" s="130"/>
      <c r="F1" s="130"/>
      <c r="G1" s="130"/>
      <c r="H1"/>
      <c r="I1"/>
    </row>
    <row r="2" spans="1:16" ht="42" customHeight="1" x14ac:dyDescent="0.3">
      <c r="A2" s="227" t="s">
        <v>195</v>
      </c>
      <c r="B2" s="227"/>
      <c r="C2" s="227"/>
      <c r="D2" s="227"/>
      <c r="E2" s="227"/>
      <c r="F2" s="227"/>
      <c r="G2" s="227"/>
      <c r="H2" s="227"/>
      <c r="I2" s="227"/>
    </row>
    <row r="3" spans="1:16" s="109" customFormat="1" ht="18.75" x14ac:dyDescent="0.3">
      <c r="A3" s="145"/>
      <c r="B3" s="146" t="s">
        <v>37</v>
      </c>
      <c r="C3" s="146" t="s">
        <v>28</v>
      </c>
      <c r="D3" s="146" t="s">
        <v>30</v>
      </c>
      <c r="E3" s="146" t="s">
        <v>5</v>
      </c>
      <c r="F3" s="146" t="s">
        <v>29</v>
      </c>
      <c r="G3" s="146" t="s">
        <v>26</v>
      </c>
      <c r="H3" s="147"/>
      <c r="I3" s="146" t="s">
        <v>85</v>
      </c>
    </row>
    <row r="4" spans="1:16" s="110" customFormat="1" ht="18.75" x14ac:dyDescent="0.3">
      <c r="A4" s="33" t="s">
        <v>0</v>
      </c>
      <c r="B4" s="148">
        <v>95</v>
      </c>
      <c r="C4" s="149">
        <v>66.7708333333333</v>
      </c>
      <c r="D4" s="149">
        <v>34.230769230769234</v>
      </c>
      <c r="E4" s="149">
        <v>41.05</v>
      </c>
      <c r="F4" s="149">
        <v>15.71875</v>
      </c>
      <c r="G4" s="150" t="s">
        <v>31</v>
      </c>
      <c r="H4" s="151"/>
      <c r="I4" s="149"/>
    </row>
    <row r="5" spans="1:16" x14ac:dyDescent="0.3">
      <c r="A5" s="34" t="s">
        <v>23</v>
      </c>
      <c r="B5" s="152"/>
      <c r="C5" s="11">
        <v>20.46875</v>
      </c>
      <c r="D5" s="11">
        <v>4.4210526315789478</v>
      </c>
      <c r="E5" s="11">
        <v>17.760000000000002</v>
      </c>
      <c r="F5" s="11">
        <v>0</v>
      </c>
      <c r="G5" s="152" t="s">
        <v>31</v>
      </c>
      <c r="H5" s="153"/>
      <c r="I5" s="11">
        <f>E5/$E$4</f>
        <v>0.43264311814859935</v>
      </c>
    </row>
    <row r="6" spans="1:16" x14ac:dyDescent="0.3">
      <c r="A6" s="34" t="s">
        <v>22</v>
      </c>
      <c r="B6" s="152"/>
      <c r="C6" s="11">
        <v>0</v>
      </c>
      <c r="D6" s="11">
        <v>0</v>
      </c>
      <c r="E6" s="11">
        <v>1.38</v>
      </c>
      <c r="F6" s="11">
        <v>0</v>
      </c>
      <c r="G6" s="152" t="s">
        <v>31</v>
      </c>
      <c r="H6" s="153"/>
      <c r="I6" s="11">
        <f>E6/$E$4</f>
        <v>3.3617539585870888E-2</v>
      </c>
    </row>
    <row r="7" spans="1:16" ht="50.45" customHeight="1" x14ac:dyDescent="0.3">
      <c r="A7" s="34" t="s">
        <v>1</v>
      </c>
      <c r="B7" s="152"/>
      <c r="C7" s="11">
        <v>6.916666666666667</v>
      </c>
      <c r="D7" s="11">
        <v>0.3125</v>
      </c>
      <c r="E7" s="11">
        <v>5.01</v>
      </c>
      <c r="F7" s="11">
        <v>0</v>
      </c>
      <c r="G7" s="152" t="s">
        <v>31</v>
      </c>
      <c r="H7" s="153"/>
      <c r="I7" s="11">
        <f>E7/$E$4</f>
        <v>0.1220462850182704</v>
      </c>
    </row>
    <row r="8" spans="1:16" x14ac:dyDescent="0.3">
      <c r="A8" s="34" t="s">
        <v>2</v>
      </c>
      <c r="B8" s="152"/>
      <c r="C8" s="11">
        <v>25.458333333333336</v>
      </c>
      <c r="D8" s="11">
        <v>11.222222222222221</v>
      </c>
      <c r="E8" s="11">
        <v>17.760000000000002</v>
      </c>
      <c r="F8" s="11">
        <v>0</v>
      </c>
      <c r="G8" s="152" t="s">
        <v>31</v>
      </c>
      <c r="H8" s="153"/>
      <c r="I8" s="11">
        <f>E8/$E$4</f>
        <v>0.43264311814859935</v>
      </c>
    </row>
    <row r="9" spans="1:16" s="111" customFormat="1" ht="18.75" x14ac:dyDescent="0.3">
      <c r="A9" s="35" t="s">
        <v>3</v>
      </c>
      <c r="B9" s="154">
        <v>100</v>
      </c>
      <c r="C9" s="155">
        <v>38.6</v>
      </c>
      <c r="D9" s="155">
        <v>18</v>
      </c>
      <c r="E9" s="155">
        <v>23.4</v>
      </c>
      <c r="F9" s="155">
        <v>4.5</v>
      </c>
      <c r="G9" s="156" t="s">
        <v>32</v>
      </c>
      <c r="H9" s="157"/>
      <c r="I9" s="155"/>
    </row>
    <row r="10" spans="1:16" x14ac:dyDescent="0.3">
      <c r="A10" s="158" t="s">
        <v>23</v>
      </c>
      <c r="B10" s="159"/>
      <c r="C10" s="11" t="s">
        <v>25</v>
      </c>
      <c r="D10" s="11" t="s">
        <v>25</v>
      </c>
      <c r="E10" s="11" t="s">
        <v>25</v>
      </c>
      <c r="F10" s="11" t="s">
        <v>25</v>
      </c>
      <c r="G10" s="152" t="s">
        <v>57</v>
      </c>
      <c r="H10" s="153"/>
      <c r="I10" s="6">
        <v>7.748449598167223E-2</v>
      </c>
    </row>
    <row r="11" spans="1:16" x14ac:dyDescent="0.3">
      <c r="A11" s="34" t="s">
        <v>24</v>
      </c>
      <c r="B11" s="152"/>
      <c r="C11" s="11" t="s">
        <v>25</v>
      </c>
      <c r="D11" s="11" t="s">
        <v>25</v>
      </c>
      <c r="E11" s="11" t="s">
        <v>25</v>
      </c>
      <c r="F11" s="11" t="s">
        <v>25</v>
      </c>
      <c r="G11" s="152" t="s">
        <v>57</v>
      </c>
      <c r="H11" s="153"/>
      <c r="I11" s="11">
        <v>0.15720081316708712</v>
      </c>
    </row>
    <row r="12" spans="1:16" x14ac:dyDescent="0.3">
      <c r="A12" s="34" t="s">
        <v>35</v>
      </c>
      <c r="B12" s="152"/>
      <c r="C12" s="11" t="s">
        <v>25</v>
      </c>
      <c r="D12" s="11" t="s">
        <v>25</v>
      </c>
      <c r="E12" s="11" t="s">
        <v>25</v>
      </c>
      <c r="F12" s="11" t="s">
        <v>25</v>
      </c>
      <c r="G12" s="152" t="s">
        <v>57</v>
      </c>
      <c r="H12" s="153"/>
      <c r="I12" s="11">
        <f t="shared" ref="I12" si="0">1/6</f>
        <v>0.16666666666666666</v>
      </c>
    </row>
    <row r="13" spans="1:16" x14ac:dyDescent="0.3">
      <c r="A13" s="34" t="s">
        <v>18</v>
      </c>
      <c r="B13" s="152"/>
      <c r="C13" s="11" t="s">
        <v>25</v>
      </c>
      <c r="D13" s="11" t="s">
        <v>25</v>
      </c>
      <c r="E13" s="11" t="s">
        <v>25</v>
      </c>
      <c r="F13" s="11" t="s">
        <v>25</v>
      </c>
      <c r="G13" s="160" t="s">
        <v>32</v>
      </c>
      <c r="H13" s="153"/>
      <c r="I13" s="11">
        <v>0.26710150246700914</v>
      </c>
    </row>
    <row r="14" spans="1:16" x14ac:dyDescent="0.3">
      <c r="A14" s="34" t="s">
        <v>19</v>
      </c>
      <c r="B14" s="152"/>
      <c r="C14" s="11" t="s">
        <v>25</v>
      </c>
      <c r="D14" s="11" t="s">
        <v>25</v>
      </c>
      <c r="E14" s="11" t="s">
        <v>25</v>
      </c>
      <c r="F14" s="11" t="s">
        <v>25</v>
      </c>
      <c r="G14" s="160" t="s">
        <v>32</v>
      </c>
      <c r="H14" s="153"/>
      <c r="I14" s="11">
        <v>0.5328984975329909</v>
      </c>
    </row>
    <row r="15" spans="1:16" x14ac:dyDescent="0.3">
      <c r="A15" s="34" t="s">
        <v>20</v>
      </c>
      <c r="B15" s="152"/>
      <c r="C15" s="11" t="s">
        <v>25</v>
      </c>
      <c r="D15" s="11" t="s">
        <v>25</v>
      </c>
      <c r="E15" s="11" t="s">
        <v>25</v>
      </c>
      <c r="F15" s="11" t="s">
        <v>25</v>
      </c>
      <c r="G15" s="152" t="s">
        <v>57</v>
      </c>
      <c r="H15" s="153"/>
      <c r="I15" s="11">
        <v>3.4575153923831085E-2</v>
      </c>
      <c r="P15" s="108" t="s">
        <v>73</v>
      </c>
    </row>
    <row r="16" spans="1:16" x14ac:dyDescent="0.3">
      <c r="A16" s="161" t="s">
        <v>38</v>
      </c>
      <c r="B16" s="162"/>
      <c r="C16" s="11" t="s">
        <v>25</v>
      </c>
      <c r="D16" s="11" t="s">
        <v>25</v>
      </c>
      <c r="E16" s="11" t="s">
        <v>25</v>
      </c>
      <c r="F16" s="11" t="s">
        <v>25</v>
      </c>
      <c r="G16" s="152" t="s">
        <v>57</v>
      </c>
      <c r="H16" s="153"/>
      <c r="I16" s="11">
        <v>0.22647570525953531</v>
      </c>
    </row>
    <row r="17" spans="1:9" x14ac:dyDescent="0.3">
      <c r="A17" s="34" t="s">
        <v>2</v>
      </c>
      <c r="B17" s="152"/>
      <c r="C17" s="11" t="s">
        <v>25</v>
      </c>
      <c r="D17" s="11" t="s">
        <v>25</v>
      </c>
      <c r="E17" s="11" t="s">
        <v>25</v>
      </c>
      <c r="F17" s="11" t="s">
        <v>25</v>
      </c>
      <c r="G17" s="152" t="s">
        <v>57</v>
      </c>
      <c r="H17" s="153"/>
      <c r="I17" s="11">
        <v>0.10541865743397456</v>
      </c>
    </row>
    <row r="18" spans="1:9" s="112" customFormat="1" ht="18.75" x14ac:dyDescent="0.3">
      <c r="A18" s="36" t="s">
        <v>4</v>
      </c>
      <c r="B18" s="163">
        <v>93</v>
      </c>
      <c r="C18" s="164">
        <v>39.4</v>
      </c>
      <c r="D18" s="164">
        <v>10.35</v>
      </c>
      <c r="E18" s="164">
        <v>24</v>
      </c>
      <c r="F18" s="164">
        <v>1.43</v>
      </c>
      <c r="G18" s="150" t="s">
        <v>39</v>
      </c>
      <c r="H18" s="165"/>
      <c r="I18" s="164"/>
    </row>
    <row r="19" spans="1:9" x14ac:dyDescent="0.3">
      <c r="A19" s="34" t="s">
        <v>23</v>
      </c>
      <c r="B19" s="152"/>
      <c r="C19" s="11">
        <v>0.88</v>
      </c>
      <c r="D19" s="11">
        <v>0.53</v>
      </c>
      <c r="E19" s="11">
        <v>0.7</v>
      </c>
      <c r="F19" s="11">
        <v>0.31</v>
      </c>
      <c r="G19" s="150" t="s">
        <v>39</v>
      </c>
      <c r="H19" s="153"/>
      <c r="I19" s="11">
        <f>E19/$E$18</f>
        <v>2.9166666666666664E-2</v>
      </c>
    </row>
    <row r="20" spans="1:9" x14ac:dyDescent="0.3">
      <c r="A20" s="34" t="s">
        <v>22</v>
      </c>
      <c r="B20" s="152"/>
      <c r="C20" s="11">
        <v>25.09</v>
      </c>
      <c r="D20" s="11">
        <v>4.8499999999999996</v>
      </c>
      <c r="E20" s="11">
        <v>16.329999999999998</v>
      </c>
      <c r="F20" s="11">
        <v>0.05</v>
      </c>
      <c r="G20" s="150" t="s">
        <v>39</v>
      </c>
      <c r="H20" s="153"/>
      <c r="I20" s="11">
        <f>E20/$E$18</f>
        <v>0.68041666666666656</v>
      </c>
    </row>
    <row r="21" spans="1:9" x14ac:dyDescent="0.3">
      <c r="A21" s="34" t="s">
        <v>2</v>
      </c>
      <c r="B21" s="166"/>
      <c r="C21" s="167">
        <v>4.71</v>
      </c>
      <c r="D21" s="167">
        <v>0.43</v>
      </c>
      <c r="E21" s="167">
        <v>5.17</v>
      </c>
      <c r="F21" s="167">
        <v>0.05</v>
      </c>
      <c r="G21" s="150" t="s">
        <v>39</v>
      </c>
      <c r="H21" s="153"/>
      <c r="I21" s="11">
        <f>E21/$E$18</f>
        <v>0.21541666666666667</v>
      </c>
    </row>
    <row r="23" spans="1:9" ht="21" x14ac:dyDescent="0.4">
      <c r="A23" s="226"/>
      <c r="B23" s="226"/>
      <c r="C23" s="226"/>
      <c r="D23" s="226"/>
      <c r="E23" s="226"/>
      <c r="F23" s="226"/>
    </row>
    <row r="24" spans="1:9" x14ac:dyDescent="0.3">
      <c r="B24" s="113"/>
    </row>
    <row r="25" spans="1:9" x14ac:dyDescent="0.3">
      <c r="B25" s="113"/>
    </row>
    <row r="26" spans="1:9" x14ac:dyDescent="0.3">
      <c r="B26" s="113"/>
    </row>
    <row r="27" spans="1:9" x14ac:dyDescent="0.3">
      <c r="B27" s="113"/>
    </row>
    <row r="28" spans="1:9" x14ac:dyDescent="0.3">
      <c r="B28" s="113"/>
    </row>
    <row r="29" spans="1:9" x14ac:dyDescent="0.3">
      <c r="B29" s="113"/>
    </row>
    <row r="30" spans="1:9" x14ac:dyDescent="0.3">
      <c r="B30" s="113"/>
    </row>
    <row r="31" spans="1:9" x14ac:dyDescent="0.3">
      <c r="B31" s="113"/>
    </row>
    <row r="32" spans="1:9" x14ac:dyDescent="0.3">
      <c r="B32" s="113"/>
    </row>
    <row r="33" spans="2:2" x14ac:dyDescent="0.3">
      <c r="B33" s="113"/>
    </row>
  </sheetData>
  <mergeCells count="2">
    <mergeCell ref="A23:F23"/>
    <mergeCell ref="A2:I2"/>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42BF-4A08-404A-930D-A0B0B6A3B42B}">
  <dimension ref="A1:F6"/>
  <sheetViews>
    <sheetView workbookViewId="0">
      <selection activeCell="E4" sqref="E4"/>
    </sheetView>
  </sheetViews>
  <sheetFormatPr defaultColWidth="8.7109375" defaultRowHeight="16.5" x14ac:dyDescent="0.3"/>
  <cols>
    <col min="1" max="1" width="19" style="108" customWidth="1"/>
    <col min="2" max="2" width="17.85546875" style="108" bestFit="1" customWidth="1"/>
    <col min="3" max="3" width="19.85546875" style="108" bestFit="1" customWidth="1"/>
    <col min="4" max="4" width="19.5703125" style="108" bestFit="1" customWidth="1"/>
    <col min="5" max="5" width="41.85546875" style="108" bestFit="1" customWidth="1"/>
    <col min="6" max="6" width="43.5703125" style="108" customWidth="1"/>
    <col min="7" max="16384" width="8.7109375" style="108"/>
  </cols>
  <sheetData>
    <row r="1" spans="1:6" ht="25.7" customHeight="1" x14ac:dyDescent="0.4">
      <c r="A1" s="130" t="s">
        <v>86</v>
      </c>
      <c r="B1" s="168"/>
      <c r="C1" s="168"/>
      <c r="D1" s="168"/>
      <c r="E1" s="168"/>
      <c r="F1" s="168"/>
    </row>
    <row r="2" spans="1:6" ht="65.650000000000006" customHeight="1" x14ac:dyDescent="0.3">
      <c r="A2" s="228" t="s">
        <v>196</v>
      </c>
      <c r="B2" s="229"/>
      <c r="C2" s="229"/>
      <c r="D2" s="229"/>
      <c r="E2" s="229"/>
      <c r="F2" s="230"/>
    </row>
    <row r="3" spans="1:6" s="114" customFormat="1" ht="21" x14ac:dyDescent="0.4">
      <c r="A3" s="169" t="s">
        <v>63</v>
      </c>
      <c r="B3" s="169" t="s">
        <v>65</v>
      </c>
      <c r="C3" s="169" t="s">
        <v>66</v>
      </c>
      <c r="D3" s="169" t="s">
        <v>67</v>
      </c>
      <c r="E3" s="169" t="s">
        <v>26</v>
      </c>
      <c r="F3" s="169" t="s">
        <v>72</v>
      </c>
    </row>
    <row r="4" spans="1:6" ht="95.25" x14ac:dyDescent="0.3">
      <c r="A4" s="38" t="s">
        <v>64</v>
      </c>
      <c r="B4" s="152">
        <v>1342466.009905</v>
      </c>
      <c r="C4" s="152">
        <v>4371711.957312</v>
      </c>
      <c r="D4" s="11">
        <f>B4/C4</f>
        <v>0.3070801605900933</v>
      </c>
      <c r="E4" s="170" t="s">
        <v>76</v>
      </c>
      <c r="F4" s="171" t="s">
        <v>74</v>
      </c>
    </row>
    <row r="5" spans="1:6" x14ac:dyDescent="0.3">
      <c r="A5" s="38" t="s">
        <v>70</v>
      </c>
      <c r="B5" s="152"/>
      <c r="C5" s="152"/>
      <c r="D5" s="152">
        <v>0.56000000000000005</v>
      </c>
      <c r="E5" s="160" t="s">
        <v>213</v>
      </c>
      <c r="F5" s="225" t="s">
        <v>214</v>
      </c>
    </row>
    <row r="6" spans="1:6" ht="30.75" x14ac:dyDescent="0.3">
      <c r="A6" s="38" t="s">
        <v>11</v>
      </c>
      <c r="B6" s="152" t="s">
        <v>25</v>
      </c>
      <c r="C6" s="152" t="s">
        <v>25</v>
      </c>
      <c r="D6" s="152">
        <v>0.2</v>
      </c>
      <c r="E6" s="160" t="s">
        <v>71</v>
      </c>
      <c r="F6" s="172" t="s">
        <v>75</v>
      </c>
    </row>
  </sheetData>
  <mergeCells count="1">
    <mergeCell ref="A2:F2"/>
  </mergeCells>
  <hyperlinks>
    <hyperlink ref="F4" r:id="rId1" xr:uid="{586495DB-BA74-4DCE-9DC5-4EF455FA6347}"/>
    <hyperlink ref="F6" r:id="rId2" xr:uid="{1051C3D2-4802-426B-A22A-D812AFECEB1F}"/>
    <hyperlink ref="F5" r:id="rId3" display="https://doi.org/10.1371/journal.pone.0259156" xr:uid="{713B32F8-DCB1-4DD9-A65C-36D8D23029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1CB6-D8B1-4D7E-B660-AC47801F2765}">
  <dimension ref="A1:U41"/>
  <sheetViews>
    <sheetView zoomScaleNormal="100" workbookViewId="0">
      <selection activeCell="P21" sqref="P21"/>
    </sheetView>
  </sheetViews>
  <sheetFormatPr defaultRowHeight="15" x14ac:dyDescent="0.25"/>
  <cols>
    <col min="2" max="2" width="26.42578125" bestFit="1" customWidth="1"/>
    <col min="3" max="3" width="27.42578125" style="199" customWidth="1"/>
    <col min="4" max="4" width="12.5703125" style="2" bestFit="1" customWidth="1"/>
    <col min="5" max="6" width="13.5703125" bestFit="1" customWidth="1"/>
    <col min="7" max="7" width="13.42578125" bestFit="1" customWidth="1"/>
    <col min="8" max="8" width="20.42578125" customWidth="1"/>
    <col min="9" max="12" width="17" customWidth="1"/>
    <col min="13" max="13" width="1.5703125" customWidth="1"/>
    <col min="14" max="14" width="23.140625" customWidth="1"/>
    <col min="15" max="15" width="21" customWidth="1"/>
    <col min="16" max="16" width="24" customWidth="1"/>
    <col min="17" max="17" width="19" customWidth="1"/>
    <col min="18" max="18" width="25.140625" customWidth="1"/>
    <col min="19" max="19" width="19" customWidth="1"/>
  </cols>
  <sheetData>
    <row r="1" spans="1:19" ht="26.25" x14ac:dyDescent="0.4">
      <c r="A1" s="130" t="s">
        <v>87</v>
      </c>
      <c r="B1" s="168"/>
      <c r="C1" s="168"/>
      <c r="D1"/>
      <c r="I1" s="168"/>
      <c r="J1" s="168"/>
      <c r="K1" s="168"/>
    </row>
    <row r="2" spans="1:19" ht="47.25" customHeight="1" x14ac:dyDescent="0.3">
      <c r="A2" s="227" t="s">
        <v>197</v>
      </c>
      <c r="B2" s="229"/>
      <c r="C2" s="229"/>
      <c r="D2" s="229"/>
      <c r="E2" s="229"/>
      <c r="F2" s="229"/>
      <c r="G2" s="229"/>
      <c r="H2" s="229"/>
      <c r="I2" s="229"/>
      <c r="J2" s="229"/>
      <c r="K2" s="229"/>
      <c r="L2" s="230"/>
    </row>
    <row r="3" spans="1:19" ht="40.700000000000003" customHeight="1" x14ac:dyDescent="0.3">
      <c r="A3" s="232" t="s">
        <v>98</v>
      </c>
      <c r="B3" s="232"/>
      <c r="C3" s="232"/>
      <c r="D3" s="232"/>
      <c r="E3" s="232"/>
      <c r="F3" s="232"/>
      <c r="G3" s="232"/>
      <c r="H3" s="232"/>
      <c r="I3" s="232"/>
      <c r="J3" s="232"/>
      <c r="K3" s="232"/>
      <c r="L3" s="232"/>
      <c r="M3" s="232"/>
      <c r="N3" s="232"/>
      <c r="O3" s="232"/>
      <c r="P3" s="232"/>
      <c r="Q3" s="232"/>
      <c r="R3" s="232"/>
    </row>
    <row r="4" spans="1:19" ht="19.5" x14ac:dyDescent="0.3">
      <c r="A4" s="233" t="s">
        <v>89</v>
      </c>
      <c r="B4" s="233"/>
      <c r="C4" s="233"/>
      <c r="D4" s="234" t="s">
        <v>94</v>
      </c>
      <c r="E4" s="235"/>
      <c r="F4" s="235"/>
      <c r="G4" s="236"/>
      <c r="H4" s="173" t="s">
        <v>96</v>
      </c>
      <c r="I4" s="234" t="s">
        <v>178</v>
      </c>
      <c r="J4" s="235"/>
      <c r="K4" s="235"/>
      <c r="L4" s="236"/>
      <c r="M4" s="174"/>
      <c r="N4" s="237" t="s">
        <v>95</v>
      </c>
      <c r="O4" s="237"/>
      <c r="P4" s="237"/>
      <c r="Q4" s="237"/>
      <c r="R4" s="237"/>
      <c r="S4" s="4"/>
    </row>
    <row r="5" spans="1:19" s="176" customFormat="1" ht="110.45" customHeight="1" x14ac:dyDescent="0.25">
      <c r="A5" s="39" t="s">
        <v>80</v>
      </c>
      <c r="B5" s="39" t="s">
        <v>56</v>
      </c>
      <c r="C5" s="40" t="s">
        <v>55</v>
      </c>
      <c r="D5" s="42" t="s">
        <v>27</v>
      </c>
      <c r="E5" s="132" t="s">
        <v>215</v>
      </c>
      <c r="F5" s="132" t="s">
        <v>33</v>
      </c>
      <c r="G5" s="132" t="s">
        <v>34</v>
      </c>
      <c r="H5" s="40" t="s">
        <v>6</v>
      </c>
      <c r="I5" s="40" t="s">
        <v>90</v>
      </c>
      <c r="J5" s="40" t="s">
        <v>91</v>
      </c>
      <c r="K5" s="40" t="s">
        <v>92</v>
      </c>
      <c r="L5" s="40" t="s">
        <v>93</v>
      </c>
      <c r="M5" s="175"/>
      <c r="N5" s="132" t="s">
        <v>198</v>
      </c>
      <c r="O5" s="45" t="s">
        <v>105</v>
      </c>
      <c r="P5" s="45" t="s">
        <v>216</v>
      </c>
      <c r="Q5" s="45" t="s">
        <v>188</v>
      </c>
      <c r="R5" s="45" t="s">
        <v>106</v>
      </c>
      <c r="S5" s="41"/>
    </row>
    <row r="6" spans="1:19" ht="15.75" x14ac:dyDescent="0.25">
      <c r="A6" s="53" t="s">
        <v>11</v>
      </c>
      <c r="B6" s="133" t="s">
        <v>13</v>
      </c>
      <c r="C6" s="134" t="s">
        <v>45</v>
      </c>
      <c r="D6" s="177">
        <f>'1- Kelp Cover'!B$4/100</f>
        <v>0.95</v>
      </c>
      <c r="E6" s="177">
        <f>'1- Kelp Cover'!C$4/100</f>
        <v>0.66770833333333302</v>
      </c>
      <c r="F6" s="177">
        <f>'1- Kelp Cover'!D$4/100</f>
        <v>0.34230769230769231</v>
      </c>
      <c r="G6" s="178">
        <f>'1- Kelp Cover'!F$4/100</f>
        <v>0.15718750000000001</v>
      </c>
      <c r="H6" s="179">
        <f>'2- Rocky Reef'!$D$6</f>
        <v>0.2</v>
      </c>
      <c r="I6" s="180">
        <v>328617.79130163603</v>
      </c>
      <c r="J6" s="180">
        <v>435940.90191269998</v>
      </c>
      <c r="K6" s="180">
        <v>594707.05706358398</v>
      </c>
      <c r="L6" s="180">
        <v>750634.65008701303</v>
      </c>
      <c r="M6" s="181"/>
      <c r="N6" s="135">
        <f>K6</f>
        <v>594707.05706358398</v>
      </c>
      <c r="O6" s="182">
        <f>N6*H6*D6</f>
        <v>112994.34084208096</v>
      </c>
      <c r="P6" s="183">
        <f t="shared" ref="P6:P19" si="0">$N6*$H6*E6</f>
        <v>79418.171578699403</v>
      </c>
      <c r="Q6" s="183">
        <f t="shared" ref="Q6:Q19" si="1">$N6*$H6*F6</f>
        <v>40714.560060506905</v>
      </c>
      <c r="R6" s="183">
        <f t="shared" ref="R6:R19" si="2">$N6*$H6*G6</f>
        <v>18696.103106436422</v>
      </c>
      <c r="S6" s="184"/>
    </row>
    <row r="7" spans="1:19" ht="47.25" x14ac:dyDescent="0.25">
      <c r="A7" s="53" t="s">
        <v>11</v>
      </c>
      <c r="B7" s="133" t="s">
        <v>12</v>
      </c>
      <c r="C7" s="134" t="s">
        <v>48</v>
      </c>
      <c r="D7" s="177">
        <f>'1- Kelp Cover'!B$4/100</f>
        <v>0.95</v>
      </c>
      <c r="E7" s="177">
        <f>'1- Kelp Cover'!C$4/100</f>
        <v>0.66770833333333302</v>
      </c>
      <c r="F7" s="177">
        <f>'1- Kelp Cover'!D$4/100</f>
        <v>0.34230769230769231</v>
      </c>
      <c r="G7" s="178">
        <f>'1- Kelp Cover'!F$4/100</f>
        <v>0.15718750000000001</v>
      </c>
      <c r="H7" s="179">
        <f>'2- Rocky Reef'!$D$6</f>
        <v>0.2</v>
      </c>
      <c r="I7" s="180">
        <v>1702382.8414901099</v>
      </c>
      <c r="J7" s="180">
        <v>2297948.0684999302</v>
      </c>
      <c r="K7" s="180">
        <v>3254359.6119634202</v>
      </c>
      <c r="L7" s="180">
        <v>4167485.4405930201</v>
      </c>
      <c r="M7" s="181"/>
      <c r="N7" s="135">
        <f>K7</f>
        <v>3254359.6119634202</v>
      </c>
      <c r="O7" s="182">
        <f t="shared" ref="O7:O13" si="3">N7*H7*D7</f>
        <v>618328.32627304981</v>
      </c>
      <c r="P7" s="183">
        <f t="shared" si="0"/>
        <v>434592.60651428154</v>
      </c>
      <c r="Q7" s="183">
        <f t="shared" si="1"/>
        <v>222798.46574211109</v>
      </c>
      <c r="R7" s="183">
        <f t="shared" si="2"/>
        <v>102308.93030110003</v>
      </c>
      <c r="S7" s="184"/>
    </row>
    <row r="8" spans="1:19" ht="15.75" x14ac:dyDescent="0.25">
      <c r="A8" s="53" t="s">
        <v>11</v>
      </c>
      <c r="B8" s="133" t="s">
        <v>14</v>
      </c>
      <c r="C8" s="134" t="s">
        <v>46</v>
      </c>
      <c r="D8" s="177">
        <f>'1- Kelp Cover'!B$4/100</f>
        <v>0.95</v>
      </c>
      <c r="E8" s="177">
        <f>'1- Kelp Cover'!C$4/100</f>
        <v>0.66770833333333302</v>
      </c>
      <c r="F8" s="177">
        <f>'1- Kelp Cover'!D$4/100</f>
        <v>0.34230769230769231</v>
      </c>
      <c r="G8" s="178">
        <f>'1- Kelp Cover'!F$4/100</f>
        <v>0.15718750000000001</v>
      </c>
      <c r="H8" s="179">
        <f>'2- Rocky Reef'!$D$6</f>
        <v>0.2</v>
      </c>
      <c r="I8" s="180">
        <v>7475598.5546455402</v>
      </c>
      <c r="J8" s="180">
        <v>10357465.2581563</v>
      </c>
      <c r="K8" s="180">
        <v>18226572.455041502</v>
      </c>
      <c r="L8" s="180">
        <v>24408493.963526201</v>
      </c>
      <c r="M8" s="181"/>
      <c r="N8" s="135">
        <f>K8</f>
        <v>18226572.455041502</v>
      </c>
      <c r="O8" s="182">
        <f t="shared" si="3"/>
        <v>3463048.766457885</v>
      </c>
      <c r="P8" s="183">
        <f t="shared" si="0"/>
        <v>2434006.8632669994</v>
      </c>
      <c r="Q8" s="183">
        <f t="shared" si="1"/>
        <v>1247819.1911528413</v>
      </c>
      <c r="R8" s="183">
        <f t="shared" si="2"/>
        <v>572997.87155536725</v>
      </c>
      <c r="S8" s="184"/>
    </row>
    <row r="9" spans="1:19" ht="15.75" x14ac:dyDescent="0.25">
      <c r="A9" s="53" t="s">
        <v>11</v>
      </c>
      <c r="B9" s="133" t="s">
        <v>13</v>
      </c>
      <c r="C9" s="134" t="s">
        <v>47</v>
      </c>
      <c r="D9" s="177">
        <f>'1- Kelp Cover'!B$4/100</f>
        <v>0.95</v>
      </c>
      <c r="E9" s="177">
        <f>'1- Kelp Cover'!C$4/100</f>
        <v>0.66770833333333302</v>
      </c>
      <c r="F9" s="177">
        <f>'1- Kelp Cover'!D$4/100</f>
        <v>0.34230769230769231</v>
      </c>
      <c r="G9" s="178">
        <f>'1- Kelp Cover'!F$4/100</f>
        <v>0.15718750000000001</v>
      </c>
      <c r="H9" s="179">
        <f>'2- Rocky Reef'!$D$6</f>
        <v>0.2</v>
      </c>
      <c r="I9" s="180">
        <v>448431.51831981097</v>
      </c>
      <c r="J9" s="180">
        <v>639374.33121059602</v>
      </c>
      <c r="K9" s="180">
        <v>889705.33346696198</v>
      </c>
      <c r="L9" s="180">
        <v>1097189.13629788</v>
      </c>
      <c r="M9" s="181"/>
      <c r="N9" s="135">
        <f>K9</f>
        <v>889705.33346696198</v>
      </c>
      <c r="O9" s="182">
        <f t="shared" si="3"/>
        <v>169044.01335872279</v>
      </c>
      <c r="P9" s="183">
        <f t="shared" si="0"/>
        <v>118812.73307340049</v>
      </c>
      <c r="Q9" s="183">
        <f t="shared" si="1"/>
        <v>60910.595906584327</v>
      </c>
      <c r="R9" s="183">
        <f t="shared" si="2"/>
        <v>27970.111420867619</v>
      </c>
      <c r="S9" s="184"/>
    </row>
    <row r="10" spans="1:19" ht="15.75" x14ac:dyDescent="0.25">
      <c r="A10" s="53" t="s">
        <v>11</v>
      </c>
      <c r="B10" s="133" t="s">
        <v>13</v>
      </c>
      <c r="C10" s="134" t="s">
        <v>44</v>
      </c>
      <c r="D10" s="177">
        <f>'1- Kelp Cover'!B$4/100</f>
        <v>0.95</v>
      </c>
      <c r="E10" s="177">
        <f>'1- Kelp Cover'!C$4/100</f>
        <v>0.66770833333333302</v>
      </c>
      <c r="F10" s="177">
        <f>'1- Kelp Cover'!D$4/100</f>
        <v>0.34230769230769231</v>
      </c>
      <c r="G10" s="178">
        <f>'1- Kelp Cover'!F$4/100</f>
        <v>0.15718750000000001</v>
      </c>
      <c r="H10" s="179">
        <f>'2- Rocky Reef'!$D$6</f>
        <v>0.2</v>
      </c>
      <c r="I10" s="180">
        <v>603750.84802579903</v>
      </c>
      <c r="J10" s="180">
        <v>782165.32275516097</v>
      </c>
      <c r="K10" s="180">
        <v>960895.71718925994</v>
      </c>
      <c r="L10" s="180">
        <v>1113876.2980381299</v>
      </c>
      <c r="M10" s="181"/>
      <c r="N10" s="135">
        <f>K10</f>
        <v>960895.71718925994</v>
      </c>
      <c r="O10" s="182">
        <f t="shared" si="3"/>
        <v>182570.1862659594</v>
      </c>
      <c r="P10" s="183">
        <f t="shared" si="0"/>
        <v>128319.61556631571</v>
      </c>
      <c r="Q10" s="183">
        <f t="shared" si="1"/>
        <v>65784.399099880116</v>
      </c>
      <c r="R10" s="183">
        <f t="shared" si="2"/>
        <v>30208.159109137363</v>
      </c>
      <c r="S10" s="184"/>
    </row>
    <row r="11" spans="1:19" ht="31.5" x14ac:dyDescent="0.25">
      <c r="A11" s="54" t="s">
        <v>3</v>
      </c>
      <c r="B11" s="51" t="s">
        <v>7</v>
      </c>
      <c r="C11" s="137" t="s">
        <v>53</v>
      </c>
      <c r="D11" s="185">
        <f>'1- Kelp Cover'!B$9/100</f>
        <v>1</v>
      </c>
      <c r="E11" s="185">
        <f>'1- Kelp Cover'!C$9/100</f>
        <v>0.38600000000000001</v>
      </c>
      <c r="F11" s="186">
        <f>'1- Kelp Cover'!$D$9/100</f>
        <v>0.18</v>
      </c>
      <c r="G11" s="186">
        <f>'1- Kelp Cover'!F$9/100</f>
        <v>4.4999999999999998E-2</v>
      </c>
      <c r="H11" s="187">
        <v>1</v>
      </c>
      <c r="I11" s="52">
        <v>119016.854938908</v>
      </c>
      <c r="J11" s="52">
        <v>196379.46097287</v>
      </c>
      <c r="K11" s="52">
        <v>327250.37769138702</v>
      </c>
      <c r="L11" s="52">
        <v>422700.56565890898</v>
      </c>
      <c r="M11" s="188"/>
      <c r="N11" s="138">
        <f>K11*H11</f>
        <v>327250.37769138702</v>
      </c>
      <c r="O11" s="189">
        <f t="shared" si="3"/>
        <v>327250.37769138702</v>
      </c>
      <c r="P11" s="190">
        <f t="shared" si="0"/>
        <v>126318.64578887539</v>
      </c>
      <c r="Q11" s="190">
        <f t="shared" si="1"/>
        <v>58905.067984449663</v>
      </c>
      <c r="R11" s="190">
        <f t="shared" si="2"/>
        <v>14726.266996112416</v>
      </c>
      <c r="S11" s="184"/>
    </row>
    <row r="12" spans="1:19" ht="31.5" x14ac:dyDescent="0.25">
      <c r="A12" s="54" t="s">
        <v>3</v>
      </c>
      <c r="B12" s="51" t="s">
        <v>8</v>
      </c>
      <c r="C12" s="137" t="s">
        <v>52</v>
      </c>
      <c r="D12" s="185">
        <f>'1- Kelp Cover'!B$9/100</f>
        <v>1</v>
      </c>
      <c r="E12" s="185">
        <f>'1- Kelp Cover'!C$9/100</f>
        <v>0.38600000000000001</v>
      </c>
      <c r="F12" s="186">
        <f>'1- Kelp Cover'!$D$9/100</f>
        <v>0.18</v>
      </c>
      <c r="G12" s="186">
        <f>'1- Kelp Cover'!F$9/100</f>
        <v>4.4999999999999998E-2</v>
      </c>
      <c r="H12" s="187">
        <v>1</v>
      </c>
      <c r="I12" s="52">
        <v>23161.158096519499</v>
      </c>
      <c r="J12" s="52">
        <v>42696.312411252402</v>
      </c>
      <c r="K12" s="52">
        <v>83195.332543945202</v>
      </c>
      <c r="L12" s="52">
        <v>111557.3777273</v>
      </c>
      <c r="M12" s="188"/>
      <c r="N12" s="138">
        <f>K12*H12</f>
        <v>83195.332543945202</v>
      </c>
      <c r="O12" s="189">
        <f t="shared" si="3"/>
        <v>83195.332543945202</v>
      </c>
      <c r="P12" s="190">
        <f t="shared" si="0"/>
        <v>32113.398361962849</v>
      </c>
      <c r="Q12" s="190">
        <f t="shared" si="1"/>
        <v>14975.159857910136</v>
      </c>
      <c r="R12" s="190">
        <f t="shared" si="2"/>
        <v>3743.7899644775339</v>
      </c>
      <c r="S12" s="184"/>
    </row>
    <row r="13" spans="1:19" ht="31.5" x14ac:dyDescent="0.25">
      <c r="A13" s="54" t="s">
        <v>3</v>
      </c>
      <c r="B13" s="51" t="s">
        <v>9</v>
      </c>
      <c r="C13" s="137" t="s">
        <v>54</v>
      </c>
      <c r="D13" s="185">
        <f>'1- Kelp Cover'!B$9/100</f>
        <v>1</v>
      </c>
      <c r="E13" s="185">
        <f>'1- Kelp Cover'!C$9/100</f>
        <v>0.38600000000000001</v>
      </c>
      <c r="F13" s="186">
        <f>'1- Kelp Cover'!$D$9/100</f>
        <v>0.18</v>
      </c>
      <c r="G13" s="186">
        <f>'1- Kelp Cover'!F$9/100</f>
        <v>4.4999999999999998E-2</v>
      </c>
      <c r="H13" s="187">
        <v>1</v>
      </c>
      <c r="I13" s="52">
        <v>35741.363675334404</v>
      </c>
      <c r="J13" s="52">
        <v>50858.357335237102</v>
      </c>
      <c r="K13" s="52">
        <v>77645.519213499094</v>
      </c>
      <c r="L13" s="52">
        <v>86920.355934922496</v>
      </c>
      <c r="M13" s="188"/>
      <c r="N13" s="138">
        <f>K13*H13</f>
        <v>77645.519213499094</v>
      </c>
      <c r="O13" s="189">
        <f t="shared" si="3"/>
        <v>77645.519213499094</v>
      </c>
      <c r="P13" s="190">
        <f t="shared" si="0"/>
        <v>29971.170416410652</v>
      </c>
      <c r="Q13" s="190">
        <f t="shared" si="1"/>
        <v>13976.193458429836</v>
      </c>
      <c r="R13" s="190">
        <f t="shared" si="2"/>
        <v>3494.048364607459</v>
      </c>
      <c r="S13" s="184"/>
    </row>
    <row r="14" spans="1:19" ht="15.75" x14ac:dyDescent="0.25">
      <c r="A14" s="55" t="s">
        <v>4</v>
      </c>
      <c r="B14" s="140" t="s">
        <v>17</v>
      </c>
      <c r="C14" s="141" t="s">
        <v>51</v>
      </c>
      <c r="D14" s="191">
        <f>'1- Kelp Cover'!B$18/100</f>
        <v>0.93</v>
      </c>
      <c r="E14" s="191">
        <f>'1- Kelp Cover'!C$18/100</f>
        <v>0.39399999999999996</v>
      </c>
      <c r="F14" s="191">
        <f>'1- Kelp Cover'!D$18/100</f>
        <v>0.10349999999999999</v>
      </c>
      <c r="G14" s="192">
        <f>'1- Kelp Cover'!F$18/100</f>
        <v>1.43E-2</v>
      </c>
      <c r="H14" s="193">
        <f>'2- Rocky Reef'!$D$4</f>
        <v>0.3070801605900933</v>
      </c>
      <c r="I14" s="194">
        <v>74453.315632313999</v>
      </c>
      <c r="J14" s="194">
        <v>128810.365828407</v>
      </c>
      <c r="K14" s="194">
        <v>229678.341002111</v>
      </c>
      <c r="L14" s="194">
        <v>323737.53924284398</v>
      </c>
      <c r="M14" s="195"/>
      <c r="N14" s="196">
        <f t="shared" ref="N14:N19" si="4">K14</f>
        <v>229678.341002111</v>
      </c>
      <c r="O14" s="197">
        <f t="shared" ref="O14:O19" si="5">N14*H14</f>
        <v>70529.661838994463</v>
      </c>
      <c r="P14" s="198">
        <f t="shared" si="0"/>
        <v>27788.686764563816</v>
      </c>
      <c r="Q14" s="198">
        <f t="shared" si="1"/>
        <v>7299.820000335927</v>
      </c>
      <c r="R14" s="198">
        <f t="shared" si="2"/>
        <v>1008.5741642976209</v>
      </c>
      <c r="S14" s="184"/>
    </row>
    <row r="15" spans="1:19" ht="31.5" x14ac:dyDescent="0.25">
      <c r="A15" s="55" t="s">
        <v>4</v>
      </c>
      <c r="B15" s="144" t="s">
        <v>16</v>
      </c>
      <c r="C15" s="141" t="s">
        <v>49</v>
      </c>
      <c r="D15" s="191">
        <f>'1- Kelp Cover'!B$18/100</f>
        <v>0.93</v>
      </c>
      <c r="E15" s="191">
        <f>'1- Kelp Cover'!C$18/100</f>
        <v>0.39399999999999996</v>
      </c>
      <c r="F15" s="191">
        <f>'1- Kelp Cover'!D$18/100</f>
        <v>0.10349999999999999</v>
      </c>
      <c r="G15" s="192">
        <f>'1- Kelp Cover'!F$18/100</f>
        <v>1.43E-2</v>
      </c>
      <c r="H15" s="193">
        <f>'2- Rocky Reef'!$D$4</f>
        <v>0.3070801605900933</v>
      </c>
      <c r="I15" s="194">
        <v>741058.03943539201</v>
      </c>
      <c r="J15" s="194">
        <v>1289815.2827326099</v>
      </c>
      <c r="K15" s="194">
        <v>2490173.42147739</v>
      </c>
      <c r="L15" s="194">
        <v>3717356.4438747899</v>
      </c>
      <c r="M15" s="195"/>
      <c r="N15" s="196">
        <f t="shared" si="4"/>
        <v>2490173.42147739</v>
      </c>
      <c r="O15" s="197">
        <f t="shared" si="5"/>
        <v>764682.85416445904</v>
      </c>
      <c r="P15" s="198">
        <f t="shared" si="0"/>
        <v>301285.04454079684</v>
      </c>
      <c r="Q15" s="198">
        <f t="shared" si="1"/>
        <v>79144.675406021503</v>
      </c>
      <c r="R15" s="198">
        <f t="shared" si="2"/>
        <v>10934.964814551764</v>
      </c>
      <c r="S15" s="184"/>
    </row>
    <row r="16" spans="1:19" ht="31.5" x14ac:dyDescent="0.25">
      <c r="A16" s="55" t="s">
        <v>4</v>
      </c>
      <c r="B16" s="144" t="s">
        <v>15</v>
      </c>
      <c r="C16" s="141" t="s">
        <v>43</v>
      </c>
      <c r="D16" s="191">
        <f>'1- Kelp Cover'!B$18/100</f>
        <v>0.93</v>
      </c>
      <c r="E16" s="191">
        <f>'1- Kelp Cover'!C$18/100</f>
        <v>0.39399999999999996</v>
      </c>
      <c r="F16" s="191">
        <f>'1- Kelp Cover'!D$18/100</f>
        <v>0.10349999999999999</v>
      </c>
      <c r="G16" s="192">
        <f>'1- Kelp Cover'!F$18/100</f>
        <v>1.43E-2</v>
      </c>
      <c r="H16" s="193">
        <f>'2- Rocky Reef'!$D$4</f>
        <v>0.3070801605900933</v>
      </c>
      <c r="I16" s="194">
        <v>211581.32858070001</v>
      </c>
      <c r="J16" s="194">
        <v>376104.766736369</v>
      </c>
      <c r="K16" s="194">
        <v>694212.33385544096</v>
      </c>
      <c r="L16" s="194">
        <v>1070510.4245937001</v>
      </c>
      <c r="M16" s="195"/>
      <c r="N16" s="196">
        <f t="shared" si="4"/>
        <v>694212.33385544096</v>
      </c>
      <c r="O16" s="197">
        <f t="shared" si="5"/>
        <v>213178.83496395228</v>
      </c>
      <c r="P16" s="198">
        <f t="shared" si="0"/>
        <v>83992.460975797192</v>
      </c>
      <c r="Q16" s="198">
        <f t="shared" si="1"/>
        <v>22064.009418769059</v>
      </c>
      <c r="R16" s="198">
        <f t="shared" si="2"/>
        <v>3048.4573399845176</v>
      </c>
      <c r="S16" s="184"/>
    </row>
    <row r="17" spans="1:20" ht="15.75" x14ac:dyDescent="0.25">
      <c r="A17" s="55" t="s">
        <v>4</v>
      </c>
      <c r="B17" s="144" t="s">
        <v>15</v>
      </c>
      <c r="C17" s="141" t="s">
        <v>44</v>
      </c>
      <c r="D17" s="191">
        <f>'1- Kelp Cover'!B$18/100</f>
        <v>0.93</v>
      </c>
      <c r="E17" s="191">
        <f>'1- Kelp Cover'!C$18/100</f>
        <v>0.39399999999999996</v>
      </c>
      <c r="F17" s="191">
        <f>'1- Kelp Cover'!D$18/100</f>
        <v>0.10349999999999999</v>
      </c>
      <c r="G17" s="192">
        <f>'1- Kelp Cover'!F$18/100</f>
        <v>1.43E-2</v>
      </c>
      <c r="H17" s="193">
        <f>'2- Rocky Reef'!$D$4</f>
        <v>0.3070801605900933</v>
      </c>
      <c r="I17" s="194">
        <v>96473.390588421404</v>
      </c>
      <c r="J17" s="194">
        <v>155531.51459422099</v>
      </c>
      <c r="K17" s="194">
        <v>300868.72466798697</v>
      </c>
      <c r="L17" s="194">
        <v>494371.90174521098</v>
      </c>
      <c r="M17" s="195"/>
      <c r="N17" s="196">
        <f t="shared" si="4"/>
        <v>300868.72466798697</v>
      </c>
      <c r="O17" s="197">
        <f t="shared" si="5"/>
        <v>92390.816287581998</v>
      </c>
      <c r="P17" s="198">
        <f t="shared" si="0"/>
        <v>36401.981617307305</v>
      </c>
      <c r="Q17" s="198">
        <f t="shared" si="1"/>
        <v>9562.4494857647369</v>
      </c>
      <c r="R17" s="198">
        <f t="shared" si="2"/>
        <v>1321.1886729124226</v>
      </c>
      <c r="S17" s="184"/>
    </row>
    <row r="18" spans="1:20" ht="15.75" x14ac:dyDescent="0.25">
      <c r="A18" s="55" t="s">
        <v>4</v>
      </c>
      <c r="B18" s="140" t="s">
        <v>17</v>
      </c>
      <c r="C18" s="141" t="s">
        <v>17</v>
      </c>
      <c r="D18" s="191">
        <f>'1- Kelp Cover'!B$18/100</f>
        <v>0.93</v>
      </c>
      <c r="E18" s="191">
        <f>'1- Kelp Cover'!C$18/100</f>
        <v>0.39399999999999996</v>
      </c>
      <c r="F18" s="191">
        <f>'1- Kelp Cover'!D$18/100</f>
        <v>0.10349999999999999</v>
      </c>
      <c r="G18" s="192">
        <f>'1- Kelp Cover'!F$18/100</f>
        <v>1.43E-2</v>
      </c>
      <c r="H18" s="193">
        <f>'2- Rocky Reef'!$D$4</f>
        <v>0.3070801605900933</v>
      </c>
      <c r="I18" s="194">
        <v>109520.402927553</v>
      </c>
      <c r="J18" s="194">
        <v>206304.99803078701</v>
      </c>
      <c r="K18" s="194">
        <v>418966.111924114</v>
      </c>
      <c r="L18" s="194">
        <v>710663.73478826997</v>
      </c>
      <c r="M18" s="195"/>
      <c r="N18" s="196">
        <f t="shared" si="4"/>
        <v>418966.111924114</v>
      </c>
      <c r="O18" s="197">
        <f t="shared" si="5"/>
        <v>128656.18093146392</v>
      </c>
      <c r="P18" s="198">
        <f t="shared" si="0"/>
        <v>50690.535286996783</v>
      </c>
      <c r="Q18" s="198">
        <f t="shared" si="1"/>
        <v>13315.914726406516</v>
      </c>
      <c r="R18" s="198">
        <f t="shared" si="2"/>
        <v>1839.7833873199343</v>
      </c>
      <c r="S18" s="184"/>
    </row>
    <row r="19" spans="1:20" ht="31.5" x14ac:dyDescent="0.25">
      <c r="A19" s="55" t="s">
        <v>4</v>
      </c>
      <c r="B19" s="144" t="s">
        <v>15</v>
      </c>
      <c r="C19" s="141" t="s">
        <v>50</v>
      </c>
      <c r="D19" s="191">
        <f>'1- Kelp Cover'!B$18/100</f>
        <v>0.93</v>
      </c>
      <c r="E19" s="191">
        <f>'1- Kelp Cover'!C$18/100</f>
        <v>0.39399999999999996</v>
      </c>
      <c r="F19" s="191">
        <f>'1- Kelp Cover'!D$18/100</f>
        <v>0.10349999999999999</v>
      </c>
      <c r="G19" s="192">
        <f>'1- Kelp Cover'!F$18/100</f>
        <v>1.43E-2</v>
      </c>
      <c r="H19" s="193">
        <f>'2- Rocky Reef'!$D$4</f>
        <v>0.3070801605900933</v>
      </c>
      <c r="I19" s="194">
        <v>26707.003148434698</v>
      </c>
      <c r="J19" s="194">
        <v>55186.928822305701</v>
      </c>
      <c r="K19" s="194">
        <v>124462.933458153</v>
      </c>
      <c r="L19" s="194">
        <v>195483.56929946999</v>
      </c>
      <c r="M19" s="195"/>
      <c r="N19" s="196">
        <f t="shared" si="4"/>
        <v>124462.933458153</v>
      </c>
      <c r="O19" s="197">
        <f t="shared" si="5"/>
        <v>38220.097593843719</v>
      </c>
      <c r="P19" s="198">
        <f t="shared" si="0"/>
        <v>15058.718451974424</v>
      </c>
      <c r="Q19" s="198">
        <f t="shared" si="1"/>
        <v>3955.7801009628247</v>
      </c>
      <c r="R19" s="198">
        <f t="shared" si="2"/>
        <v>546.54739559196514</v>
      </c>
      <c r="S19" s="184"/>
    </row>
    <row r="20" spans="1:20" ht="15.75" x14ac:dyDescent="0.25">
      <c r="A20" s="27"/>
      <c r="B20" s="46"/>
      <c r="C20" s="16"/>
      <c r="D20" s="47"/>
      <c r="E20" s="47"/>
      <c r="F20" s="47"/>
      <c r="G20" s="17"/>
      <c r="H20" s="48"/>
      <c r="I20" s="25"/>
      <c r="J20" s="25"/>
      <c r="K20" s="25"/>
      <c r="L20" s="25"/>
      <c r="M20" s="25"/>
      <c r="N20" s="44"/>
      <c r="O20" s="49"/>
      <c r="P20" s="30"/>
      <c r="Q20" s="24"/>
      <c r="R20" s="24"/>
      <c r="S20" s="24"/>
      <c r="T20" s="184"/>
    </row>
    <row r="21" spans="1:20" ht="94.5" x14ac:dyDescent="0.25">
      <c r="A21" s="27"/>
      <c r="B21" s="28"/>
      <c r="C21" s="29"/>
      <c r="D21" s="32"/>
      <c r="E21" s="32"/>
      <c r="F21" s="32"/>
      <c r="G21" s="32"/>
      <c r="H21" s="31"/>
      <c r="I21" s="30"/>
      <c r="J21" s="30"/>
      <c r="K21" s="30"/>
      <c r="L21" s="30"/>
      <c r="O21" s="45" t="s">
        <v>105</v>
      </c>
      <c r="P21" s="45" t="s">
        <v>216</v>
      </c>
      <c r="Q21" s="45" t="s">
        <v>150</v>
      </c>
      <c r="R21" s="45" t="s">
        <v>106</v>
      </c>
      <c r="S21" s="184"/>
    </row>
    <row r="22" spans="1:20" ht="15" customHeight="1" x14ac:dyDescent="0.25">
      <c r="A22" s="5"/>
      <c r="B22" s="15"/>
      <c r="C22" s="21"/>
      <c r="D22" s="17"/>
      <c r="E22" s="15"/>
      <c r="F22" s="15"/>
      <c r="N22" s="231" t="s">
        <v>77</v>
      </c>
      <c r="O22" s="231"/>
      <c r="P22" s="231"/>
      <c r="Q22" s="231"/>
      <c r="R22" s="231"/>
    </row>
    <row r="23" spans="1:20" ht="18.75" x14ac:dyDescent="0.3">
      <c r="A23" s="26"/>
      <c r="B23" s="14"/>
      <c r="C23" s="21"/>
      <c r="D23" s="17"/>
      <c r="E23" s="15"/>
      <c r="F23" s="15"/>
      <c r="N23" s="20" t="s">
        <v>0</v>
      </c>
      <c r="O23" s="89">
        <f>SUM(O6:O10)</f>
        <v>4545985.6331976978</v>
      </c>
      <c r="P23" s="89">
        <f>SUM(P6:P10)</f>
        <v>3195149.9899996961</v>
      </c>
      <c r="Q23" s="89">
        <f>SUM(Q6:Q10)</f>
        <v>1638027.2119619236</v>
      </c>
      <c r="R23" s="89">
        <f>SUM(R6:R10)</f>
        <v>752181.17549290869</v>
      </c>
    </row>
    <row r="24" spans="1:20" ht="18.75" x14ac:dyDescent="0.3">
      <c r="A24" s="5"/>
      <c r="B24" s="14"/>
      <c r="C24" s="21"/>
      <c r="D24" s="17"/>
      <c r="E24" s="15"/>
      <c r="F24" s="15"/>
      <c r="N24" s="18" t="s">
        <v>3</v>
      </c>
      <c r="O24" s="89">
        <f>SUM(O11:O13)</f>
        <v>488091.22944883135</v>
      </c>
      <c r="P24" s="89">
        <f>SUM(P11:P13)</f>
        <v>188403.21456724891</v>
      </c>
      <c r="Q24" s="89">
        <f>SUM(Q11:Q13)</f>
        <v>87856.421300789632</v>
      </c>
      <c r="R24" s="89">
        <f>SUM(R11:R13)</f>
        <v>21964.105325197408</v>
      </c>
    </row>
    <row r="25" spans="1:20" ht="18.75" x14ac:dyDescent="0.3">
      <c r="C25" s="22"/>
      <c r="D25" s="6"/>
      <c r="E25" s="12"/>
      <c r="F25" s="12"/>
      <c r="N25" s="19" t="s">
        <v>4</v>
      </c>
      <c r="O25" s="89">
        <f>SUM(O14:O19)</f>
        <v>1307658.4457802954</v>
      </c>
      <c r="P25" s="89">
        <f>SUM(P14:P19)</f>
        <v>515217.42763743643</v>
      </c>
      <c r="Q25" s="89">
        <f t="shared" ref="Q25" si="6">SUM(Q14:Q19)</f>
        <v>135342.64913826055</v>
      </c>
      <c r="R25" s="89">
        <f>SUM(R14:R19)</f>
        <v>18699.515774658226</v>
      </c>
    </row>
    <row r="26" spans="1:20" ht="18.75" x14ac:dyDescent="0.3">
      <c r="M26" s="5"/>
      <c r="N26" s="1" t="s">
        <v>21</v>
      </c>
      <c r="O26" s="11">
        <f>SUM(O23,O24,O25)</f>
        <v>6341735.3084268253</v>
      </c>
      <c r="P26" s="11">
        <f>SUM(P23,P24,P25)</f>
        <v>3898770.6322043813</v>
      </c>
      <c r="Q26" s="11">
        <f>SUM(Q23,Q24,Q25)</f>
        <v>1861226.2824009738</v>
      </c>
      <c r="R26" s="11">
        <f>SUM(R23,R24,R25)</f>
        <v>792844.79659276432</v>
      </c>
    </row>
    <row r="27" spans="1:20" ht="22.5" customHeight="1" x14ac:dyDescent="0.25">
      <c r="N27" s="231" t="s">
        <v>68</v>
      </c>
      <c r="O27" s="231"/>
      <c r="P27" s="231"/>
      <c r="Q27" s="231"/>
      <c r="R27" s="231"/>
    </row>
    <row r="28" spans="1:20" ht="18.75" x14ac:dyDescent="0.3">
      <c r="N28" s="20" t="s">
        <v>0</v>
      </c>
      <c r="O28" s="11">
        <f t="shared" ref="O28:R31" si="7">O23/1000000</f>
        <v>4.5459856331976978</v>
      </c>
      <c r="P28" s="11">
        <f t="shared" si="7"/>
        <v>3.1951499899996962</v>
      </c>
      <c r="Q28" s="11">
        <f t="shared" si="7"/>
        <v>1.6380272119619237</v>
      </c>
      <c r="R28" s="11">
        <f t="shared" si="7"/>
        <v>0.75218117549290864</v>
      </c>
    </row>
    <row r="29" spans="1:20" ht="18.75" x14ac:dyDescent="0.3">
      <c r="N29" s="18" t="s">
        <v>3</v>
      </c>
      <c r="O29" s="11">
        <f>O24/1000000</f>
        <v>0.48809122944883138</v>
      </c>
      <c r="P29" s="11">
        <f t="shared" si="7"/>
        <v>0.1884032145672489</v>
      </c>
      <c r="Q29" s="11">
        <f t="shared" si="7"/>
        <v>8.7856421300789633E-2</v>
      </c>
      <c r="R29" s="11">
        <f t="shared" si="7"/>
        <v>2.1964105325197408E-2</v>
      </c>
    </row>
    <row r="30" spans="1:20" ht="18.75" x14ac:dyDescent="0.3">
      <c r="N30" s="19" t="s">
        <v>4</v>
      </c>
      <c r="O30" s="11">
        <f t="shared" si="7"/>
        <v>1.3076584457802953</v>
      </c>
      <c r="P30" s="11">
        <f t="shared" si="7"/>
        <v>0.51521742763743639</v>
      </c>
      <c r="Q30" s="11">
        <f t="shared" si="7"/>
        <v>0.13534264913826055</v>
      </c>
      <c r="R30" s="13">
        <f>R25/1000000</f>
        <v>1.8699515774658226E-2</v>
      </c>
    </row>
    <row r="31" spans="1:20" ht="18.75" x14ac:dyDescent="0.3">
      <c r="N31" s="1" t="s">
        <v>21</v>
      </c>
      <c r="O31" s="11">
        <f t="shared" si="7"/>
        <v>6.3417353084268253</v>
      </c>
      <c r="P31" s="11">
        <f t="shared" si="7"/>
        <v>3.8987706322043811</v>
      </c>
      <c r="Q31" s="11">
        <f t="shared" si="7"/>
        <v>1.8612262824009738</v>
      </c>
      <c r="R31" s="11">
        <f>R26/1000000</f>
        <v>0.7928447965927643</v>
      </c>
    </row>
    <row r="32" spans="1:20" ht="18.75" customHeight="1" x14ac:dyDescent="0.25">
      <c r="M32" s="5"/>
      <c r="N32" s="231" t="s">
        <v>69</v>
      </c>
      <c r="O32" s="231"/>
      <c r="P32" s="231"/>
      <c r="Q32" s="231"/>
      <c r="R32" s="231"/>
    </row>
    <row r="33" spans="13:21" ht="23.25" customHeight="1" x14ac:dyDescent="0.3">
      <c r="N33" s="20" t="s">
        <v>0</v>
      </c>
      <c r="O33" s="11">
        <f t="shared" ref="O33:Q35" si="8">O23/100</f>
        <v>45459.856331976975</v>
      </c>
      <c r="P33" s="11">
        <f>P23/100</f>
        <v>31951.499899996961</v>
      </c>
      <c r="Q33" s="11">
        <f t="shared" si="8"/>
        <v>16380.272119619236</v>
      </c>
      <c r="R33" s="11">
        <f>R15/1000000</f>
        <v>1.0934964814551765E-2</v>
      </c>
      <c r="S33" s="200"/>
    </row>
    <row r="34" spans="13:21" ht="18.75" x14ac:dyDescent="0.3">
      <c r="N34" s="18" t="s">
        <v>3</v>
      </c>
      <c r="O34" s="11">
        <f t="shared" si="8"/>
        <v>4880.9122944883138</v>
      </c>
      <c r="P34" s="11">
        <f t="shared" si="8"/>
        <v>1884.0321456724892</v>
      </c>
      <c r="Q34" s="11">
        <f t="shared" si="8"/>
        <v>878.56421300789634</v>
      </c>
      <c r="R34" s="11">
        <f>R19/1000000</f>
        <v>5.4654739559196509E-4</v>
      </c>
    </row>
    <row r="35" spans="13:21" ht="18.75" x14ac:dyDescent="0.3">
      <c r="N35" s="19" t="s">
        <v>4</v>
      </c>
      <c r="O35" s="11">
        <f>O25/100</f>
        <v>13076.584457802954</v>
      </c>
      <c r="P35" s="11">
        <f t="shared" si="8"/>
        <v>5152.1742763743641</v>
      </c>
      <c r="Q35" s="11">
        <f t="shared" si="8"/>
        <v>1353.4264913826055</v>
      </c>
      <c r="R35" s="11">
        <f>R29/1000000</f>
        <v>2.196410532519741E-8</v>
      </c>
    </row>
    <row r="36" spans="13:21" ht="18.75" x14ac:dyDescent="0.3">
      <c r="N36" s="1" t="s">
        <v>21</v>
      </c>
      <c r="O36" s="11">
        <f>O26/100</f>
        <v>63417.353084268252</v>
      </c>
      <c r="P36" s="11">
        <f t="shared" ref="P36:R36" si="9">P26/100</f>
        <v>38987.706322043814</v>
      </c>
      <c r="Q36" s="11">
        <f t="shared" si="9"/>
        <v>18612.26282400974</v>
      </c>
      <c r="R36" s="11">
        <f t="shared" si="9"/>
        <v>7928.4479659276431</v>
      </c>
      <c r="T36" t="s">
        <v>174</v>
      </c>
      <c r="U36">
        <f>O36/1680000</f>
        <v>3.7748424454921575E-2</v>
      </c>
    </row>
    <row r="37" spans="13:21" ht="18.75" customHeight="1" x14ac:dyDescent="0.25">
      <c r="N37" s="231" t="s">
        <v>78</v>
      </c>
      <c r="O37" s="231"/>
      <c r="P37" s="231"/>
      <c r="Q37" s="231"/>
      <c r="R37" s="231"/>
    </row>
    <row r="38" spans="13:21" ht="18.75" x14ac:dyDescent="0.3">
      <c r="M38" s="23"/>
      <c r="N38" s="20" t="s">
        <v>0</v>
      </c>
      <c r="O38" s="11">
        <f t="shared" ref="O38:R41" si="10">O28/O$31*100</f>
        <v>71.683623048048759</v>
      </c>
      <c r="P38" s="11">
        <f t="shared" si="10"/>
        <v>81.952756174146742</v>
      </c>
      <c r="Q38" s="11">
        <f t="shared" si="10"/>
        <v>88.007956230280385</v>
      </c>
      <c r="R38" s="11">
        <f t="shared" si="10"/>
        <v>94.871175131046229</v>
      </c>
    </row>
    <row r="39" spans="13:21" ht="27" customHeight="1" x14ac:dyDescent="0.3">
      <c r="N39" s="18" t="s">
        <v>3</v>
      </c>
      <c r="O39" s="11">
        <f t="shared" si="10"/>
        <v>7.6964932421613579</v>
      </c>
      <c r="P39" s="11">
        <f t="shared" si="10"/>
        <v>4.8323749289330458</v>
      </c>
      <c r="Q39" s="11">
        <f t="shared" si="10"/>
        <v>4.7203514226897347</v>
      </c>
      <c r="R39" s="11">
        <f t="shared" si="10"/>
        <v>2.77029065708544</v>
      </c>
    </row>
    <row r="40" spans="13:21" ht="18.75" x14ac:dyDescent="0.3">
      <c r="N40" s="19" t="s">
        <v>4</v>
      </c>
      <c r="O40" s="11">
        <f t="shared" si="10"/>
        <v>20.619883709789871</v>
      </c>
      <c r="P40" s="11">
        <f t="shared" si="10"/>
        <v>13.214868896920215</v>
      </c>
      <c r="Q40" s="11">
        <f t="shared" si="10"/>
        <v>7.2716923470298918</v>
      </c>
      <c r="R40" s="11">
        <f t="shared" si="10"/>
        <v>2.358534211868331</v>
      </c>
    </row>
    <row r="41" spans="13:21" ht="18.75" x14ac:dyDescent="0.3">
      <c r="N41" s="1" t="s">
        <v>21</v>
      </c>
      <c r="O41" s="11">
        <f t="shared" si="10"/>
        <v>100</v>
      </c>
      <c r="P41" s="11">
        <f t="shared" si="10"/>
        <v>100</v>
      </c>
      <c r="Q41" s="11">
        <f t="shared" si="10"/>
        <v>100</v>
      </c>
      <c r="R41" s="11">
        <f>R31/R$31*100</f>
        <v>100</v>
      </c>
    </row>
  </sheetData>
  <mergeCells count="10">
    <mergeCell ref="N22:R22"/>
    <mergeCell ref="N27:R27"/>
    <mergeCell ref="N32:R32"/>
    <mergeCell ref="N37:R37"/>
    <mergeCell ref="A2:L2"/>
    <mergeCell ref="A3:R3"/>
    <mergeCell ref="A4:C4"/>
    <mergeCell ref="D4:G4"/>
    <mergeCell ref="N4:R4"/>
    <mergeCell ref="I4:L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6F9C-486E-4634-8F7B-337B8AD8BDD4}">
  <dimension ref="A1:L41"/>
  <sheetViews>
    <sheetView zoomScaleNormal="100" workbookViewId="0">
      <selection activeCell="B35" sqref="B35"/>
    </sheetView>
  </sheetViews>
  <sheetFormatPr defaultRowHeight="15" x14ac:dyDescent="0.25"/>
  <cols>
    <col min="1" max="1" width="19.5703125" style="199" customWidth="1"/>
    <col min="2" max="2" width="20.5703125" style="199" bestFit="1" customWidth="1"/>
    <col min="3" max="3" width="28.42578125" style="199" customWidth="1"/>
    <col min="4" max="4" width="36.7109375" customWidth="1"/>
    <col min="5" max="5" width="27" customWidth="1"/>
    <col min="6" max="6" width="30.85546875" style="2" customWidth="1"/>
    <col min="7" max="7" width="25.42578125" customWidth="1"/>
    <col min="8" max="8" width="31.42578125" customWidth="1"/>
    <col min="9" max="9" width="19.42578125" customWidth="1"/>
    <col min="10" max="11" width="19" customWidth="1"/>
  </cols>
  <sheetData>
    <row r="1" spans="1:12" ht="26.25" x14ac:dyDescent="0.4">
      <c r="A1" s="130" t="s">
        <v>88</v>
      </c>
      <c r="B1" s="168"/>
      <c r="C1" s="168"/>
      <c r="D1" s="168"/>
      <c r="E1" s="168"/>
      <c r="F1"/>
    </row>
    <row r="2" spans="1:12" ht="41.25" customHeight="1" x14ac:dyDescent="0.3">
      <c r="A2" s="227" t="s">
        <v>199</v>
      </c>
      <c r="B2" s="227"/>
      <c r="C2" s="227"/>
      <c r="D2" s="227"/>
      <c r="E2" s="227"/>
      <c r="F2" s="227"/>
      <c r="G2" s="59"/>
      <c r="H2" s="58"/>
      <c r="I2" s="58"/>
      <c r="J2" s="58"/>
      <c r="K2" s="58"/>
      <c r="L2" s="58"/>
    </row>
    <row r="3" spans="1:12" ht="41.25" customHeight="1" x14ac:dyDescent="0.3">
      <c r="A3" s="244" t="s">
        <v>58</v>
      </c>
      <c r="B3" s="244"/>
      <c r="C3" s="244"/>
      <c r="D3" s="244"/>
      <c r="E3" s="244"/>
      <c r="F3" s="245"/>
      <c r="G3" s="4"/>
      <c r="H3" s="59"/>
      <c r="I3" s="59"/>
      <c r="J3" s="59"/>
      <c r="K3" s="59"/>
      <c r="L3" s="59"/>
    </row>
    <row r="4" spans="1:12" ht="19.5" x14ac:dyDescent="0.3">
      <c r="A4" s="233" t="s">
        <v>89</v>
      </c>
      <c r="B4" s="233"/>
      <c r="C4" s="233"/>
      <c r="D4" s="234" t="s">
        <v>102</v>
      </c>
      <c r="E4" s="235"/>
      <c r="F4" s="235"/>
      <c r="G4" s="201"/>
    </row>
    <row r="5" spans="1:12" ht="78.75" x14ac:dyDescent="0.25">
      <c r="A5" s="37" t="s">
        <v>56</v>
      </c>
      <c r="B5" s="37" t="s">
        <v>59</v>
      </c>
      <c r="C5" s="37" t="s">
        <v>60</v>
      </c>
      <c r="D5" s="45" t="s">
        <v>218</v>
      </c>
      <c r="E5" s="202" t="s">
        <v>207</v>
      </c>
      <c r="F5" s="202" t="s">
        <v>206</v>
      </c>
    </row>
    <row r="6" spans="1:12" ht="15.75" x14ac:dyDescent="0.25">
      <c r="A6" s="56" t="s">
        <v>61</v>
      </c>
      <c r="B6" s="51" t="s">
        <v>53</v>
      </c>
      <c r="C6" s="51" t="s">
        <v>18</v>
      </c>
      <c r="D6" s="189">
        <v>17705.649153797</v>
      </c>
      <c r="E6" s="189">
        <v>3494.1</v>
      </c>
      <c r="F6" s="138">
        <v>830.84810000000004</v>
      </c>
    </row>
    <row r="7" spans="1:12" ht="15.75" x14ac:dyDescent="0.25">
      <c r="A7" s="56" t="s">
        <v>61</v>
      </c>
      <c r="B7" s="51" t="s">
        <v>53</v>
      </c>
      <c r="C7" s="51" t="s">
        <v>42</v>
      </c>
      <c r="D7" s="189">
        <v>50575.444160553503</v>
      </c>
      <c r="E7" s="189">
        <v>9927.0300000000007</v>
      </c>
      <c r="F7" s="138">
        <v>1950.9367999999999</v>
      </c>
    </row>
    <row r="8" spans="1:12" ht="15.75" x14ac:dyDescent="0.25">
      <c r="A8" s="56" t="s">
        <v>61</v>
      </c>
      <c r="B8" s="51" t="s">
        <v>53</v>
      </c>
      <c r="C8" s="51" t="s">
        <v>41</v>
      </c>
      <c r="D8" s="189">
        <v>21430.672544282301</v>
      </c>
      <c r="E8" s="189">
        <v>0</v>
      </c>
      <c r="F8" s="138">
        <v>688.76990000000001</v>
      </c>
    </row>
    <row r="9" spans="1:12" ht="15.75" x14ac:dyDescent="0.25">
      <c r="A9" s="203" t="s">
        <v>10</v>
      </c>
      <c r="B9" s="203"/>
      <c r="C9" s="203"/>
      <c r="D9" s="204">
        <f>SUM(D6:D8)</f>
        <v>89711.765858632803</v>
      </c>
      <c r="E9" s="204">
        <f>SUM(E6:E8)</f>
        <v>13421.130000000001</v>
      </c>
      <c r="F9" s="204">
        <f>SUM(F6:F8)</f>
        <v>3470.5547999999999</v>
      </c>
    </row>
    <row r="10" spans="1:12" ht="15.75" x14ac:dyDescent="0.25">
      <c r="A10" s="56" t="s">
        <v>62</v>
      </c>
      <c r="B10" s="51" t="s">
        <v>52</v>
      </c>
      <c r="C10" s="51" t="s">
        <v>18</v>
      </c>
      <c r="D10" s="189">
        <v>4003.2213400187402</v>
      </c>
      <c r="E10" s="189">
        <v>2073.7199999999998</v>
      </c>
      <c r="F10" s="138">
        <v>340.50510000000003</v>
      </c>
    </row>
    <row r="11" spans="1:12" ht="15.75" x14ac:dyDescent="0.25">
      <c r="A11" s="56" t="s">
        <v>61</v>
      </c>
      <c r="B11" s="51" t="s">
        <v>52</v>
      </c>
      <c r="C11" s="51" t="s">
        <v>42</v>
      </c>
      <c r="D11" s="189">
        <v>5695.9851339167599</v>
      </c>
      <c r="E11" s="189">
        <v>2209.12</v>
      </c>
      <c r="F11" s="138">
        <v>179.8098</v>
      </c>
    </row>
    <row r="12" spans="1:12" ht="15.75" x14ac:dyDescent="0.25">
      <c r="A12" s="56" t="s">
        <v>61</v>
      </c>
      <c r="B12" s="51" t="s">
        <v>52</v>
      </c>
      <c r="C12" s="51" t="s">
        <v>41</v>
      </c>
      <c r="D12" s="189">
        <v>2833.8469085237598</v>
      </c>
      <c r="E12" s="189">
        <v>0</v>
      </c>
      <c r="F12" s="138">
        <v>511.75319999999999</v>
      </c>
    </row>
    <row r="13" spans="1:12" ht="15.75" x14ac:dyDescent="0.25">
      <c r="A13" s="203" t="s">
        <v>10</v>
      </c>
      <c r="B13" s="203"/>
      <c r="C13" s="203"/>
      <c r="D13" s="204">
        <f>SUM(D10:D12)</f>
        <v>12533.05338245926</v>
      </c>
      <c r="E13" s="204">
        <f>SUM(E10:E12)</f>
        <v>4282.84</v>
      </c>
      <c r="F13" s="204">
        <f>SUM(F10:F12)</f>
        <v>1032.0681</v>
      </c>
    </row>
    <row r="14" spans="1:12" ht="15.75" x14ac:dyDescent="0.25">
      <c r="A14" s="51" t="s">
        <v>9</v>
      </c>
      <c r="B14" s="51" t="s">
        <v>54</v>
      </c>
      <c r="C14" s="51" t="s">
        <v>18</v>
      </c>
      <c r="D14" s="138">
        <v>0</v>
      </c>
      <c r="E14" s="138">
        <v>4.67</v>
      </c>
      <c r="F14" s="138">
        <v>0</v>
      </c>
    </row>
    <row r="15" spans="1:12" ht="15.75" x14ac:dyDescent="0.25">
      <c r="A15" s="51" t="s">
        <v>9</v>
      </c>
      <c r="B15" s="51" t="s">
        <v>54</v>
      </c>
      <c r="C15" s="51" t="s">
        <v>42</v>
      </c>
      <c r="D15" s="189">
        <v>6705.0421030021298</v>
      </c>
      <c r="E15" s="138">
        <v>494.62</v>
      </c>
      <c r="F15" s="138">
        <v>106.6326</v>
      </c>
    </row>
    <row r="16" spans="1:12" ht="15.75" x14ac:dyDescent="0.25">
      <c r="A16" s="51" t="s">
        <v>9</v>
      </c>
      <c r="B16" s="51" t="s">
        <v>54</v>
      </c>
      <c r="C16" s="51" t="s">
        <v>41</v>
      </c>
      <c r="D16" s="138">
        <v>0</v>
      </c>
      <c r="E16" s="189">
        <v>0</v>
      </c>
      <c r="F16" s="138">
        <v>0</v>
      </c>
    </row>
    <row r="17" spans="1:12" ht="15.75" x14ac:dyDescent="0.25">
      <c r="A17" s="203" t="s">
        <v>10</v>
      </c>
      <c r="B17" s="152"/>
      <c r="C17" s="152"/>
      <c r="D17" s="204">
        <f>SUM(D14:D16)</f>
        <v>6705.0421030021298</v>
      </c>
      <c r="E17" s="204">
        <f>SUM(E14:E16)</f>
        <v>499.29</v>
      </c>
      <c r="F17" s="204">
        <f>SUM(F14:F16)</f>
        <v>106.6326</v>
      </c>
    </row>
    <row r="18" spans="1:12" ht="41.25" customHeight="1" x14ac:dyDescent="0.3">
      <c r="A18" s="218" t="s">
        <v>97</v>
      </c>
      <c r="B18" s="218"/>
      <c r="C18" s="218"/>
      <c r="D18" s="218"/>
      <c r="E18" s="218"/>
      <c r="F18" s="218"/>
      <c r="G18" s="219"/>
      <c r="H18" s="59"/>
      <c r="I18" s="59"/>
      <c r="J18" s="59"/>
      <c r="K18" s="59"/>
      <c r="L18" s="59"/>
    </row>
    <row r="19" spans="1:12" ht="19.899999999999999" customHeight="1" x14ac:dyDescent="0.3">
      <c r="A19" s="246" t="s">
        <v>89</v>
      </c>
      <c r="B19" s="246"/>
      <c r="C19" s="246"/>
      <c r="D19" s="173" t="s">
        <v>179</v>
      </c>
      <c r="E19" s="247" t="s">
        <v>102</v>
      </c>
      <c r="F19" s="248"/>
      <c r="G19" s="249"/>
    </row>
    <row r="20" spans="1:12" ht="94.5" x14ac:dyDescent="0.25">
      <c r="A20" s="39" t="s">
        <v>79</v>
      </c>
      <c r="B20" s="39" t="s">
        <v>56</v>
      </c>
      <c r="C20" s="39" t="s">
        <v>55</v>
      </c>
      <c r="D20" s="45" t="s">
        <v>201</v>
      </c>
      <c r="E20" s="45" t="s">
        <v>218</v>
      </c>
      <c r="F20" s="202" t="s">
        <v>207</v>
      </c>
      <c r="G20" s="45" t="s">
        <v>200</v>
      </c>
      <c r="H20" s="3"/>
    </row>
    <row r="21" spans="1:12" ht="31.5" x14ac:dyDescent="0.25">
      <c r="A21" s="205" t="s">
        <v>3</v>
      </c>
      <c r="B21" s="137" t="s">
        <v>7</v>
      </c>
      <c r="C21" s="137" t="s">
        <v>53</v>
      </c>
      <c r="D21" s="206">
        <f>'3 - Areal Extents (Subsurface)'!J11</f>
        <v>196379.46097287</v>
      </c>
      <c r="E21" s="207">
        <f>D9</f>
        <v>89711.765858632803</v>
      </c>
      <c r="F21" s="207">
        <f>E9</f>
        <v>13421.130000000001</v>
      </c>
      <c r="G21" s="76">
        <f>F9</f>
        <v>3470.5547999999999</v>
      </c>
      <c r="H21" s="9"/>
    </row>
    <row r="22" spans="1:12" ht="31.5" x14ac:dyDescent="0.25">
      <c r="A22" s="205" t="s">
        <v>3</v>
      </c>
      <c r="B22" s="137" t="s">
        <v>8</v>
      </c>
      <c r="C22" s="137" t="s">
        <v>52</v>
      </c>
      <c r="D22" s="206">
        <f>'3 - Areal Extents (Subsurface)'!J12</f>
        <v>42696.312411252402</v>
      </c>
      <c r="E22" s="207">
        <f t="shared" ref="E22:F23" si="0">D10</f>
        <v>4003.2213400187402</v>
      </c>
      <c r="F22" s="207">
        <f t="shared" si="0"/>
        <v>2073.7199999999998</v>
      </c>
      <c r="G22" s="76">
        <f>F13</f>
        <v>1032.0681</v>
      </c>
      <c r="H22" s="9"/>
    </row>
    <row r="23" spans="1:12" ht="15.75" x14ac:dyDescent="0.25">
      <c r="A23" s="205" t="s">
        <v>3</v>
      </c>
      <c r="B23" s="137" t="s">
        <v>9</v>
      </c>
      <c r="C23" s="137" t="s">
        <v>54</v>
      </c>
      <c r="D23" s="206">
        <f>'3 - Areal Extents (Subsurface)'!J13</f>
        <v>50858.357335237102</v>
      </c>
      <c r="E23" s="207">
        <f t="shared" si="0"/>
        <v>5695.9851339167599</v>
      </c>
      <c r="F23" s="207">
        <f t="shared" si="0"/>
        <v>2209.12</v>
      </c>
      <c r="G23" s="76">
        <f>F17</f>
        <v>106.6326</v>
      </c>
      <c r="H23" s="9"/>
    </row>
    <row r="24" spans="1:12" ht="18.75" x14ac:dyDescent="0.25">
      <c r="A24" s="208"/>
      <c r="B24" s="209"/>
      <c r="C24" s="250" t="s">
        <v>77</v>
      </c>
      <c r="D24" s="251"/>
      <c r="E24" s="251"/>
      <c r="F24" s="251"/>
      <c r="G24" s="252"/>
      <c r="H24" s="9"/>
    </row>
    <row r="25" spans="1:12" ht="18.75" x14ac:dyDescent="0.3">
      <c r="B25" s="16"/>
      <c r="C25" s="1" t="s">
        <v>21</v>
      </c>
      <c r="D25" s="210">
        <f>SUM(D21:D23)</f>
        <v>289934.1307193595</v>
      </c>
      <c r="E25" s="210">
        <f>SUM(E21:E23)</f>
        <v>99410.972332568315</v>
      </c>
      <c r="F25" s="210">
        <f>SUM(F21:F23)</f>
        <v>17703.97</v>
      </c>
      <c r="G25" s="210">
        <f>SUM(G21:G23)</f>
        <v>4609.2555000000002</v>
      </c>
    </row>
    <row r="26" spans="1:12" ht="22.5" customHeight="1" x14ac:dyDescent="0.25">
      <c r="A26"/>
      <c r="B26"/>
      <c r="C26" s="238" t="s">
        <v>68</v>
      </c>
      <c r="D26" s="239"/>
      <c r="E26" s="239"/>
      <c r="F26" s="239"/>
      <c r="G26" s="240"/>
    </row>
    <row r="27" spans="1:12" ht="15" customHeight="1" x14ac:dyDescent="0.3">
      <c r="B27" s="16"/>
      <c r="C27" s="1" t="s">
        <v>21</v>
      </c>
      <c r="D27" s="8">
        <f>D25/1000000</f>
        <v>0.28993413071935947</v>
      </c>
      <c r="E27" s="8">
        <f>E25/1000000</f>
        <v>9.941097233256832E-2</v>
      </c>
      <c r="F27" s="8">
        <f>F25/1000000</f>
        <v>1.7703969999999999E-2</v>
      </c>
      <c r="G27" s="211">
        <f>G25/1000000</f>
        <v>4.6092555000000002E-3</v>
      </c>
    </row>
    <row r="28" spans="1:12" ht="22.5" customHeight="1" x14ac:dyDescent="0.25">
      <c r="A28"/>
      <c r="B28"/>
      <c r="C28" s="238" t="s">
        <v>69</v>
      </c>
      <c r="D28" s="239"/>
      <c r="E28" s="239"/>
      <c r="F28" s="239"/>
      <c r="G28" s="240"/>
    </row>
    <row r="29" spans="1:12" ht="18.75" x14ac:dyDescent="0.3">
      <c r="B29" s="16"/>
      <c r="C29" s="1" t="s">
        <v>21</v>
      </c>
      <c r="D29" s="10">
        <f>D25/100</f>
        <v>2899.3413071935952</v>
      </c>
      <c r="E29" s="10">
        <f>E25/100</f>
        <v>994.10972332568315</v>
      </c>
      <c r="F29" s="10">
        <f>F25/100</f>
        <v>177.03970000000001</v>
      </c>
      <c r="G29" s="10">
        <f>G25/100</f>
        <v>46.092555000000004</v>
      </c>
    </row>
    <row r="30" spans="1:12" ht="22.5" customHeight="1" x14ac:dyDescent="0.25">
      <c r="A30"/>
      <c r="B30"/>
      <c r="C30" s="238" t="s">
        <v>78</v>
      </c>
      <c r="D30" s="239"/>
      <c r="E30" s="239"/>
      <c r="F30" s="239"/>
      <c r="G30" s="240"/>
    </row>
    <row r="31" spans="1:12" ht="18.75" x14ac:dyDescent="0.3">
      <c r="C31" s="1" t="s">
        <v>21</v>
      </c>
      <c r="D31" s="10">
        <f>D25/'3 - Areal Extents (Subsurface)'!O26</f>
        <v>4.5718421948973229E-2</v>
      </c>
      <c r="E31" s="10">
        <f>E25/'3 - Areal Extents (Subsurface)'!Q26</f>
        <v>5.3411545534554024E-2</v>
      </c>
      <c r="F31" s="10">
        <f>F25/'3 - Areal Extents (Subsurface)'!R26</f>
        <v>2.2329679246281847E-2</v>
      </c>
      <c r="G31" s="10">
        <f>G25/'3 - Areal Extents (Subsurface)'!R26</f>
        <v>5.8135659334691853E-3</v>
      </c>
    </row>
    <row r="32" spans="1:12" ht="15.75" x14ac:dyDescent="0.25">
      <c r="C32" s="7"/>
      <c r="D32" s="10"/>
      <c r="E32" s="8"/>
      <c r="F32" s="8"/>
      <c r="G32" s="10"/>
    </row>
    <row r="33" spans="1:8" s="60" customFormat="1" ht="34.5" customHeight="1" x14ac:dyDescent="0.3">
      <c r="A33" s="241" t="s">
        <v>217</v>
      </c>
      <c r="B33" s="242"/>
      <c r="C33" s="242"/>
      <c r="D33" s="243"/>
      <c r="F33" s="212"/>
      <c r="G33" s="61"/>
      <c r="H33" s="62"/>
    </row>
    <row r="34" spans="1:8" ht="30.75" customHeight="1" x14ac:dyDescent="0.3">
      <c r="A34" s="57" t="s">
        <v>89</v>
      </c>
      <c r="B34" s="221" t="s">
        <v>102</v>
      </c>
      <c r="C34" s="223"/>
      <c r="D34" s="222"/>
    </row>
    <row r="35" spans="1:8" ht="94.5" x14ac:dyDescent="0.25">
      <c r="A35" s="37" t="s">
        <v>60</v>
      </c>
      <c r="B35" s="45" t="s">
        <v>219</v>
      </c>
      <c r="C35" s="202" t="s">
        <v>207</v>
      </c>
      <c r="D35" s="45" t="s">
        <v>40</v>
      </c>
    </row>
    <row r="36" spans="1:8" ht="15.75" x14ac:dyDescent="0.25">
      <c r="A36" s="51" t="s">
        <v>18</v>
      </c>
      <c r="B36" s="52">
        <f t="shared" ref="B36:C38" si="1">D6+D10+D14</f>
        <v>21708.870493815739</v>
      </c>
      <c r="C36" s="52">
        <f>E6+E10+E14</f>
        <v>5572.49</v>
      </c>
      <c r="D36" s="76">
        <f>F6+F10+F14</f>
        <v>1171.3532</v>
      </c>
    </row>
    <row r="37" spans="1:8" ht="15.75" x14ac:dyDescent="0.25">
      <c r="A37" s="51" t="s">
        <v>42</v>
      </c>
      <c r="B37" s="52">
        <f t="shared" si="1"/>
        <v>62976.471397472393</v>
      </c>
      <c r="C37" s="52">
        <f t="shared" si="1"/>
        <v>12630.770000000002</v>
      </c>
      <c r="D37" s="76">
        <f>F7+F11+F15</f>
        <v>2237.3791999999999</v>
      </c>
    </row>
    <row r="38" spans="1:8" ht="15.75" x14ac:dyDescent="0.25">
      <c r="A38" s="51" t="s">
        <v>41</v>
      </c>
      <c r="B38" s="52">
        <f t="shared" si="1"/>
        <v>24264.51945280606</v>
      </c>
      <c r="C38" s="52">
        <f t="shared" si="1"/>
        <v>0</v>
      </c>
      <c r="D38" s="76">
        <f>F8+F12+F16</f>
        <v>1200.5230999999999</v>
      </c>
    </row>
    <row r="39" spans="1:8" ht="15.75" x14ac:dyDescent="0.25">
      <c r="C39" s="5"/>
      <c r="D39" s="5"/>
      <c r="E39" s="5"/>
      <c r="F39" s="5"/>
    </row>
    <row r="40" spans="1:8" x14ac:dyDescent="0.25">
      <c r="B40" s="220"/>
      <c r="C40" s="217"/>
      <c r="F40"/>
    </row>
    <row r="41" spans="1:8" x14ac:dyDescent="0.25">
      <c r="C41"/>
      <c r="D41" s="217"/>
      <c r="F41"/>
    </row>
  </sheetData>
  <mergeCells count="11">
    <mergeCell ref="C30:G30"/>
    <mergeCell ref="D4:F4"/>
    <mergeCell ref="A2:F2"/>
    <mergeCell ref="A33:D33"/>
    <mergeCell ref="A3:F3"/>
    <mergeCell ref="A4:C4"/>
    <mergeCell ref="A19:C19"/>
    <mergeCell ref="E19:G19"/>
    <mergeCell ref="C24:G24"/>
    <mergeCell ref="C26:G26"/>
    <mergeCell ref="C28:G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2555-FB5E-4846-89F0-A1D56B554C94}">
  <dimension ref="A1:E37"/>
  <sheetViews>
    <sheetView workbookViewId="0">
      <selection activeCell="B17" sqref="B17"/>
    </sheetView>
  </sheetViews>
  <sheetFormatPr defaultRowHeight="15" x14ac:dyDescent="0.25"/>
  <cols>
    <col min="1" max="1" width="29.140625" customWidth="1"/>
    <col min="2" max="2" width="26.5703125" customWidth="1"/>
    <col min="3" max="3" width="31.85546875" customWidth="1"/>
    <col min="4" max="4" width="17.28515625" customWidth="1"/>
    <col min="5" max="5" width="14.5703125" customWidth="1"/>
  </cols>
  <sheetData>
    <row r="1" spans="1:5" ht="28.35" customHeight="1" x14ac:dyDescent="0.4">
      <c r="A1" s="213" t="s">
        <v>99</v>
      </c>
      <c r="B1" s="213"/>
    </row>
    <row r="2" spans="1:5" ht="115.5" customHeight="1" x14ac:dyDescent="0.3">
      <c r="A2" s="253" t="s">
        <v>202</v>
      </c>
      <c r="B2" s="254"/>
      <c r="C2" s="254"/>
      <c r="D2" s="254"/>
      <c r="E2" s="254"/>
    </row>
    <row r="3" spans="1:5" s="60" customFormat="1" ht="33.6" customHeight="1" x14ac:dyDescent="0.3">
      <c r="A3" s="255" t="s">
        <v>58</v>
      </c>
      <c r="B3" s="257"/>
      <c r="C3" s="258"/>
    </row>
    <row r="4" spans="1:5" ht="66" customHeight="1" x14ac:dyDescent="0.3">
      <c r="A4" s="43" t="s">
        <v>89</v>
      </c>
      <c r="B4" s="261" t="s">
        <v>203</v>
      </c>
      <c r="C4" s="261"/>
      <c r="D4" s="261"/>
      <c r="E4" s="261"/>
    </row>
    <row r="5" spans="1:5" s="60" customFormat="1" ht="33.6" customHeight="1" x14ac:dyDescent="0.3">
      <c r="A5" s="255" t="s">
        <v>58</v>
      </c>
      <c r="B5" s="260"/>
      <c r="C5" s="214"/>
    </row>
    <row r="6" spans="1:5" ht="47.25" x14ac:dyDescent="0.25">
      <c r="A6" s="63"/>
      <c r="B6" s="42" t="s">
        <v>110</v>
      </c>
      <c r="C6" s="40" t="s">
        <v>104</v>
      </c>
      <c r="D6" s="40" t="s">
        <v>176</v>
      </c>
      <c r="E6" s="40" t="s">
        <v>177</v>
      </c>
    </row>
    <row r="7" spans="1:5" ht="18.75" x14ac:dyDescent="0.3">
      <c r="A7" s="35" t="s">
        <v>3</v>
      </c>
      <c r="B7" s="73"/>
      <c r="C7" s="50"/>
      <c r="D7" s="50"/>
      <c r="E7" s="50"/>
    </row>
    <row r="8" spans="1:5" ht="15.75" x14ac:dyDescent="0.25">
      <c r="A8" s="56" t="s">
        <v>18</v>
      </c>
      <c r="B8" s="66">
        <v>0.94920758000000005</v>
      </c>
      <c r="C8" s="66">
        <f>'1- Kelp Cover'!I13</f>
        <v>0.26710150246700914</v>
      </c>
      <c r="D8" s="56">
        <v>0.66</v>
      </c>
      <c r="E8" s="56">
        <v>1.23</v>
      </c>
    </row>
    <row r="9" spans="1:5" s="100" customFormat="1" ht="15.75" x14ac:dyDescent="0.25">
      <c r="A9" s="56" t="s">
        <v>19</v>
      </c>
      <c r="B9" s="66">
        <v>1.3004763800000001</v>
      </c>
      <c r="C9" s="66">
        <f>'1- Kelp Cover'!I14</f>
        <v>0.5328984975329909</v>
      </c>
      <c r="D9" s="56">
        <v>0.08</v>
      </c>
      <c r="E9" s="56">
        <v>2.82</v>
      </c>
    </row>
    <row r="10" spans="1:5" ht="15.75" x14ac:dyDescent="0.25">
      <c r="C10" s="6"/>
    </row>
    <row r="11" spans="1:5" s="60" customFormat="1" ht="33.6" customHeight="1" x14ac:dyDescent="0.3">
      <c r="A11" s="255" t="s">
        <v>167</v>
      </c>
      <c r="B11" s="256"/>
      <c r="C11" s="259"/>
    </row>
    <row r="12" spans="1:5" ht="47.25" x14ac:dyDescent="0.25">
      <c r="A12" s="97"/>
      <c r="B12" s="98" t="s">
        <v>110</v>
      </c>
      <c r="C12" s="99" t="s">
        <v>104</v>
      </c>
      <c r="D12" s="40" t="s">
        <v>176</v>
      </c>
      <c r="E12" s="40" t="s">
        <v>177</v>
      </c>
    </row>
    <row r="13" spans="1:5" ht="18.75" x14ac:dyDescent="0.3">
      <c r="A13" s="33" t="s">
        <v>0</v>
      </c>
      <c r="B13" s="71"/>
      <c r="C13" s="72"/>
      <c r="D13" s="50"/>
      <c r="E13" s="50"/>
    </row>
    <row r="14" spans="1:5" ht="15.75" x14ac:dyDescent="0.25">
      <c r="A14" s="65" t="s">
        <v>23</v>
      </c>
      <c r="B14" s="64">
        <v>0.40363278000000002</v>
      </c>
      <c r="C14" s="64">
        <f>'1- Kelp Cover'!I5</f>
        <v>0.43264311814859935</v>
      </c>
      <c r="D14" s="105">
        <v>0.28999999999999998</v>
      </c>
      <c r="E14" s="105">
        <v>0.52</v>
      </c>
    </row>
    <row r="15" spans="1:5" ht="15.75" x14ac:dyDescent="0.25">
      <c r="A15" s="65" t="s">
        <v>22</v>
      </c>
      <c r="B15" s="64">
        <v>0.67097424000000006</v>
      </c>
      <c r="C15" s="64">
        <f>'1- Kelp Cover'!I6</f>
        <v>3.3617539585870888E-2</v>
      </c>
      <c r="D15" s="105">
        <v>0.15</v>
      </c>
      <c r="E15" s="105">
        <v>1.43</v>
      </c>
    </row>
    <row r="16" spans="1:5" ht="15.75" x14ac:dyDescent="0.25">
      <c r="A16" s="65" t="s">
        <v>1</v>
      </c>
      <c r="B16" s="64">
        <v>0.22263688000000001</v>
      </c>
      <c r="C16" s="64">
        <f>'1- Kelp Cover'!I7</f>
        <v>0.1220462850182704</v>
      </c>
      <c r="D16" s="105">
        <v>0.11</v>
      </c>
      <c r="E16" s="105">
        <v>0.38</v>
      </c>
    </row>
    <row r="17" spans="1:5" ht="15.75" x14ac:dyDescent="0.25">
      <c r="A17" s="65" t="s">
        <v>2</v>
      </c>
      <c r="B17" s="64">
        <v>1.2663521200000001</v>
      </c>
      <c r="C17" s="64">
        <f>'1- Kelp Cover'!I8</f>
        <v>0.43264311814859935</v>
      </c>
      <c r="D17" s="105">
        <v>0.56000000000000005</v>
      </c>
      <c r="E17" s="105">
        <v>0.83</v>
      </c>
    </row>
    <row r="18" spans="1:5" ht="18.75" x14ac:dyDescent="0.3">
      <c r="A18" s="35" t="s">
        <v>3</v>
      </c>
      <c r="B18" s="73"/>
      <c r="C18" s="50"/>
      <c r="D18" s="50"/>
      <c r="E18" s="50"/>
    </row>
    <row r="19" spans="1:5" ht="15.75" x14ac:dyDescent="0.25">
      <c r="A19" s="56" t="s">
        <v>23</v>
      </c>
      <c r="B19" s="66">
        <v>0.10577251</v>
      </c>
      <c r="C19" s="66">
        <f>'1- Kelp Cover'!I10</f>
        <v>7.748449598167223E-2</v>
      </c>
      <c r="D19" s="104">
        <v>0.02</v>
      </c>
      <c r="E19" s="104">
        <v>0.19</v>
      </c>
    </row>
    <row r="20" spans="1:5" ht="15.75" x14ac:dyDescent="0.25">
      <c r="A20" s="56" t="s">
        <v>24</v>
      </c>
      <c r="B20" s="66">
        <v>0.10317187999999999</v>
      </c>
      <c r="C20" s="66">
        <f>'1- Kelp Cover'!I11</f>
        <v>0.15720081316708712</v>
      </c>
      <c r="D20" s="104">
        <v>0.08</v>
      </c>
      <c r="E20" s="104">
        <v>0.13</v>
      </c>
    </row>
    <row r="21" spans="1:5" ht="15.75" x14ac:dyDescent="0.25">
      <c r="A21" s="56" t="s">
        <v>22</v>
      </c>
      <c r="B21" s="66">
        <v>0.31174707000000001</v>
      </c>
      <c r="C21" s="66">
        <f>'1- Kelp Cover'!I12</f>
        <v>0.16666666666666666</v>
      </c>
      <c r="D21" s="104">
        <v>-0.17</v>
      </c>
      <c r="E21" s="104">
        <v>0.81</v>
      </c>
    </row>
    <row r="22" spans="1:5" ht="15.75" x14ac:dyDescent="0.25">
      <c r="A22" s="56" t="s">
        <v>20</v>
      </c>
      <c r="B22" s="66">
        <v>9.0718629999999995E-2</v>
      </c>
      <c r="C22" s="66">
        <f>'1- Kelp Cover'!I15</f>
        <v>3.4575153923831085E-2</v>
      </c>
      <c r="D22" s="104">
        <v>1E-4</v>
      </c>
      <c r="E22" s="104">
        <v>0.22</v>
      </c>
    </row>
    <row r="23" spans="1:5" ht="15.75" x14ac:dyDescent="0.25">
      <c r="A23" s="67" t="s">
        <v>38</v>
      </c>
      <c r="B23" s="66">
        <v>0.65687123000000003</v>
      </c>
      <c r="C23" s="66">
        <f>'1- Kelp Cover'!I16</f>
        <v>0.22647570525953531</v>
      </c>
      <c r="D23" s="104">
        <v>0.33</v>
      </c>
      <c r="E23" s="104">
        <v>1.02</v>
      </c>
    </row>
    <row r="24" spans="1:5" ht="15.75" x14ac:dyDescent="0.25">
      <c r="A24" s="56" t="s">
        <v>2</v>
      </c>
      <c r="B24" s="66">
        <v>0.31264073999999997</v>
      </c>
      <c r="C24" s="66">
        <f>'1- Kelp Cover'!I17</f>
        <v>0.10541865743397456</v>
      </c>
      <c r="D24" s="104">
        <v>-0.21</v>
      </c>
      <c r="E24" s="104">
        <v>0.83</v>
      </c>
    </row>
    <row r="25" spans="1:5" ht="18.75" x14ac:dyDescent="0.3">
      <c r="A25" s="36" t="s">
        <v>4</v>
      </c>
      <c r="B25" s="73"/>
      <c r="C25" s="74"/>
      <c r="D25" s="50"/>
      <c r="E25" s="50"/>
    </row>
    <row r="26" spans="1:5" ht="15.75" x14ac:dyDescent="0.25">
      <c r="A26" s="69" t="s">
        <v>23</v>
      </c>
      <c r="B26" s="68">
        <v>0.11840941000000001</v>
      </c>
      <c r="C26" s="70">
        <f>'1- Kelp Cover'!I19</f>
        <v>2.9166666666666664E-2</v>
      </c>
      <c r="D26" s="106">
        <v>-0.18</v>
      </c>
      <c r="E26" s="106">
        <v>0.43</v>
      </c>
    </row>
    <row r="27" spans="1:5" ht="15.75" x14ac:dyDescent="0.25">
      <c r="A27" s="69" t="s">
        <v>22</v>
      </c>
      <c r="B27" s="68">
        <v>0.31174707000000001</v>
      </c>
      <c r="C27" s="70">
        <f>'1- Kelp Cover'!I20</f>
        <v>0.68041666666666656</v>
      </c>
      <c r="D27" s="106">
        <v>-0.53</v>
      </c>
      <c r="E27" s="106">
        <v>1.04</v>
      </c>
    </row>
    <row r="28" spans="1:5" ht="15.75" x14ac:dyDescent="0.25">
      <c r="A28" s="69" t="s">
        <v>2</v>
      </c>
      <c r="B28" s="68">
        <v>0.78719698000000005</v>
      </c>
      <c r="C28" s="70">
        <f>'1- Kelp Cover'!I21</f>
        <v>0.21541666666666667</v>
      </c>
      <c r="D28" s="106">
        <v>-0.94</v>
      </c>
      <c r="E28" s="106">
        <v>2.78</v>
      </c>
    </row>
    <row r="29" spans="1:5" ht="15.75" x14ac:dyDescent="0.25">
      <c r="C29" s="6"/>
    </row>
    <row r="30" spans="1:5" s="60" customFormat="1" ht="33.6" customHeight="1" x14ac:dyDescent="0.3">
      <c r="A30" s="255" t="s">
        <v>167</v>
      </c>
      <c r="B30" s="256"/>
      <c r="C30" s="101"/>
    </row>
    <row r="31" spans="1:5" ht="63" x14ac:dyDescent="0.25">
      <c r="A31" s="34"/>
      <c r="B31" s="40" t="s">
        <v>122</v>
      </c>
    </row>
    <row r="32" spans="1:5" ht="18.75" x14ac:dyDescent="0.3">
      <c r="A32" s="33" t="s">
        <v>0</v>
      </c>
      <c r="B32" s="64">
        <f>B14*C14+B15*C15+B16*C16+B17*C17</f>
        <v>0.77223598158343498</v>
      </c>
      <c r="C32" s="6"/>
    </row>
    <row r="33" spans="1:3" ht="18.75" x14ac:dyDescent="0.3">
      <c r="A33" s="35" t="s">
        <v>169</v>
      </c>
      <c r="B33" s="66">
        <f>B8*C8+B9*C9</f>
        <v>0.94655667975021673</v>
      </c>
      <c r="C33" s="6"/>
    </row>
    <row r="34" spans="1:3" ht="18.75" x14ac:dyDescent="0.3">
      <c r="A34" s="35" t="s">
        <v>170</v>
      </c>
      <c r="B34" s="66">
        <f>(B19*C19+B20*C20+B21*C21+B22*C22+B23*C23+B24*C24)</f>
        <v>0.26123243080296532</v>
      </c>
      <c r="C34" s="6"/>
    </row>
    <row r="35" spans="1:3" ht="18.75" x14ac:dyDescent="0.3">
      <c r="A35" s="36" t="s">
        <v>4</v>
      </c>
      <c r="B35" s="68">
        <f>B26*C26+B27*C27+B28*C28</f>
        <v>0.38514685944583338</v>
      </c>
      <c r="C35" s="6"/>
    </row>
    <row r="36" spans="1:3" ht="18.75" x14ac:dyDescent="0.3">
      <c r="A36" s="75" t="s">
        <v>163</v>
      </c>
      <c r="B36" s="8">
        <f>AVERAGE(B32,SUM(B33:B34),B35)</f>
        <v>0.78839065052748347</v>
      </c>
    </row>
    <row r="37" spans="1:3" x14ac:dyDescent="0.25">
      <c r="B37" s="2"/>
    </row>
  </sheetData>
  <mergeCells count="6">
    <mergeCell ref="A2:E2"/>
    <mergeCell ref="A30:B30"/>
    <mergeCell ref="A3:C3"/>
    <mergeCell ref="A11:C11"/>
    <mergeCell ref="A5:B5"/>
    <mergeCell ref="B4:E4"/>
  </mergeCells>
  <pageMargins left="0.7" right="0.7" top="0.75" bottom="0.75" header="0.3" footer="0.3"/>
  <pageSetup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8AE9-62C3-42DD-9169-C932FBDA3B1C}">
  <dimension ref="A1:H36"/>
  <sheetViews>
    <sheetView workbookViewId="0">
      <selection activeCell="A35" sqref="A35:XFD35"/>
    </sheetView>
  </sheetViews>
  <sheetFormatPr defaultColWidth="8.7109375" defaultRowHeight="15" x14ac:dyDescent="0.25"/>
  <cols>
    <col min="1" max="1" width="29.140625" customWidth="1"/>
    <col min="2" max="2" width="26.42578125" customWidth="1"/>
    <col min="3" max="3" width="29.85546875" customWidth="1"/>
    <col min="4" max="4" width="17.28515625" customWidth="1"/>
    <col min="5" max="5" width="14.5703125" customWidth="1"/>
  </cols>
  <sheetData>
    <row r="1" spans="1:8" ht="27" customHeight="1" x14ac:dyDescent="0.4">
      <c r="A1" s="130" t="s">
        <v>100</v>
      </c>
      <c r="B1" s="130"/>
    </row>
    <row r="2" spans="1:8" ht="100.15" customHeight="1" x14ac:dyDescent="0.3">
      <c r="A2" s="264" t="s">
        <v>204</v>
      </c>
      <c r="B2" s="265"/>
      <c r="C2" s="265"/>
      <c r="D2" s="265"/>
      <c r="E2" s="265"/>
    </row>
    <row r="3" spans="1:8" ht="48.6" customHeight="1" x14ac:dyDescent="0.3">
      <c r="A3" s="43" t="s">
        <v>89</v>
      </c>
      <c r="B3" s="263" t="s">
        <v>205</v>
      </c>
      <c r="C3" s="263"/>
      <c r="D3" s="263"/>
      <c r="E3" s="263"/>
      <c r="H3" s="199"/>
    </row>
    <row r="4" spans="1:8" s="60" customFormat="1" ht="33.6" customHeight="1" x14ac:dyDescent="0.3">
      <c r="A4" s="255" t="s">
        <v>58</v>
      </c>
      <c r="B4" s="256"/>
      <c r="C4" s="259"/>
      <c r="D4"/>
      <c r="E4"/>
    </row>
    <row r="5" spans="1:8" ht="63" x14ac:dyDescent="0.25">
      <c r="A5" s="63"/>
      <c r="B5" s="42" t="s">
        <v>109</v>
      </c>
      <c r="C5" s="40" t="s">
        <v>107</v>
      </c>
      <c r="D5" s="40" t="s">
        <v>176</v>
      </c>
      <c r="E5" s="40" t="s">
        <v>177</v>
      </c>
    </row>
    <row r="6" spans="1:8" ht="18.75" x14ac:dyDescent="0.3">
      <c r="A6" s="35" t="s">
        <v>3</v>
      </c>
      <c r="B6" s="73"/>
      <c r="C6" s="50"/>
      <c r="D6" s="50"/>
      <c r="E6" s="50"/>
    </row>
    <row r="7" spans="1:8" ht="15.75" x14ac:dyDescent="0.25">
      <c r="A7" s="56" t="s">
        <v>18</v>
      </c>
      <c r="B7" s="66">
        <v>7.2645947900000003</v>
      </c>
      <c r="C7" s="66">
        <f>'1- Kelp Cover'!I13</f>
        <v>0.26710150246700914</v>
      </c>
      <c r="D7" s="104">
        <v>3.14</v>
      </c>
      <c r="E7" s="104">
        <v>11.27</v>
      </c>
    </row>
    <row r="8" spans="1:8" ht="15.75" x14ac:dyDescent="0.25">
      <c r="A8" s="56" t="s">
        <v>19</v>
      </c>
      <c r="B8" s="66">
        <v>6.3466496100000001</v>
      </c>
      <c r="C8" s="66">
        <f>'1- Kelp Cover'!I14</f>
        <v>0.5328984975329909</v>
      </c>
      <c r="D8" s="104">
        <v>-2.77</v>
      </c>
      <c r="E8" s="104">
        <v>13.81</v>
      </c>
    </row>
    <row r="9" spans="1:8" ht="18.75" x14ac:dyDescent="0.3">
      <c r="A9" s="75"/>
      <c r="B9" s="8"/>
      <c r="C9" s="5"/>
      <c r="E9" s="100"/>
    </row>
    <row r="10" spans="1:8" s="60" customFormat="1" ht="33.6" customHeight="1" x14ac:dyDescent="0.3">
      <c r="A10" s="255" t="s">
        <v>167</v>
      </c>
      <c r="B10" s="256"/>
      <c r="C10" s="101"/>
      <c r="D10"/>
      <c r="E10"/>
    </row>
    <row r="11" spans="1:8" ht="49.7" customHeight="1" x14ac:dyDescent="0.25">
      <c r="A11" s="63"/>
      <c r="B11" s="42" t="s">
        <v>109</v>
      </c>
      <c r="C11" s="40" t="s">
        <v>107</v>
      </c>
      <c r="D11" s="40" t="s">
        <v>176</v>
      </c>
      <c r="E11" s="40" t="s">
        <v>177</v>
      </c>
    </row>
    <row r="12" spans="1:8" ht="18.75" x14ac:dyDescent="0.3">
      <c r="A12" s="33" t="s">
        <v>0</v>
      </c>
      <c r="B12" s="71"/>
      <c r="C12" s="72"/>
      <c r="D12" s="50"/>
      <c r="E12" s="50"/>
    </row>
    <row r="13" spans="1:8" ht="15.75" x14ac:dyDescent="0.25">
      <c r="A13" s="65" t="s">
        <v>23</v>
      </c>
      <c r="B13" s="64">
        <v>1.10232416</v>
      </c>
      <c r="C13" s="64">
        <f>'1- Kelp Cover'!I5</f>
        <v>0.43264311814859935</v>
      </c>
      <c r="D13" s="105">
        <v>-2.61</v>
      </c>
      <c r="E13" s="105">
        <v>5.29</v>
      </c>
    </row>
    <row r="14" spans="1:8" ht="15.75" x14ac:dyDescent="0.25">
      <c r="A14" s="65" t="s">
        <v>22</v>
      </c>
      <c r="B14" s="64" t="s">
        <v>25</v>
      </c>
      <c r="C14" s="64">
        <f>'1- Kelp Cover'!I6</f>
        <v>3.3617539585870888E-2</v>
      </c>
      <c r="D14" s="64" t="s">
        <v>25</v>
      </c>
      <c r="E14" s="64" t="s">
        <v>25</v>
      </c>
    </row>
    <row r="15" spans="1:8" ht="15.75" x14ac:dyDescent="0.25">
      <c r="A15" s="65" t="s">
        <v>1</v>
      </c>
      <c r="B15" s="64">
        <v>7.9000290000000001E-2</v>
      </c>
      <c r="C15" s="64">
        <f>'1- Kelp Cover'!I7</f>
        <v>0.1220462850182704</v>
      </c>
      <c r="D15" s="105">
        <v>-0.02</v>
      </c>
      <c r="E15" s="105">
        <v>-0.2</v>
      </c>
    </row>
    <row r="16" spans="1:8" ht="15.75" x14ac:dyDescent="0.25">
      <c r="A16" s="65" t="s">
        <v>2</v>
      </c>
      <c r="B16" s="64">
        <v>1.82861692</v>
      </c>
      <c r="C16" s="64">
        <f>'1- Kelp Cover'!I8</f>
        <v>0.43264311814859935</v>
      </c>
      <c r="D16" s="105">
        <v>-2.0099999999999998</v>
      </c>
      <c r="E16" s="105">
        <v>6.08</v>
      </c>
    </row>
    <row r="17" spans="1:5" ht="18.75" x14ac:dyDescent="0.3">
      <c r="A17" s="35" t="s">
        <v>3</v>
      </c>
      <c r="B17" s="73"/>
      <c r="C17" s="50"/>
      <c r="D17" s="50"/>
      <c r="E17" s="50"/>
    </row>
    <row r="18" spans="1:5" ht="15.75" x14ac:dyDescent="0.25">
      <c r="A18" s="56" t="s">
        <v>23</v>
      </c>
      <c r="B18" s="66">
        <v>7.605104E-2</v>
      </c>
      <c r="C18" s="66">
        <f>'1- Kelp Cover'!I10</f>
        <v>7.748449598167223E-2</v>
      </c>
      <c r="D18" s="104">
        <v>-2.2799999999999998</v>
      </c>
      <c r="E18" s="104">
        <v>2.19</v>
      </c>
    </row>
    <row r="19" spans="1:5" ht="15.75" x14ac:dyDescent="0.25">
      <c r="A19" s="56" t="s">
        <v>24</v>
      </c>
      <c r="B19" s="66">
        <v>0.10290493000000001</v>
      </c>
      <c r="C19" s="66">
        <f>'1- Kelp Cover'!I11</f>
        <v>0.15720081316708712</v>
      </c>
      <c r="D19" s="104">
        <v>0.08</v>
      </c>
      <c r="E19" s="104">
        <v>0.13</v>
      </c>
    </row>
    <row r="20" spans="1:5" ht="15.75" x14ac:dyDescent="0.25">
      <c r="A20" s="56" t="s">
        <v>22</v>
      </c>
      <c r="B20" s="66">
        <v>3.1795814600000001</v>
      </c>
      <c r="C20" s="66">
        <f>'1- Kelp Cover'!I12</f>
        <v>0.16666666666666666</v>
      </c>
      <c r="D20" s="104">
        <v>-1.72</v>
      </c>
      <c r="E20" s="104">
        <v>7.2</v>
      </c>
    </row>
    <row r="21" spans="1:5" ht="15.75" x14ac:dyDescent="0.25">
      <c r="A21" s="56" t="s">
        <v>20</v>
      </c>
      <c r="B21" s="66">
        <v>1.5530640499999999</v>
      </c>
      <c r="C21" s="66">
        <f>'1- Kelp Cover'!I15</f>
        <v>3.4575153923831085E-2</v>
      </c>
      <c r="D21" s="104">
        <v>-1.3</v>
      </c>
      <c r="E21" s="104">
        <v>4.1900000000000004</v>
      </c>
    </row>
    <row r="22" spans="1:5" ht="15.75" x14ac:dyDescent="0.25">
      <c r="A22" s="67" t="s">
        <v>38</v>
      </c>
      <c r="B22" s="66">
        <v>1.58638163</v>
      </c>
      <c r="C22" s="66">
        <f>'1- Kelp Cover'!I16</f>
        <v>0.22647570525953531</v>
      </c>
      <c r="D22" s="104">
        <v>-11.23</v>
      </c>
      <c r="E22" s="104">
        <v>12.66</v>
      </c>
    </row>
    <row r="23" spans="1:5" ht="15.75" x14ac:dyDescent="0.25">
      <c r="A23" s="56" t="s">
        <v>2</v>
      </c>
      <c r="B23" s="66">
        <v>4.2182888099999998</v>
      </c>
      <c r="C23" s="66">
        <f>'1- Kelp Cover'!I17</f>
        <v>0.10541865743397456</v>
      </c>
      <c r="D23" s="104">
        <v>0.47</v>
      </c>
      <c r="E23" s="104">
        <v>9.2100000000000009</v>
      </c>
    </row>
    <row r="24" spans="1:5" s="215" customFormat="1" ht="18.75" x14ac:dyDescent="0.3">
      <c r="A24" s="36" t="s">
        <v>4</v>
      </c>
      <c r="B24" s="73"/>
      <c r="C24" s="74"/>
      <c r="D24" s="50"/>
      <c r="E24" s="50"/>
    </row>
    <row r="25" spans="1:5" ht="15.75" x14ac:dyDescent="0.25">
      <c r="A25" s="69" t="s">
        <v>23</v>
      </c>
      <c r="B25" s="68">
        <v>7.605104E-2</v>
      </c>
      <c r="C25" s="70">
        <f>'1- Kelp Cover'!I19</f>
        <v>2.9166666666666664E-2</v>
      </c>
      <c r="D25" s="106">
        <v>-4.7300000000000004</v>
      </c>
      <c r="E25" s="106">
        <v>3.97</v>
      </c>
    </row>
    <row r="26" spans="1:5" ht="15.75" x14ac:dyDescent="0.25">
      <c r="A26" s="69" t="s">
        <v>22</v>
      </c>
      <c r="B26" s="68">
        <v>3.1795814600000001</v>
      </c>
      <c r="C26" s="70">
        <f>'1- Kelp Cover'!I20</f>
        <v>0.68041666666666656</v>
      </c>
      <c r="D26" s="106">
        <v>-11.5</v>
      </c>
      <c r="E26" s="106">
        <v>16.399999999999999</v>
      </c>
    </row>
    <row r="27" spans="1:5" ht="15.75" x14ac:dyDescent="0.25">
      <c r="A27" s="69" t="s">
        <v>2</v>
      </c>
      <c r="B27" s="68">
        <v>2.41802085</v>
      </c>
      <c r="C27" s="70">
        <f>'1- Kelp Cover'!I21</f>
        <v>0.21541666666666667</v>
      </c>
      <c r="D27" s="106">
        <v>-8.89</v>
      </c>
      <c r="E27" s="106">
        <v>14.15</v>
      </c>
    </row>
    <row r="28" spans="1:5" ht="15.75" x14ac:dyDescent="0.25">
      <c r="A28" s="5"/>
      <c r="B28" s="5"/>
      <c r="C28" s="6"/>
    </row>
    <row r="29" spans="1:5" ht="15.75" x14ac:dyDescent="0.25">
      <c r="A29" s="262"/>
      <c r="B29" s="262"/>
      <c r="C29" s="6"/>
    </row>
    <row r="30" spans="1:5" ht="45" customHeight="1" x14ac:dyDescent="0.25">
      <c r="A30" s="34"/>
      <c r="B30" s="40" t="s">
        <v>108</v>
      </c>
      <c r="C30" s="14"/>
      <c r="D30" s="60"/>
      <c r="E30" s="60"/>
    </row>
    <row r="31" spans="1:5" ht="18.75" x14ac:dyDescent="0.3">
      <c r="A31" s="33" t="s">
        <v>0</v>
      </c>
      <c r="B31" s="64">
        <f>B13*C13+B15*C15+B16*C16</f>
        <v>1.2776931798708895</v>
      </c>
      <c r="C31" s="6"/>
    </row>
    <row r="32" spans="1:5" ht="18.75" x14ac:dyDescent="0.3">
      <c r="A32" s="35" t="s">
        <v>169</v>
      </c>
      <c r="B32" s="66">
        <f>B7*C7+B8*C8</f>
        <v>5.3225042247603493</v>
      </c>
      <c r="C32" s="6"/>
    </row>
    <row r="33" spans="1:3" ht="18.75" x14ac:dyDescent="0.3">
      <c r="A33" s="35" t="s">
        <v>170</v>
      </c>
      <c r="B33" s="66">
        <f>B18*C18+B19*C19+B20*C20+B21*C21+B22*C22+B23*C23</f>
        <v>1.4096604285778154</v>
      </c>
      <c r="C33" s="6"/>
    </row>
    <row r="34" spans="1:3" ht="18.75" x14ac:dyDescent="0.3">
      <c r="A34" s="36" t="s">
        <v>4</v>
      </c>
      <c r="B34" s="68">
        <f>B25*C25+B26*C26+B27*C27</f>
        <v>2.6865403651791668</v>
      </c>
      <c r="C34" s="6"/>
    </row>
    <row r="35" spans="1:3" ht="18.75" x14ac:dyDescent="0.3">
      <c r="A35" s="75" t="s">
        <v>163</v>
      </c>
      <c r="B35" s="8">
        <f>AVERAGE(B31,SUM(B32:B33),B34)</f>
        <v>3.5654660661294066</v>
      </c>
    </row>
    <row r="36" spans="1:3" x14ac:dyDescent="0.25">
      <c r="B36" s="2"/>
    </row>
  </sheetData>
  <mergeCells count="5">
    <mergeCell ref="A29:B29"/>
    <mergeCell ref="A4:C4"/>
    <mergeCell ref="A10:B10"/>
    <mergeCell ref="B3:E3"/>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AD57-2576-49F2-ACC4-B63D4FFDC287}">
  <dimension ref="A1:N77"/>
  <sheetViews>
    <sheetView workbookViewId="0">
      <selection activeCell="E40" sqref="E40"/>
    </sheetView>
  </sheetViews>
  <sheetFormatPr defaultRowHeight="15" x14ac:dyDescent="0.25"/>
  <cols>
    <col min="1" max="2" width="29.140625" customWidth="1"/>
    <col min="3" max="3" width="25.5703125" customWidth="1"/>
    <col min="4" max="4" width="29.140625" customWidth="1"/>
    <col min="5" max="6" width="30.5703125" customWidth="1"/>
    <col min="7" max="7" width="31.5703125" customWidth="1"/>
    <col min="8" max="10" width="29.5703125" customWidth="1"/>
    <col min="11" max="11" width="24.5703125" customWidth="1"/>
    <col min="12" max="12" width="8.85546875" customWidth="1"/>
  </cols>
  <sheetData>
    <row r="1" spans="1:10" ht="27" customHeight="1" x14ac:dyDescent="0.55000000000000004">
      <c r="A1" s="107" t="s">
        <v>111</v>
      </c>
      <c r="B1" s="107"/>
      <c r="C1" s="107"/>
      <c r="D1" s="108"/>
      <c r="E1" s="108"/>
      <c r="F1" s="108"/>
      <c r="G1" s="108"/>
      <c r="H1" s="108"/>
      <c r="I1" s="108"/>
      <c r="J1" s="108"/>
    </row>
    <row r="2" spans="1:10" ht="41.25" customHeight="1" x14ac:dyDescent="0.3">
      <c r="A2" s="227" t="s">
        <v>194</v>
      </c>
      <c r="B2" s="227"/>
      <c r="C2" s="227"/>
      <c r="D2" s="227"/>
      <c r="E2" s="227"/>
      <c r="F2" s="227"/>
      <c r="G2" s="227"/>
      <c r="H2" s="227"/>
      <c r="I2" s="227"/>
      <c r="J2" s="227"/>
    </row>
    <row r="3" spans="1:10" ht="36.75" customHeight="1" x14ac:dyDescent="0.4">
      <c r="A3" s="268" t="s">
        <v>89</v>
      </c>
      <c r="B3" s="268"/>
      <c r="C3" s="268"/>
      <c r="D3" s="268"/>
      <c r="E3" s="269" t="s">
        <v>180</v>
      </c>
      <c r="F3" s="269"/>
      <c r="G3" s="269"/>
      <c r="H3" s="269"/>
      <c r="I3" s="266" t="s">
        <v>95</v>
      </c>
      <c r="J3" s="267"/>
    </row>
    <row r="4" spans="1:10" ht="129" customHeight="1" x14ac:dyDescent="0.35">
      <c r="A4" s="118" t="s">
        <v>79</v>
      </c>
      <c r="B4" s="118" t="s">
        <v>56</v>
      </c>
      <c r="C4" s="118" t="s">
        <v>59</v>
      </c>
      <c r="D4" s="118" t="s">
        <v>81</v>
      </c>
      <c r="E4" s="115" t="s">
        <v>181</v>
      </c>
      <c r="F4" s="115" t="s">
        <v>182</v>
      </c>
      <c r="G4" s="115" t="s">
        <v>183</v>
      </c>
      <c r="H4" s="115" t="s">
        <v>184</v>
      </c>
      <c r="I4" s="126" t="s">
        <v>185</v>
      </c>
      <c r="J4" s="126" t="s">
        <v>186</v>
      </c>
    </row>
    <row r="5" spans="1:10" ht="28.7" customHeight="1" x14ac:dyDescent="0.35">
      <c r="A5" s="121" t="s">
        <v>11</v>
      </c>
      <c r="B5" s="122" t="s">
        <v>13</v>
      </c>
      <c r="C5" s="116" t="s">
        <v>45</v>
      </c>
      <c r="D5" s="122">
        <v>7</v>
      </c>
      <c r="E5" s="123">
        <v>13.070297826569499</v>
      </c>
      <c r="F5" s="123">
        <v>15.907765066490301</v>
      </c>
      <c r="G5" s="123">
        <f>E5/100</f>
        <v>0.13070297826569499</v>
      </c>
      <c r="H5" s="123">
        <f t="shared" ref="G5:H9" si="0">F5/100</f>
        <v>0.15907765066490301</v>
      </c>
      <c r="I5" s="123">
        <f>G5*$C$25</f>
        <v>0.16699830391889159</v>
      </c>
      <c r="J5" s="123">
        <f>H5*$C$25</f>
        <v>0.20325242932443044</v>
      </c>
    </row>
    <row r="6" spans="1:10" ht="54" x14ac:dyDescent="0.35">
      <c r="A6" s="121" t="s">
        <v>11</v>
      </c>
      <c r="B6" s="122" t="s">
        <v>12</v>
      </c>
      <c r="C6" s="116" t="s">
        <v>48</v>
      </c>
      <c r="D6" s="122">
        <v>11</v>
      </c>
      <c r="E6" s="123">
        <v>5.6351824778493498</v>
      </c>
      <c r="F6" s="123">
        <v>11.924691078295499</v>
      </c>
      <c r="G6" s="123">
        <f t="shared" si="0"/>
        <v>5.6351824778493501E-2</v>
      </c>
      <c r="H6" s="123">
        <f t="shared" si="0"/>
        <v>0.11924691078295499</v>
      </c>
      <c r="I6" s="123">
        <f t="shared" ref="I6:J9" si="1">G6*$C$25</f>
        <v>7.2000342192760539E-2</v>
      </c>
      <c r="J6" s="123">
        <f t="shared" si="1"/>
        <v>0.15236096462805401</v>
      </c>
    </row>
    <row r="7" spans="1:10" ht="18" x14ac:dyDescent="0.35">
      <c r="A7" s="121" t="s">
        <v>11</v>
      </c>
      <c r="B7" s="122" t="s">
        <v>14</v>
      </c>
      <c r="C7" s="116" t="s">
        <v>46</v>
      </c>
      <c r="D7" s="122">
        <v>8</v>
      </c>
      <c r="E7" s="123">
        <v>0.90427366070052095</v>
      </c>
      <c r="F7" s="123">
        <v>1.8276155164102099</v>
      </c>
      <c r="G7" s="123">
        <f t="shared" si="0"/>
        <v>9.0427366070052091E-3</v>
      </c>
      <c r="H7" s="123">
        <f t="shared" si="0"/>
        <v>1.8276155164102099E-2</v>
      </c>
      <c r="I7" s="123">
        <f t="shared" si="1"/>
        <v>1.1553842890139384E-2</v>
      </c>
      <c r="J7" s="123">
        <f t="shared" si="1"/>
        <v>2.3351318807435389E-2</v>
      </c>
    </row>
    <row r="8" spans="1:10" ht="27" customHeight="1" x14ac:dyDescent="0.35">
      <c r="A8" s="121" t="s">
        <v>11</v>
      </c>
      <c r="B8" s="122" t="s">
        <v>13</v>
      </c>
      <c r="C8" s="116" t="s">
        <v>47</v>
      </c>
      <c r="D8" s="122">
        <v>9</v>
      </c>
      <c r="E8" s="123">
        <v>7.9115299746320904</v>
      </c>
      <c r="F8" s="123">
        <v>15.026520105848</v>
      </c>
      <c r="G8" s="123">
        <f t="shared" si="0"/>
        <v>7.9115299746320908E-2</v>
      </c>
      <c r="H8" s="123">
        <f t="shared" si="0"/>
        <v>0.15026520105848001</v>
      </c>
      <c r="I8" s="123">
        <f t="shared" si="1"/>
        <v>0.10108507890931534</v>
      </c>
      <c r="J8" s="123">
        <f t="shared" si="1"/>
        <v>0.19199282256434788</v>
      </c>
    </row>
    <row r="9" spans="1:10" ht="18" x14ac:dyDescent="0.35">
      <c r="A9" s="121" t="s">
        <v>11</v>
      </c>
      <c r="B9" s="122" t="s">
        <v>13</v>
      </c>
      <c r="C9" s="116" t="s">
        <v>44</v>
      </c>
      <c r="D9" s="122">
        <v>6</v>
      </c>
      <c r="E9" s="123">
        <v>16.409498371483199</v>
      </c>
      <c r="F9" s="123">
        <v>17.954604586474002</v>
      </c>
      <c r="G9" s="123">
        <f t="shared" si="0"/>
        <v>0.164094983714832</v>
      </c>
      <c r="H9" s="123">
        <f t="shared" si="0"/>
        <v>0.17954604586474002</v>
      </c>
      <c r="I9" s="123">
        <f t="shared" si="1"/>
        <v>0.20966304154346552</v>
      </c>
      <c r="J9" s="123">
        <f t="shared" si="1"/>
        <v>0.22940475827416423</v>
      </c>
    </row>
    <row r="10" spans="1:10" ht="36" x14ac:dyDescent="0.35">
      <c r="A10" s="127" t="s">
        <v>171</v>
      </c>
      <c r="B10" s="119" t="s">
        <v>7</v>
      </c>
      <c r="C10" s="128" t="s">
        <v>82</v>
      </c>
      <c r="D10" s="119">
        <v>55</v>
      </c>
      <c r="E10" s="120">
        <v>22.287674388403101</v>
      </c>
      <c r="F10" s="120">
        <v>13.9050641138155</v>
      </c>
      <c r="G10" s="120">
        <f t="shared" ref="G10:H12" si="2">E10/100</f>
        <v>0.222876743884031</v>
      </c>
      <c r="H10" s="120">
        <f t="shared" si="2"/>
        <v>0.13905064113815502</v>
      </c>
      <c r="I10" s="120">
        <f>G10*$C$26</f>
        <v>1.1862624109235853</v>
      </c>
      <c r="J10" s="120">
        <f t="shared" ref="J10:J12" si="3">H10*$C$26</f>
        <v>0.74009762491346531</v>
      </c>
    </row>
    <row r="11" spans="1:10" ht="36" x14ac:dyDescent="0.35">
      <c r="A11" s="127" t="s">
        <v>171</v>
      </c>
      <c r="B11" s="119" t="s">
        <v>115</v>
      </c>
      <c r="C11" s="128" t="s">
        <v>83</v>
      </c>
      <c r="D11" s="119">
        <v>56</v>
      </c>
      <c r="E11" s="120">
        <v>10.044534755558001</v>
      </c>
      <c r="F11" s="120">
        <v>6.4060319177722898</v>
      </c>
      <c r="G11" s="120">
        <f t="shared" si="2"/>
        <v>0.10044534755558</v>
      </c>
      <c r="H11" s="120">
        <f t="shared" si="2"/>
        <v>6.4060319177722896E-2</v>
      </c>
      <c r="I11" s="120">
        <f>G11*$C$26</f>
        <v>0.53462078672209623</v>
      </c>
      <c r="J11" s="120">
        <f t="shared" si="3"/>
        <v>0.34096131946292657</v>
      </c>
    </row>
    <row r="12" spans="1:10" ht="54" x14ac:dyDescent="0.35">
      <c r="A12" s="127" t="s">
        <v>171</v>
      </c>
      <c r="B12" s="119" t="s">
        <v>9</v>
      </c>
      <c r="C12" s="128" t="s">
        <v>52</v>
      </c>
      <c r="D12" s="119">
        <v>57</v>
      </c>
      <c r="E12" s="120">
        <v>33.6154061853386</v>
      </c>
      <c r="F12" s="120">
        <v>15.7305413012943</v>
      </c>
      <c r="G12" s="120">
        <f t="shared" si="2"/>
        <v>0.33615406185338598</v>
      </c>
      <c r="H12" s="120">
        <f t="shared" si="2"/>
        <v>0.15730541301294301</v>
      </c>
      <c r="I12" s="120">
        <f>G12*$C$26</f>
        <v>1.7891814143849987</v>
      </c>
      <c r="J12" s="120">
        <f t="shared" si="3"/>
        <v>0.83725872533906087</v>
      </c>
    </row>
    <row r="13" spans="1:10" ht="36" x14ac:dyDescent="0.35">
      <c r="A13" s="127" t="s">
        <v>168</v>
      </c>
      <c r="B13" s="119" t="s">
        <v>7</v>
      </c>
      <c r="C13" s="128" t="s">
        <v>82</v>
      </c>
      <c r="D13" s="119">
        <v>55</v>
      </c>
      <c r="E13" s="120">
        <v>22.287674388403101</v>
      </c>
      <c r="F13" s="120">
        <v>13.9050641138155</v>
      </c>
      <c r="G13" s="120">
        <f t="shared" ref="G13:G15" si="4">E13/100</f>
        <v>0.222876743884031</v>
      </c>
      <c r="H13" s="120">
        <f t="shared" ref="H13:H15" si="5">F13/100</f>
        <v>0.13905064113815502</v>
      </c>
      <c r="I13" s="120">
        <f>G13*$C$27</f>
        <v>0.31418052630359111</v>
      </c>
      <c r="J13" s="120">
        <f>H13*$C$27</f>
        <v>0.1960141863808316</v>
      </c>
    </row>
    <row r="14" spans="1:10" ht="36" x14ac:dyDescent="0.35">
      <c r="A14" s="127" t="s">
        <v>168</v>
      </c>
      <c r="B14" s="119" t="s">
        <v>115</v>
      </c>
      <c r="C14" s="128" t="s">
        <v>83</v>
      </c>
      <c r="D14" s="119">
        <v>56</v>
      </c>
      <c r="E14" s="120">
        <v>10.044534755558001</v>
      </c>
      <c r="F14" s="120">
        <v>6.4060319177722898</v>
      </c>
      <c r="G14" s="120">
        <f t="shared" si="4"/>
        <v>0.10044534755558</v>
      </c>
      <c r="H14" s="120">
        <f t="shared" si="5"/>
        <v>6.4060319177722896E-2</v>
      </c>
      <c r="I14" s="120">
        <f>G14*$C$27</f>
        <v>0.14159383168384654</v>
      </c>
      <c r="J14" s="120">
        <f t="shared" ref="J14:J15" si="6">H14*$C$27</f>
        <v>9.0303296986900497E-2</v>
      </c>
    </row>
    <row r="15" spans="1:10" ht="54" x14ac:dyDescent="0.35">
      <c r="A15" s="127" t="s">
        <v>168</v>
      </c>
      <c r="B15" s="119" t="s">
        <v>9</v>
      </c>
      <c r="C15" s="128" t="s">
        <v>52</v>
      </c>
      <c r="D15" s="119">
        <v>57</v>
      </c>
      <c r="E15" s="120">
        <v>33.6154061853386</v>
      </c>
      <c r="F15" s="120">
        <v>15.7305413012943</v>
      </c>
      <c r="G15" s="120">
        <f t="shared" si="4"/>
        <v>0.33615406185338598</v>
      </c>
      <c r="H15" s="120">
        <f t="shared" si="5"/>
        <v>0.15730541301294301</v>
      </c>
      <c r="I15" s="120">
        <f>G15*$C$27</f>
        <v>0.47386307890041751</v>
      </c>
      <c r="J15" s="120">
        <f t="shared" si="6"/>
        <v>0.2217472159254355</v>
      </c>
    </row>
    <row r="16" spans="1:10" ht="36" x14ac:dyDescent="0.35">
      <c r="A16" s="129" t="s">
        <v>4</v>
      </c>
      <c r="B16" s="124" t="s">
        <v>17</v>
      </c>
      <c r="C16" s="117" t="s">
        <v>51</v>
      </c>
      <c r="D16" s="124">
        <v>40</v>
      </c>
      <c r="E16" s="125">
        <v>8.0022093690951408</v>
      </c>
      <c r="F16" s="125">
        <v>3.1096805148624398</v>
      </c>
      <c r="G16" s="125">
        <f>E16/100</f>
        <v>8.002209369095141E-2</v>
      </c>
      <c r="H16" s="125">
        <f>F16/100</f>
        <v>3.1096805148624399E-2</v>
      </c>
      <c r="I16" s="125">
        <f>G16*$C$28</f>
        <v>0.21498258480689011</v>
      </c>
      <c r="J16" s="125">
        <f t="shared" ref="I16:J21" si="7">H16*$C$28</f>
        <v>8.3542822259890792E-2</v>
      </c>
    </row>
    <row r="17" spans="1:14" ht="36" x14ac:dyDescent="0.35">
      <c r="A17" s="129" t="s">
        <v>4</v>
      </c>
      <c r="B17" s="124" t="s">
        <v>116</v>
      </c>
      <c r="C17" s="117" t="s">
        <v>49</v>
      </c>
      <c r="D17" s="124">
        <v>37</v>
      </c>
      <c r="E17" s="125">
        <v>8.1748623978346693</v>
      </c>
      <c r="F17" s="125">
        <v>5.4149145090709103</v>
      </c>
      <c r="G17" s="125">
        <f t="shared" ref="G17:G20" si="8">E17/100</f>
        <v>8.1748623978346688E-2</v>
      </c>
      <c r="H17" s="125">
        <f t="shared" ref="H17:H20" si="9">F17/100</f>
        <v>5.4149145090709103E-2</v>
      </c>
      <c r="I17" s="125">
        <f>G17*$C$28</f>
        <v>0.2196209781156819</v>
      </c>
      <c r="J17" s="125">
        <f t="shared" si="7"/>
        <v>0.14547386402613333</v>
      </c>
    </row>
    <row r="18" spans="1:14" ht="18" x14ac:dyDescent="0.35">
      <c r="A18" s="129" t="s">
        <v>4</v>
      </c>
      <c r="B18" s="124" t="s">
        <v>117</v>
      </c>
      <c r="C18" s="117" t="s">
        <v>44</v>
      </c>
      <c r="D18" s="124">
        <v>6</v>
      </c>
      <c r="E18" s="125">
        <v>16.409498371483199</v>
      </c>
      <c r="F18" s="125">
        <v>17.954604586474002</v>
      </c>
      <c r="G18" s="125">
        <f>E18/100</f>
        <v>0.164094983714832</v>
      </c>
      <c r="H18" s="125">
        <f>F18/100</f>
        <v>0.17954604586474002</v>
      </c>
      <c r="I18" s="125">
        <f t="shared" si="7"/>
        <v>0.44084779747331421</v>
      </c>
      <c r="J18" s="125">
        <f t="shared" si="7"/>
        <v>0.4823576996239341</v>
      </c>
    </row>
    <row r="19" spans="1:14" ht="54" x14ac:dyDescent="0.35">
      <c r="A19" s="129" t="s">
        <v>4</v>
      </c>
      <c r="B19" s="124" t="s">
        <v>117</v>
      </c>
      <c r="C19" s="117" t="s">
        <v>43</v>
      </c>
      <c r="D19" s="124">
        <v>5</v>
      </c>
      <c r="E19" s="125">
        <v>8.4306727902799601</v>
      </c>
      <c r="F19" s="125">
        <v>2.8102130180266198</v>
      </c>
      <c r="G19" s="125">
        <f>E19/100</f>
        <v>8.4306727902799597E-2</v>
      </c>
      <c r="H19" s="125">
        <f>F19/100</f>
        <v>2.8102130180266197E-2</v>
      </c>
      <c r="I19" s="125">
        <f t="shared" si="7"/>
        <v>0.22649342756704788</v>
      </c>
      <c r="J19" s="125">
        <f t="shared" si="7"/>
        <v>7.5497507076804832E-2</v>
      </c>
    </row>
    <row r="20" spans="1:14" ht="18" x14ac:dyDescent="0.35">
      <c r="A20" s="129" t="s">
        <v>4</v>
      </c>
      <c r="B20" s="124" t="s">
        <v>17</v>
      </c>
      <c r="C20" s="117" t="s">
        <v>17</v>
      </c>
      <c r="D20" s="124">
        <v>39</v>
      </c>
      <c r="E20" s="125">
        <v>9.0446886174287506</v>
      </c>
      <c r="F20" s="125">
        <v>3.3963332255741898</v>
      </c>
      <c r="G20" s="125">
        <f t="shared" si="8"/>
        <v>9.0446886174287505E-2</v>
      </c>
      <c r="H20" s="125">
        <f t="shared" si="9"/>
        <v>3.3963332255741899E-2</v>
      </c>
      <c r="I20" s="125">
        <f t="shared" si="7"/>
        <v>0.24298921061198889</v>
      </c>
      <c r="J20" s="125">
        <f t="shared" si="7"/>
        <v>9.124386304104222E-2</v>
      </c>
    </row>
    <row r="21" spans="1:14" ht="54" x14ac:dyDescent="0.35">
      <c r="A21" s="129" t="s">
        <v>4</v>
      </c>
      <c r="B21" s="124"/>
      <c r="C21" s="117" t="s">
        <v>50</v>
      </c>
      <c r="D21" s="124">
        <v>38</v>
      </c>
      <c r="E21" s="125">
        <v>14.790489364939599</v>
      </c>
      <c r="F21" s="125">
        <v>7.8075140711103304</v>
      </c>
      <c r="G21" s="125">
        <f>E21/100</f>
        <v>0.14790489364939599</v>
      </c>
      <c r="H21" s="125">
        <f>F21/100</f>
        <v>7.8075140711103302E-2</v>
      </c>
      <c r="I21" s="125">
        <f t="shared" si="7"/>
        <v>0.39735246699663412</v>
      </c>
      <c r="J21" s="125">
        <f t="shared" si="7"/>
        <v>0.2097520170374223</v>
      </c>
    </row>
    <row r="23" spans="1:14" ht="52.5" customHeight="1" x14ac:dyDescent="0.3">
      <c r="A23" s="43" t="s">
        <v>89</v>
      </c>
      <c r="B23" s="80" t="s">
        <v>123</v>
      </c>
      <c r="C23" s="80" t="s">
        <v>101</v>
      </c>
      <c r="D23" s="102"/>
      <c r="E23" s="103"/>
      <c r="G23" s="87"/>
      <c r="H23" s="78" t="s">
        <v>161</v>
      </c>
      <c r="I23" s="92">
        <f>AVERAGE(I5:I21)</f>
        <v>0.39666406611439203</v>
      </c>
    </row>
    <row r="24" spans="1:14" ht="71.099999999999994" customHeight="1" x14ac:dyDescent="0.3">
      <c r="A24" s="38"/>
      <c r="B24" s="40" t="s">
        <v>122</v>
      </c>
      <c r="C24" s="42" t="s">
        <v>108</v>
      </c>
      <c r="D24" s="22"/>
      <c r="E24" s="22"/>
      <c r="H24" s="91" t="s">
        <v>162</v>
      </c>
      <c r="I24" s="92">
        <f>MIN(I5:I21)</f>
        <v>1.1553842890139384E-2</v>
      </c>
    </row>
    <row r="25" spans="1:14" ht="19.5" x14ac:dyDescent="0.3">
      <c r="A25" s="33" t="s">
        <v>0</v>
      </c>
      <c r="B25" s="64">
        <f>'5 - Standing Stocks (Per Area)'!B32</f>
        <v>0.77223598158343498</v>
      </c>
      <c r="C25" s="81">
        <f>'6 - Carbon Prod (Per Area)'!B31</f>
        <v>1.2776931798708895</v>
      </c>
      <c r="D25" s="6"/>
      <c r="E25" s="6"/>
      <c r="H25" s="91" t="s">
        <v>37</v>
      </c>
      <c r="I25" s="31">
        <f>MAX(I5:I21)</f>
        <v>1.7891814143849987</v>
      </c>
      <c r="N25" s="5"/>
    </row>
    <row r="26" spans="1:14" ht="19.5" customHeight="1" x14ac:dyDescent="0.3">
      <c r="A26" s="35" t="s">
        <v>169</v>
      </c>
      <c r="B26" s="66">
        <f>'5 - Standing Stocks (Per Area)'!B33</f>
        <v>0.94655667975021673</v>
      </c>
      <c r="C26" s="83">
        <f>'6 - Carbon Prod (Per Area)'!B32</f>
        <v>5.3225042247603493</v>
      </c>
      <c r="D26" s="6"/>
      <c r="E26" s="6"/>
      <c r="H26" s="90"/>
      <c r="I26" s="86"/>
      <c r="N26" s="5"/>
    </row>
    <row r="27" spans="1:14" ht="19.5" customHeight="1" x14ac:dyDescent="0.3">
      <c r="A27" s="35" t="s">
        <v>170</v>
      </c>
      <c r="B27" s="66">
        <f>'5 - Standing Stocks (Per Area)'!B34</f>
        <v>0.26123243080296532</v>
      </c>
      <c r="C27" s="83">
        <f>'6 - Carbon Prod (Per Area)'!B33</f>
        <v>1.4096604285778154</v>
      </c>
      <c r="D27" s="6"/>
      <c r="E27" s="6"/>
      <c r="H27" s="90"/>
      <c r="I27" s="86"/>
      <c r="N27" s="5"/>
    </row>
    <row r="28" spans="1:14" ht="18.75" x14ac:dyDescent="0.3">
      <c r="A28" s="36" t="s">
        <v>4</v>
      </c>
      <c r="B28" s="68">
        <f>'5 - Standing Stocks (Per Area)'!B35</f>
        <v>0.38514685944583338</v>
      </c>
      <c r="C28" s="70">
        <f>'6 - Carbon Prod (Per Area)'!B34</f>
        <v>2.6865403651791668</v>
      </c>
      <c r="D28" s="6"/>
      <c r="E28" s="6"/>
      <c r="I28" s="86"/>
      <c r="N28" s="5"/>
    </row>
    <row r="29" spans="1:14" ht="18.75" x14ac:dyDescent="0.3">
      <c r="A29" s="75" t="s">
        <v>21</v>
      </c>
      <c r="B29" s="8">
        <f>'5 - Standing Stocks (Per Area)'!B36</f>
        <v>0.78839065052748347</v>
      </c>
      <c r="C29" s="11">
        <f>'6 - Carbon Prod (Per Area)'!B35</f>
        <v>3.5654660661294066</v>
      </c>
      <c r="D29" s="6"/>
      <c r="E29" s="6"/>
      <c r="I29" s="86"/>
      <c r="N29" s="5"/>
    </row>
    <row r="32" spans="1:14" ht="18.75" x14ac:dyDescent="0.3">
      <c r="B32" s="270" t="s">
        <v>103</v>
      </c>
      <c r="C32" s="271"/>
      <c r="D32" s="271"/>
      <c r="E32" s="271"/>
      <c r="F32" s="271"/>
      <c r="G32" s="271"/>
    </row>
    <row r="33" spans="1:7" ht="95.25" x14ac:dyDescent="0.3">
      <c r="A33" s="43" t="s">
        <v>89</v>
      </c>
      <c r="B33" s="88" t="s">
        <v>119</v>
      </c>
      <c r="C33" s="88" t="s">
        <v>118</v>
      </c>
      <c r="D33" s="79" t="s">
        <v>120</v>
      </c>
      <c r="E33" s="79" t="s">
        <v>121</v>
      </c>
      <c r="F33" s="79" t="s">
        <v>164</v>
      </c>
      <c r="G33" s="79" t="s">
        <v>165</v>
      </c>
    </row>
    <row r="34" spans="1:7" ht="18.75" x14ac:dyDescent="0.3">
      <c r="A34" s="33" t="s">
        <v>0</v>
      </c>
      <c r="B34" s="93">
        <f>AVERAGE(E5:E9)/100</f>
        <v>8.7861564622469329E-2</v>
      </c>
      <c r="C34" s="93">
        <f>AVERAGE(F19:F19)/100</f>
        <v>2.8102130180266197E-2</v>
      </c>
      <c r="D34" s="82">
        <f>AVERAGE(I5:I9)</f>
        <v>0.11226012189091447</v>
      </c>
      <c r="E34" s="82">
        <f>AVERAGE(J5:J9)</f>
        <v>0.16007245871968639</v>
      </c>
      <c r="F34" s="82">
        <f>MIN(I5:I9)</f>
        <v>1.1553842890139384E-2</v>
      </c>
      <c r="G34" s="82">
        <f>MAX(I5:I9)</f>
        <v>0.20966304154346552</v>
      </c>
    </row>
    <row r="35" spans="1:7" ht="18.75" x14ac:dyDescent="0.3">
      <c r="A35" s="35" t="s">
        <v>169</v>
      </c>
      <c r="B35" s="94">
        <f>AVERAGE(E10:E12)/100</f>
        <v>0.21982538443099903</v>
      </c>
      <c r="C35" s="94">
        <f>AVERAGE(F10:F12)/100</f>
        <v>0.12013879110960696</v>
      </c>
      <c r="D35" s="84">
        <f>AVERAGE(I10:I12)</f>
        <v>1.1700215373435601</v>
      </c>
      <c r="E35" s="84">
        <f>AVERAGE(J10:J12)</f>
        <v>0.63943922323848423</v>
      </c>
      <c r="F35" s="84">
        <f>MIN(I10:I12)</f>
        <v>0.53462078672209623</v>
      </c>
      <c r="G35" s="84">
        <f>MAX(I10:I12)</f>
        <v>1.7891814143849987</v>
      </c>
    </row>
    <row r="36" spans="1:7" ht="18.75" x14ac:dyDescent="0.3">
      <c r="A36" s="35" t="s">
        <v>170</v>
      </c>
      <c r="B36" s="94">
        <f>AVERAGE(E11:E13)/100</f>
        <v>0.21982538443099903</v>
      </c>
      <c r="C36" s="94">
        <f>AVERAGE(F11:F13)/100</f>
        <v>0.12013879110960696</v>
      </c>
      <c r="D36" s="84">
        <f>AVERAGE(I13:I15)</f>
        <v>0.30987914562928504</v>
      </c>
      <c r="E36" s="84">
        <f t="shared" ref="E36" si="10">AVERAGE(J13:J15)</f>
        <v>0.16935489976438922</v>
      </c>
      <c r="F36" s="84">
        <f>MIN(I13:I15)</f>
        <v>0.14159383168384654</v>
      </c>
      <c r="G36" s="84">
        <f>MAX(I13:I15)</f>
        <v>0.47386307890041751</v>
      </c>
    </row>
    <row r="37" spans="1:7" ht="18.75" x14ac:dyDescent="0.3">
      <c r="A37" s="36" t="s">
        <v>4</v>
      </c>
      <c r="B37" s="95">
        <f>AVERAGE(E16:E21)/100</f>
        <v>0.10808736818510219</v>
      </c>
      <c r="C37" s="95">
        <f>AVERAGE(F16:F21)/100</f>
        <v>6.7488766541864156E-2</v>
      </c>
      <c r="D37" s="85">
        <f>AVERAGE(I17:I20)</f>
        <v>0.28248785344200822</v>
      </c>
      <c r="E37" s="85">
        <f>AVERAGE(J17:J20)</f>
        <v>0.19864323344197862</v>
      </c>
      <c r="F37" s="85">
        <f>MIN(I17:I20)</f>
        <v>0.2196209781156819</v>
      </c>
      <c r="G37" s="85">
        <f>MAX(I17:I20)</f>
        <v>0.44084779747331421</v>
      </c>
    </row>
    <row r="38" spans="1:7" ht="18.75" x14ac:dyDescent="0.3">
      <c r="A38" s="75" t="s">
        <v>163</v>
      </c>
      <c r="B38" s="96">
        <f>AVERAGE(B34,B35,B37)</f>
        <v>0.13859143907952351</v>
      </c>
      <c r="C38" s="96">
        <f>AVERAGE(C34,C35,C37)</f>
        <v>7.1909895943912436E-2</v>
      </c>
      <c r="D38" s="13">
        <f>AVERAGE(D35,SUM(D34,D36),D37)</f>
        <v>0.62488288610192255</v>
      </c>
      <c r="E38" s="13">
        <f>AVERAGE(E35,SUM(E34,E36),E37)</f>
        <v>0.38916993838817948</v>
      </c>
      <c r="F38" s="13">
        <f t="shared" ref="F38:G38" si="11">AVERAGE(F35,SUM(F34,F36),F37)</f>
        <v>0.30246314647058803</v>
      </c>
      <c r="G38" s="13">
        <f t="shared" si="11"/>
        <v>0.97118511076739866</v>
      </c>
    </row>
    <row r="42" spans="1:7" ht="19.5" customHeight="1" x14ac:dyDescent="0.3">
      <c r="A42" s="43" t="s">
        <v>89</v>
      </c>
      <c r="B42" s="273" t="s">
        <v>101</v>
      </c>
      <c r="C42" s="273"/>
      <c r="D42" s="273"/>
    </row>
    <row r="43" spans="1:7" s="60" customFormat="1" ht="33.6" customHeight="1" x14ac:dyDescent="0.3">
      <c r="A43" s="272" t="s">
        <v>58</v>
      </c>
      <c r="B43" s="260"/>
      <c r="C43" s="260"/>
      <c r="D43" s="260"/>
    </row>
    <row r="44" spans="1:7" ht="63" x14ac:dyDescent="0.25">
      <c r="A44" s="63"/>
      <c r="B44" s="42" t="s">
        <v>109</v>
      </c>
      <c r="C44" s="40" t="s">
        <v>107</v>
      </c>
      <c r="D44" s="42" t="s">
        <v>151</v>
      </c>
    </row>
    <row r="45" spans="1:7" ht="18.75" x14ac:dyDescent="0.3">
      <c r="A45" s="35" t="s">
        <v>3</v>
      </c>
      <c r="B45" s="73"/>
      <c r="C45" s="50"/>
      <c r="D45" s="72"/>
    </row>
    <row r="46" spans="1:7" ht="15.75" x14ac:dyDescent="0.25">
      <c r="A46" s="56" t="s">
        <v>18</v>
      </c>
      <c r="B46" s="66">
        <f>'6 - Carbon Prod (Per Area)'!B7</f>
        <v>7.2645947900000003</v>
      </c>
      <c r="C46" s="66">
        <f>'6 - Carbon Prod (Per Area)'!C7</f>
        <v>0.26710150246700914</v>
      </c>
      <c r="D46" s="66">
        <f>$B$35*B46</f>
        <v>1.5969423424471827</v>
      </c>
    </row>
    <row r="47" spans="1:7" ht="15.75" x14ac:dyDescent="0.25">
      <c r="A47" s="56" t="s">
        <v>19</v>
      </c>
      <c r="B47" s="66">
        <f>'6 - Carbon Prod (Per Area)'!B8</f>
        <v>6.3466496100000001</v>
      </c>
      <c r="C47" s="66">
        <f>'6 - Carbon Prod (Per Area)'!C8</f>
        <v>0.5328984975329909</v>
      </c>
      <c r="D47" s="66">
        <f>$B$35*B47</f>
        <v>1.3951546903671002</v>
      </c>
    </row>
    <row r="48" spans="1:7" s="60" customFormat="1" ht="33.6" customHeight="1" x14ac:dyDescent="0.3">
      <c r="A48" s="272" t="s">
        <v>167</v>
      </c>
      <c r="B48" s="260"/>
      <c r="C48" s="260"/>
      <c r="D48" s="260"/>
    </row>
    <row r="49" spans="1:4" ht="63" x14ac:dyDescent="0.25">
      <c r="A49" s="63"/>
      <c r="B49" s="42" t="s">
        <v>109</v>
      </c>
      <c r="C49" s="40" t="s">
        <v>107</v>
      </c>
      <c r="D49" s="42" t="s">
        <v>151</v>
      </c>
    </row>
    <row r="50" spans="1:4" ht="18.75" x14ac:dyDescent="0.3">
      <c r="A50" s="33" t="s">
        <v>0</v>
      </c>
      <c r="B50" s="71"/>
      <c r="C50" s="72"/>
      <c r="D50" s="72"/>
    </row>
    <row r="51" spans="1:4" ht="15.75" x14ac:dyDescent="0.25">
      <c r="A51" s="65" t="s">
        <v>23</v>
      </c>
      <c r="B51" s="64">
        <f>'6 - Carbon Prod (Per Area)'!B13</f>
        <v>1.10232416</v>
      </c>
      <c r="C51" s="64">
        <f>'6 - Carbon Prod (Per Area)'!C13</f>
        <v>0.43264311814859935</v>
      </c>
      <c r="D51" s="64">
        <f>$B$34*B51</f>
        <v>9.6851925418749221E-2</v>
      </c>
    </row>
    <row r="52" spans="1:4" ht="15.75" x14ac:dyDescent="0.25">
      <c r="A52" s="65" t="s">
        <v>22</v>
      </c>
      <c r="B52" s="64" t="str">
        <f>'6 - Carbon Prod (Per Area)'!B14</f>
        <v>NA</v>
      </c>
      <c r="C52" s="64">
        <f>'6 - Carbon Prod (Per Area)'!C14</f>
        <v>3.3617539585870888E-2</v>
      </c>
      <c r="D52" s="64" t="s">
        <v>25</v>
      </c>
    </row>
    <row r="53" spans="1:4" ht="15.75" x14ac:dyDescent="0.25">
      <c r="A53" s="65" t="s">
        <v>1</v>
      </c>
      <c r="B53" s="64">
        <f>'6 - Carbon Prod (Per Area)'!B15</f>
        <v>7.9000290000000001E-2</v>
      </c>
      <c r="C53" s="64">
        <f>'6 - Carbon Prod (Per Area)'!C15</f>
        <v>0.1220462850182704</v>
      </c>
      <c r="D53" s="64">
        <f t="shared" ref="D53:D54" si="12">$B$34*B53</f>
        <v>6.9410890850288174E-3</v>
      </c>
    </row>
    <row r="54" spans="1:4" ht="15.75" x14ac:dyDescent="0.25">
      <c r="A54" s="65" t="s">
        <v>2</v>
      </c>
      <c r="B54" s="64">
        <f>'6 - Carbon Prod (Per Area)'!B16</f>
        <v>1.82861692</v>
      </c>
      <c r="C54" s="64">
        <f>'6 - Carbon Prod (Per Area)'!C16</f>
        <v>0.43264311814859935</v>
      </c>
      <c r="D54" s="64">
        <f t="shared" si="12"/>
        <v>0.16066514368632082</v>
      </c>
    </row>
    <row r="55" spans="1:4" ht="18.75" x14ac:dyDescent="0.3">
      <c r="A55" s="35" t="s">
        <v>3</v>
      </c>
      <c r="B55" s="73"/>
      <c r="C55" s="50"/>
      <c r="D55" s="72"/>
    </row>
    <row r="56" spans="1:4" ht="15.75" x14ac:dyDescent="0.25">
      <c r="A56" s="56" t="s">
        <v>23</v>
      </c>
      <c r="B56" s="66">
        <f>'6 - Carbon Prod (Per Area)'!B18</f>
        <v>7.605104E-2</v>
      </c>
      <c r="C56" s="66">
        <f>'6 - Carbon Prod (Per Area)'!C18</f>
        <v>7.748449598167223E-2</v>
      </c>
      <c r="D56" s="66">
        <f>$B$35*B56</f>
        <v>1.6717949104377284E-2</v>
      </c>
    </row>
    <row r="57" spans="1:4" ht="15.75" x14ac:dyDescent="0.25">
      <c r="A57" s="56" t="s">
        <v>24</v>
      </c>
      <c r="B57" s="66">
        <f>'6 - Carbon Prod (Per Area)'!B19</f>
        <v>0.10290493000000001</v>
      </c>
      <c r="C57" s="66">
        <f>'6 - Carbon Prod (Per Area)'!C19</f>
        <v>0.15720081316708712</v>
      </c>
      <c r="D57" s="66">
        <f t="shared" ref="D57:D61" si="13">$B$35*B57</f>
        <v>2.2621115797095047E-2</v>
      </c>
    </row>
    <row r="58" spans="1:4" ht="15.75" x14ac:dyDescent="0.25">
      <c r="A58" s="56" t="s">
        <v>35</v>
      </c>
      <c r="B58" s="66">
        <f>'6 - Carbon Prod (Per Area)'!B20</f>
        <v>3.1795814600000001</v>
      </c>
      <c r="C58" s="66">
        <f>'6 - Carbon Prod (Per Area)'!C20</f>
        <v>0.16666666666666666</v>
      </c>
      <c r="D58" s="66">
        <f t="shared" si="13"/>
        <v>0.69895271677417714</v>
      </c>
    </row>
    <row r="59" spans="1:4" ht="15.75" x14ac:dyDescent="0.25">
      <c r="A59" s="56" t="s">
        <v>20</v>
      </c>
      <c r="B59" s="66">
        <f>'6 - Carbon Prod (Per Area)'!B21</f>
        <v>1.5530640499999999</v>
      </c>
      <c r="C59" s="66">
        <f>'6 - Carbon Prod (Per Area)'!C21</f>
        <v>3.4575153923831085E-2</v>
      </c>
      <c r="D59" s="66">
        <f t="shared" si="13"/>
        <v>0.34140290183721428</v>
      </c>
    </row>
    <row r="60" spans="1:4" ht="15.75" x14ac:dyDescent="0.25">
      <c r="A60" s="67" t="s">
        <v>38</v>
      </c>
      <c r="B60" s="66">
        <f>'6 - Carbon Prod (Per Area)'!B22</f>
        <v>1.58638163</v>
      </c>
      <c r="C60" s="66">
        <f>'6 - Carbon Prod (Per Area)'!C22</f>
        <v>0.22647570525953531</v>
      </c>
      <c r="D60" s="66">
        <f t="shared" si="13"/>
        <v>0.34872695166902484</v>
      </c>
    </row>
    <row r="61" spans="1:4" ht="15.75" x14ac:dyDescent="0.25">
      <c r="A61" s="56" t="s">
        <v>2</v>
      </c>
      <c r="B61" s="66">
        <f>'6 - Carbon Prod (Per Area)'!B23</f>
        <v>4.2182888099999998</v>
      </c>
      <c r="C61" s="66">
        <f>'6 - Carbon Prod (Per Area)'!C23</f>
        <v>0.10541865743397456</v>
      </c>
      <c r="D61" s="66">
        <f t="shared" si="13"/>
        <v>0.92728695929923133</v>
      </c>
    </row>
    <row r="62" spans="1:4" ht="18.75" x14ac:dyDescent="0.3">
      <c r="A62" s="36" t="s">
        <v>4</v>
      </c>
      <c r="B62" s="73"/>
      <c r="C62" s="74"/>
      <c r="D62" s="72"/>
    </row>
    <row r="63" spans="1:4" ht="15.75" x14ac:dyDescent="0.25">
      <c r="A63" s="69" t="s">
        <v>23</v>
      </c>
      <c r="B63" s="68">
        <f>'6 - Carbon Prod (Per Area)'!B25</f>
        <v>7.605104E-2</v>
      </c>
      <c r="C63" s="68">
        <f>'6 - Carbon Prod (Per Area)'!C25</f>
        <v>2.9166666666666664E-2</v>
      </c>
      <c r="D63" s="68">
        <f>$B$37*B63</f>
        <v>8.2201567613399331E-3</v>
      </c>
    </row>
    <row r="64" spans="1:4" ht="15.75" x14ac:dyDescent="0.25">
      <c r="A64" s="69" t="s">
        <v>36</v>
      </c>
      <c r="B64" s="68">
        <f>'6 - Carbon Prod (Per Area)'!B26</f>
        <v>3.1795814600000001</v>
      </c>
      <c r="C64" s="68">
        <f>'6 - Carbon Prod (Per Area)'!C26</f>
        <v>0.68041666666666656</v>
      </c>
      <c r="D64" s="68">
        <f t="shared" ref="D64:D65" si="14">$B$37*B64</f>
        <v>0.34367259194154476</v>
      </c>
    </row>
    <row r="65" spans="1:6" ht="15.75" x14ac:dyDescent="0.25">
      <c r="A65" s="69" t="s">
        <v>2</v>
      </c>
      <c r="B65" s="68">
        <f>'6 - Carbon Prod (Per Area)'!B27</f>
        <v>2.41802085</v>
      </c>
      <c r="C65" s="68">
        <f>'6 - Carbon Prod (Per Area)'!C27</f>
        <v>0.21541666666666667</v>
      </c>
      <c r="D65" s="68">
        <f t="shared" si="14"/>
        <v>0.26135750989320372</v>
      </c>
    </row>
    <row r="66" spans="1:6" ht="15.75" x14ac:dyDescent="0.25">
      <c r="A66" s="5"/>
      <c r="B66" s="5"/>
      <c r="C66" s="6"/>
    </row>
    <row r="67" spans="1:6" ht="15.75" x14ac:dyDescent="0.25">
      <c r="A67" s="262"/>
      <c r="B67" s="262"/>
      <c r="C67" s="6"/>
    </row>
    <row r="68" spans="1:6" ht="78.75" x14ac:dyDescent="0.25">
      <c r="A68" s="34"/>
      <c r="B68" s="88" t="s">
        <v>119</v>
      </c>
      <c r="C68" s="14"/>
      <c r="D68" s="2"/>
      <c r="E68" s="2"/>
      <c r="F68" s="2"/>
    </row>
    <row r="69" spans="1:6" ht="18.75" x14ac:dyDescent="0.3">
      <c r="A69" s="33" t="s">
        <v>0</v>
      </c>
      <c r="B69" s="64">
        <f>D51*C51+D53*C53+D54*C54</f>
        <v>0.11226012189091447</v>
      </c>
      <c r="C69" s="6"/>
    </row>
    <row r="70" spans="1:6" ht="18.75" x14ac:dyDescent="0.3">
      <c r="A70" s="35" t="s">
        <v>172</v>
      </c>
      <c r="B70" s="66">
        <f>C46*D46+C47*D47</f>
        <v>1.1700215373435603</v>
      </c>
      <c r="C70" s="6"/>
    </row>
    <row r="71" spans="1:6" ht="18.75" x14ac:dyDescent="0.3">
      <c r="A71" s="35" t="s">
        <v>173</v>
      </c>
      <c r="B71" s="66">
        <f>D56*C56+D57*C57+D58*C58+D59*C59+D60*C60+D61*C61</f>
        <v>0.30987914562928509</v>
      </c>
      <c r="C71" s="6"/>
    </row>
    <row r="72" spans="1:6" ht="18.75" x14ac:dyDescent="0.3">
      <c r="A72" s="36" t="s">
        <v>4</v>
      </c>
      <c r="B72" s="68">
        <f>D63*C63+D64*C64+D65*C65</f>
        <v>0.29038107759525944</v>
      </c>
      <c r="C72" s="6"/>
    </row>
    <row r="73" spans="1:6" ht="18.75" x14ac:dyDescent="0.3">
      <c r="A73" s="75" t="s">
        <v>175</v>
      </c>
      <c r="B73" s="8">
        <f>SUM(B69,SUM(B70:B71),B72)</f>
        <v>1.8825418824590194</v>
      </c>
      <c r="C73" s="30"/>
    </row>
    <row r="74" spans="1:6" ht="18.75" x14ac:dyDescent="0.3">
      <c r="A74" s="75" t="s">
        <v>163</v>
      </c>
      <c r="B74" s="8">
        <f>AVERAGE(B69,SUM(B70:B71),B72)</f>
        <v>0.62751396081967314</v>
      </c>
    </row>
    <row r="75" spans="1:6" x14ac:dyDescent="0.25">
      <c r="B75" s="2"/>
    </row>
    <row r="77" spans="1:6" x14ac:dyDescent="0.25">
      <c r="B77" s="2"/>
    </row>
  </sheetData>
  <mergeCells count="9">
    <mergeCell ref="A67:B67"/>
    <mergeCell ref="I3:J3"/>
    <mergeCell ref="A2:J2"/>
    <mergeCell ref="A3:D3"/>
    <mergeCell ref="E3:H3"/>
    <mergeCell ref="B32:G32"/>
    <mergeCell ref="A43:D43"/>
    <mergeCell ref="A48:D48"/>
    <mergeCell ref="B42:D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169A-C60F-452B-A52A-DB3A7421D512}">
  <dimension ref="A1:W56"/>
  <sheetViews>
    <sheetView tabSelected="1" zoomScaleNormal="100" workbookViewId="0">
      <selection activeCell="H30" sqref="H30"/>
    </sheetView>
  </sheetViews>
  <sheetFormatPr defaultRowHeight="15" x14ac:dyDescent="0.25"/>
  <cols>
    <col min="1" max="1" width="24.140625" customWidth="1"/>
    <col min="2" max="2" width="27" customWidth="1"/>
    <col min="3" max="3" width="24.140625" customWidth="1"/>
    <col min="4" max="6" width="25.42578125" customWidth="1"/>
    <col min="7" max="7" width="22.85546875" customWidth="1"/>
    <col min="8" max="10" width="25.42578125" customWidth="1"/>
    <col min="11" max="12" width="24.42578125" customWidth="1"/>
    <col min="13" max="14" width="26.140625" customWidth="1"/>
    <col min="15" max="18" width="17.5703125" customWidth="1"/>
    <col min="19" max="19" width="25.42578125" customWidth="1"/>
    <col min="20" max="22" width="23.5703125" customWidth="1"/>
  </cols>
  <sheetData>
    <row r="1" spans="1:22" ht="26.25" x14ac:dyDescent="0.4">
      <c r="A1" s="130" t="s">
        <v>112</v>
      </c>
      <c r="B1" s="130"/>
    </row>
    <row r="2" spans="1:22" ht="18.75" x14ac:dyDescent="0.3">
      <c r="A2" s="227" t="s">
        <v>113</v>
      </c>
      <c r="B2" s="227"/>
      <c r="C2" s="227"/>
      <c r="D2" s="227"/>
      <c r="E2" s="227"/>
      <c r="F2" s="227"/>
      <c r="G2" s="227"/>
      <c r="H2" s="227"/>
      <c r="I2" s="131"/>
      <c r="J2" s="131"/>
    </row>
    <row r="3" spans="1:22" ht="36.6" customHeight="1" x14ac:dyDescent="0.3">
      <c r="A3" s="246" t="s">
        <v>89</v>
      </c>
      <c r="B3" s="246"/>
      <c r="C3" s="246"/>
      <c r="D3" s="274" t="s">
        <v>114</v>
      </c>
      <c r="E3" s="275"/>
      <c r="F3" s="275"/>
      <c r="G3" s="275"/>
      <c r="H3" s="276"/>
      <c r="I3" s="274" t="s">
        <v>166</v>
      </c>
      <c r="J3" s="276"/>
      <c r="K3" s="277" t="s">
        <v>95</v>
      </c>
      <c r="L3" s="277"/>
      <c r="M3" s="277"/>
      <c r="N3" s="277"/>
      <c r="O3" s="277"/>
      <c r="P3" s="277"/>
      <c r="Q3" s="277"/>
      <c r="R3" s="277"/>
      <c r="S3" s="277"/>
      <c r="T3" s="277"/>
      <c r="U3" s="277"/>
      <c r="V3" s="277"/>
    </row>
    <row r="4" spans="1:22" ht="36.6" customHeight="1" x14ac:dyDescent="0.3">
      <c r="A4" s="278" t="s">
        <v>208</v>
      </c>
      <c r="B4" s="279"/>
      <c r="C4" s="279"/>
      <c r="D4" s="279"/>
      <c r="E4" s="279"/>
      <c r="F4" s="279"/>
      <c r="G4" s="279"/>
      <c r="H4" s="279"/>
      <c r="I4" s="279"/>
      <c r="J4" s="279"/>
      <c r="K4" s="279"/>
      <c r="L4" s="279"/>
      <c r="M4" s="279"/>
      <c r="N4" s="279"/>
      <c r="O4" s="279"/>
      <c r="P4" s="279"/>
      <c r="Q4" s="279"/>
      <c r="R4" s="279"/>
      <c r="S4" s="279"/>
      <c r="T4" s="279"/>
      <c r="U4" s="279"/>
      <c r="V4" s="280"/>
    </row>
    <row r="5" spans="1:22" ht="154.5" customHeight="1" x14ac:dyDescent="0.25">
      <c r="A5" s="39" t="s">
        <v>80</v>
      </c>
      <c r="B5" s="39" t="s">
        <v>56</v>
      </c>
      <c r="C5" s="40" t="s">
        <v>55</v>
      </c>
      <c r="D5" s="132" t="s">
        <v>211</v>
      </c>
      <c r="E5" s="224" t="s">
        <v>105</v>
      </c>
      <c r="F5" s="224" t="s">
        <v>216</v>
      </c>
      <c r="G5" s="224" t="s">
        <v>188</v>
      </c>
      <c r="H5" s="224" t="s">
        <v>106</v>
      </c>
      <c r="I5" s="79" t="s">
        <v>189</v>
      </c>
      <c r="J5" s="79" t="s">
        <v>190</v>
      </c>
      <c r="K5" s="79" t="s">
        <v>128</v>
      </c>
      <c r="L5" s="79" t="s">
        <v>220</v>
      </c>
      <c r="M5" s="79" t="s">
        <v>129</v>
      </c>
      <c r="N5" s="79" t="s">
        <v>130</v>
      </c>
      <c r="O5" s="79" t="s">
        <v>131</v>
      </c>
      <c r="P5" s="79" t="s">
        <v>221</v>
      </c>
      <c r="Q5" s="79" t="s">
        <v>132</v>
      </c>
      <c r="R5" s="79" t="s">
        <v>133</v>
      </c>
      <c r="S5" s="79" t="s">
        <v>138</v>
      </c>
      <c r="T5" s="79" t="s">
        <v>222</v>
      </c>
      <c r="U5" s="79" t="s">
        <v>139</v>
      </c>
      <c r="V5" s="79" t="s">
        <v>140</v>
      </c>
    </row>
    <row r="6" spans="1:22" ht="15.75" x14ac:dyDescent="0.25">
      <c r="A6" s="53" t="s">
        <v>11</v>
      </c>
      <c r="B6" s="133" t="s">
        <v>13</v>
      </c>
      <c r="C6" s="134" t="s">
        <v>45</v>
      </c>
      <c r="D6" s="135">
        <f>'3 - Areal Extents (Subsurface)'!N6</f>
        <v>594707.05706358398</v>
      </c>
      <c r="E6" s="135">
        <f>'3 - Areal Extents (Subsurface)'!O6</f>
        <v>112994.34084208096</v>
      </c>
      <c r="F6" s="135">
        <f>'3 - Areal Extents (Subsurface)'!P6</f>
        <v>79418.171578699403</v>
      </c>
      <c r="G6" s="135">
        <f>'3 - Areal Extents (Subsurface)'!Q6</f>
        <v>40714.560060506905</v>
      </c>
      <c r="H6" s="135">
        <f>'3 - Areal Extents (Subsurface)'!R6</f>
        <v>18696.103106436422</v>
      </c>
      <c r="I6" s="136">
        <f>'7- Carbon Export (Per Area)'!I5</f>
        <v>0.16699830391889159</v>
      </c>
      <c r="J6" s="136">
        <f>'7- Carbon Export (Per Area)'!J5</f>
        <v>0.20325242932443044</v>
      </c>
      <c r="K6" s="64">
        <f t="shared" ref="K6:N10" si="0">E6*$B$29</f>
        <v>87258.2957135576</v>
      </c>
      <c r="L6" s="64">
        <f t="shared" si="0"/>
        <v>61329.569684638591</v>
      </c>
      <c r="M6" s="64">
        <f t="shared" si="0"/>
        <v>31441.248253063266</v>
      </c>
      <c r="N6" s="64">
        <f t="shared" si="0"/>
        <v>14437.803534184039</v>
      </c>
      <c r="O6" s="64">
        <f t="shared" ref="O6:R10" si="1">E6*$C$29</f>
        <v>144372.09865793353</v>
      </c>
      <c r="P6" s="64">
        <f t="shared" si="1"/>
        <v>101472.05618392034</v>
      </c>
      <c r="Q6" s="64">
        <f t="shared" si="1"/>
        <v>52020.715710753379</v>
      </c>
      <c r="R6" s="64">
        <f t="shared" si="1"/>
        <v>23887.883429256766</v>
      </c>
      <c r="S6" s="82">
        <f>E6*$I6</f>
        <v>18869.863273060659</v>
      </c>
      <c r="T6" s="82">
        <f>F6*$I6</f>
        <v>13262.699953982321</v>
      </c>
      <c r="U6" s="82">
        <f>G6*$I6</f>
        <v>6799.2624749084971</v>
      </c>
      <c r="V6" s="82">
        <f>H6*$I6</f>
        <v>3122.2175086676025</v>
      </c>
    </row>
    <row r="7" spans="1:22" ht="47.25" x14ac:dyDescent="0.25">
      <c r="A7" s="53" t="s">
        <v>11</v>
      </c>
      <c r="B7" s="133" t="s">
        <v>12</v>
      </c>
      <c r="C7" s="134" t="s">
        <v>48</v>
      </c>
      <c r="D7" s="135">
        <f>'3 - Areal Extents (Subsurface)'!N7</f>
        <v>3254359.6119634202</v>
      </c>
      <c r="E7" s="135">
        <f>'3 - Areal Extents (Subsurface)'!O7</f>
        <v>618328.32627304981</v>
      </c>
      <c r="F7" s="135">
        <f>'3 - Areal Extents (Subsurface)'!P7</f>
        <v>434592.60651428154</v>
      </c>
      <c r="G7" s="135">
        <f>'3 - Areal Extents (Subsurface)'!Q7</f>
        <v>222798.46574211109</v>
      </c>
      <c r="H7" s="135">
        <f>'3 - Areal Extents (Subsurface)'!R7</f>
        <v>102308.93030110003</v>
      </c>
      <c r="I7" s="136">
        <f>'7- Carbon Export (Per Area)'!I6</f>
        <v>7.2000342192760539E-2</v>
      </c>
      <c r="J7" s="136">
        <f>'7- Carbon Export (Per Area)'!J6</f>
        <v>0.15236096462805401</v>
      </c>
      <c r="K7" s="64">
        <f t="shared" si="0"/>
        <v>477495.38198031107</v>
      </c>
      <c r="L7" s="64">
        <f t="shared" si="0"/>
        <v>335608.0480804597</v>
      </c>
      <c r="M7" s="64">
        <f t="shared" si="0"/>
        <v>172052.99188764248</v>
      </c>
      <c r="N7" s="64">
        <f t="shared" si="0"/>
        <v>79006.637215821218</v>
      </c>
      <c r="O7" s="64">
        <f t="shared" si="1"/>
        <v>790033.88540005789</v>
      </c>
      <c r="P7" s="64">
        <f t="shared" si="1"/>
        <v>555276.00936561066</v>
      </c>
      <c r="Q7" s="64">
        <f t="shared" si="1"/>
        <v>284668.08016439335</v>
      </c>
      <c r="R7" s="64">
        <f t="shared" si="1"/>
        <v>130719.4224856017</v>
      </c>
      <c r="S7" s="82">
        <f t="shared" ref="S7:S10" si="2">E7*$I7</f>
        <v>44519.851079136475</v>
      </c>
      <c r="T7" s="82">
        <f t="shared" ref="T7:V19" si="3">F7*$I7</f>
        <v>31290.816383472004</v>
      </c>
      <c r="U7" s="82">
        <f t="shared" si="3"/>
        <v>16041.565773454035</v>
      </c>
      <c r="V7" s="82">
        <f t="shared" si="3"/>
        <v>7366.2779910544896</v>
      </c>
    </row>
    <row r="8" spans="1:22" ht="15.75" x14ac:dyDescent="0.25">
      <c r="A8" s="53" t="s">
        <v>11</v>
      </c>
      <c r="B8" s="133" t="s">
        <v>14</v>
      </c>
      <c r="C8" s="134" t="s">
        <v>46</v>
      </c>
      <c r="D8" s="135">
        <f>'3 - Areal Extents (Subsurface)'!N8</f>
        <v>18226572.455041502</v>
      </c>
      <c r="E8" s="135">
        <f>'3 - Areal Extents (Subsurface)'!O8</f>
        <v>3463048.766457885</v>
      </c>
      <c r="F8" s="135">
        <f>'3 - Areal Extents (Subsurface)'!P8</f>
        <v>2434006.8632669994</v>
      </c>
      <c r="G8" s="135">
        <f>'3 - Areal Extents (Subsurface)'!Q8</f>
        <v>1247819.1911528413</v>
      </c>
      <c r="H8" s="135">
        <f>'3 - Areal Extents (Subsurface)'!R8</f>
        <v>572997.87155536725</v>
      </c>
      <c r="I8" s="136">
        <f>'7- Carbon Export (Per Area)'!I7</f>
        <v>1.1553842890139384E-2</v>
      </c>
      <c r="J8" s="136">
        <f>'7- Carbon Export (Per Area)'!J7</f>
        <v>2.3351318807435389E-2</v>
      </c>
      <c r="K8" s="64">
        <f t="shared" si="0"/>
        <v>2674290.8634369085</v>
      </c>
      <c r="L8" s="64">
        <f t="shared" si="0"/>
        <v>1879627.6792358088</v>
      </c>
      <c r="M8" s="64">
        <f t="shared" si="0"/>
        <v>963610.87791856227</v>
      </c>
      <c r="N8" s="64">
        <f t="shared" si="0"/>
        <v>442489.57378577802</v>
      </c>
      <c r="O8" s="64">
        <f t="shared" si="1"/>
        <v>4424713.790463536</v>
      </c>
      <c r="P8" s="64">
        <f t="shared" si="1"/>
        <v>3109913.9689551815</v>
      </c>
      <c r="Q8" s="64">
        <f t="shared" si="1"/>
        <v>1594330.0702479952</v>
      </c>
      <c r="R8" s="64">
        <f t="shared" si="1"/>
        <v>732115.47256682871</v>
      </c>
      <c r="S8" s="82">
        <f t="shared" si="2"/>
        <v>40011.5213685454</v>
      </c>
      <c r="T8" s="82">
        <f t="shared" si="3"/>
        <v>28122.132891707883</v>
      </c>
      <c r="U8" s="82">
        <f t="shared" si="3"/>
        <v>14417.106889880733</v>
      </c>
      <c r="V8" s="82">
        <f t="shared" si="3"/>
        <v>6620.3273843349798</v>
      </c>
    </row>
    <row r="9" spans="1:22" ht="15.75" x14ac:dyDescent="0.25">
      <c r="A9" s="53" t="s">
        <v>11</v>
      </c>
      <c r="B9" s="133" t="s">
        <v>13</v>
      </c>
      <c r="C9" s="134" t="s">
        <v>47</v>
      </c>
      <c r="D9" s="135">
        <f>'3 - Areal Extents (Subsurface)'!N9</f>
        <v>889705.33346696198</v>
      </c>
      <c r="E9" s="135">
        <f>'3 - Areal Extents (Subsurface)'!O9</f>
        <v>169044.01335872279</v>
      </c>
      <c r="F9" s="135">
        <f>'3 - Areal Extents (Subsurface)'!P9</f>
        <v>118812.73307340049</v>
      </c>
      <c r="G9" s="135">
        <f>'3 - Areal Extents (Subsurface)'!Q9</f>
        <v>60910.595906584327</v>
      </c>
      <c r="H9" s="135">
        <f>'3 - Areal Extents (Subsurface)'!R9</f>
        <v>27970.111420867619</v>
      </c>
      <c r="I9" s="136">
        <f>'7- Carbon Export (Per Area)'!I8</f>
        <v>0.10108507890931534</v>
      </c>
      <c r="J9" s="136">
        <f>'7- Carbon Export (Per Area)'!J8</f>
        <v>0.19199282256434788</v>
      </c>
      <c r="K9" s="64">
        <f t="shared" si="0"/>
        <v>130541.86958687659</v>
      </c>
      <c r="L9" s="64">
        <f t="shared" si="0"/>
        <v>91751.467549548077</v>
      </c>
      <c r="M9" s="64">
        <f t="shared" si="0"/>
        <v>47037.353818753101</v>
      </c>
      <c r="N9" s="64">
        <f t="shared" si="0"/>
        <v>21599.52644809175</v>
      </c>
      <c r="O9" s="64">
        <f t="shared" si="1"/>
        <v>215986.38296644363</v>
      </c>
      <c r="P9" s="64">
        <f t="shared" si="1"/>
        <v>151806.21872970427</v>
      </c>
      <c r="Q9" s="64">
        <f t="shared" si="1"/>
        <v>77825.052971714511</v>
      </c>
      <c r="R9" s="64">
        <f t="shared" si="1"/>
        <v>35737.220602671434</v>
      </c>
      <c r="S9" s="82">
        <f>E9*$I9</f>
        <v>17087.827429513851</v>
      </c>
      <c r="T9" s="82">
        <f t="shared" si="3"/>
        <v>12010.19449815611</v>
      </c>
      <c r="U9" s="82">
        <f t="shared" si="3"/>
        <v>6157.1523936304966</v>
      </c>
      <c r="V9" s="82">
        <f t="shared" si="3"/>
        <v>2827.3609200807455</v>
      </c>
    </row>
    <row r="10" spans="1:22" ht="15.75" x14ac:dyDescent="0.25">
      <c r="A10" s="53" t="s">
        <v>11</v>
      </c>
      <c r="B10" s="133" t="s">
        <v>13</v>
      </c>
      <c r="C10" s="134" t="s">
        <v>44</v>
      </c>
      <c r="D10" s="135">
        <f>'3 - Areal Extents (Subsurface)'!N10</f>
        <v>960895.71718925994</v>
      </c>
      <c r="E10" s="135">
        <f>'3 - Areal Extents (Subsurface)'!O10</f>
        <v>182570.1862659594</v>
      </c>
      <c r="F10" s="135">
        <f>'3 - Areal Extents (Subsurface)'!P10</f>
        <v>128319.61556631571</v>
      </c>
      <c r="G10" s="135">
        <f>'3 - Areal Extents (Subsurface)'!Q10</f>
        <v>65784.399099880116</v>
      </c>
      <c r="H10" s="135">
        <f>'3 - Areal Extents (Subsurface)'!R10</f>
        <v>30208.159109137363</v>
      </c>
      <c r="I10" s="136">
        <f>'7- Carbon Export (Per Area)'!I9</f>
        <v>0.20966304154346552</v>
      </c>
      <c r="J10" s="136">
        <f>'7- Carbon Export (Per Area)'!J9</f>
        <v>0.22940475827416423</v>
      </c>
      <c r="K10" s="64">
        <f t="shared" si="0"/>
        <v>140987.26699896372</v>
      </c>
      <c r="L10" s="64">
        <f t="shared" si="0"/>
        <v>99093.024283262843</v>
      </c>
      <c r="M10" s="64">
        <f t="shared" si="0"/>
        <v>50801.080011772356</v>
      </c>
      <c r="N10" s="64">
        <f t="shared" si="0"/>
        <v>23327.827401473274</v>
      </c>
      <c r="O10" s="64">
        <f t="shared" si="1"/>
        <v>233268.68183977428</v>
      </c>
      <c r="P10" s="64">
        <f t="shared" si="1"/>
        <v>163953.097652736</v>
      </c>
      <c r="Q10" s="64">
        <f t="shared" si="1"/>
        <v>84052.278071821507</v>
      </c>
      <c r="R10" s="64">
        <f t="shared" si="1"/>
        <v>38596.75887019949</v>
      </c>
      <c r="S10" s="82">
        <f t="shared" si="2"/>
        <v>38278.220547678087</v>
      </c>
      <c r="T10" s="82">
        <f t="shared" si="3"/>
        <v>26903.880889321976</v>
      </c>
      <c r="U10" s="82">
        <f>G10*$I10</f>
        <v>13792.55720139008</v>
      </c>
      <c r="V10" s="82">
        <f t="shared" si="3"/>
        <v>6333.5345182506835</v>
      </c>
    </row>
    <row r="11" spans="1:22" ht="31.5" x14ac:dyDescent="0.25">
      <c r="A11" s="54" t="s">
        <v>193</v>
      </c>
      <c r="B11" s="51" t="s">
        <v>7</v>
      </c>
      <c r="C11" s="137" t="s">
        <v>53</v>
      </c>
      <c r="D11" s="138">
        <f>'3 - Areal Extents (Subsurface)'!N11</f>
        <v>327250.37769138702</v>
      </c>
      <c r="E11" s="138">
        <f>'3 - Areal Extents (Subsurface)'!O11</f>
        <v>327250.37769138702</v>
      </c>
      <c r="F11" s="138">
        <f>'3 - Areal Extents (Subsurface)'!P11</f>
        <v>126318.64578887539</v>
      </c>
      <c r="G11" s="138">
        <f>'3 - Areal Extents (Subsurface)'!Q11</f>
        <v>58905.067984449663</v>
      </c>
      <c r="H11" s="138">
        <f>'3 - Areal Extents (Subsurface)'!R11</f>
        <v>14726.266996112416</v>
      </c>
      <c r="I11" s="139">
        <f>'7- Carbon Export (Per Area)'!I13</f>
        <v>0.31418052630359111</v>
      </c>
      <c r="J11" s="139">
        <f>'7- Carbon Export (Per Area)'!J13</f>
        <v>0.1960141863808316</v>
      </c>
      <c r="K11" s="66">
        <f t="shared" ref="K11:N13" si="4">E11*$B$31</f>
        <v>85488.411645509521</v>
      </c>
      <c r="L11" s="66">
        <f t="shared" si="4"/>
        <v>32998.52689516668</v>
      </c>
      <c r="M11" s="66">
        <f t="shared" si="4"/>
        <v>15387.914096191715</v>
      </c>
      <c r="N11" s="66">
        <f t="shared" si="4"/>
        <v>3846.9785240479287</v>
      </c>
      <c r="O11" s="66">
        <f t="shared" ref="O11:R13" si="5">E11*$C$31</f>
        <v>461311.90766869258</v>
      </c>
      <c r="P11" s="66">
        <f t="shared" si="5"/>
        <v>178066.39636011535</v>
      </c>
      <c r="Q11" s="66">
        <f t="shared" si="5"/>
        <v>83036.143380364665</v>
      </c>
      <c r="R11" s="66">
        <f t="shared" si="5"/>
        <v>20759.035845091166</v>
      </c>
      <c r="S11" s="66">
        <f>E11*$I11</f>
        <v>102815.69589612895</v>
      </c>
      <c r="T11" s="66">
        <f t="shared" ref="T11:T13" si="6">F11*$I11</f>
        <v>39686.858615905774</v>
      </c>
      <c r="U11" s="66">
        <f t="shared" ref="U11:U13" si="7">G11*$I11</f>
        <v>18506.825261303209</v>
      </c>
      <c r="V11" s="66">
        <f t="shared" ref="V11:V13" si="8">H11*$I11</f>
        <v>4626.7063153258023</v>
      </c>
    </row>
    <row r="12" spans="1:22" ht="47.25" x14ac:dyDescent="0.25">
      <c r="A12" s="54" t="s">
        <v>193</v>
      </c>
      <c r="B12" s="51" t="s">
        <v>8</v>
      </c>
      <c r="C12" s="137" t="s">
        <v>52</v>
      </c>
      <c r="D12" s="138">
        <f>'3 - Areal Extents (Subsurface)'!N12</f>
        <v>83195.332543945202</v>
      </c>
      <c r="E12" s="138">
        <f>'3 - Areal Extents (Subsurface)'!O12</f>
        <v>83195.332543945202</v>
      </c>
      <c r="F12" s="138">
        <f>'3 - Areal Extents (Subsurface)'!P12</f>
        <v>32113.398361962849</v>
      </c>
      <c r="G12" s="138">
        <f>'3 - Areal Extents (Subsurface)'!Q12</f>
        <v>14975.159857910136</v>
      </c>
      <c r="H12" s="138">
        <f>'3 - Areal Extents (Subsurface)'!R12</f>
        <v>3743.7899644775339</v>
      </c>
      <c r="I12" s="139">
        <f>'7- Carbon Export (Per Area)'!I14</f>
        <v>0.14159383168384654</v>
      </c>
      <c r="J12" s="139">
        <f>'7- Carbon Export (Per Area)'!J14</f>
        <v>9.0303296986900497E-2</v>
      </c>
      <c r="K12" s="66">
        <f t="shared" si="4"/>
        <v>21733.318951915855</v>
      </c>
      <c r="L12" s="66">
        <f t="shared" si="4"/>
        <v>8389.0611154395192</v>
      </c>
      <c r="M12" s="66">
        <f t="shared" si="4"/>
        <v>3911.9974113448534</v>
      </c>
      <c r="N12" s="66">
        <f t="shared" si="4"/>
        <v>977.99935283621335</v>
      </c>
      <c r="O12" s="66">
        <f t="shared" si="5"/>
        <v>117277.16812957167</v>
      </c>
      <c r="P12" s="66">
        <f t="shared" si="5"/>
        <v>45268.986898014664</v>
      </c>
      <c r="Q12" s="66">
        <f t="shared" si="5"/>
        <v>21109.890263322897</v>
      </c>
      <c r="R12" s="66">
        <f t="shared" si="5"/>
        <v>5277.4725658307243</v>
      </c>
      <c r="S12" s="66">
        <f t="shared" ref="S12:S13" si="9">E12*$I12</f>
        <v>11779.945913109017</v>
      </c>
      <c r="T12" s="66">
        <f t="shared" si="6"/>
        <v>4547.0591224600812</v>
      </c>
      <c r="U12" s="66">
        <f t="shared" si="7"/>
        <v>2120.390264359623</v>
      </c>
      <c r="V12" s="66">
        <f t="shared" si="8"/>
        <v>530.09756608990574</v>
      </c>
    </row>
    <row r="13" spans="1:22" ht="31.5" x14ac:dyDescent="0.25">
      <c r="A13" s="54" t="s">
        <v>193</v>
      </c>
      <c r="B13" s="51" t="s">
        <v>9</v>
      </c>
      <c r="C13" s="137" t="s">
        <v>54</v>
      </c>
      <c r="D13" s="138">
        <f>'3 - Areal Extents (Subsurface)'!N13</f>
        <v>77645.519213499094</v>
      </c>
      <c r="E13" s="138">
        <f>'3 - Areal Extents (Subsurface)'!O13</f>
        <v>77645.519213499094</v>
      </c>
      <c r="F13" s="138">
        <f>'3 - Areal Extents (Subsurface)'!P13</f>
        <v>29971.170416410652</v>
      </c>
      <c r="G13" s="138">
        <f>'3 - Areal Extents (Subsurface)'!Q13</f>
        <v>13976.193458429836</v>
      </c>
      <c r="H13" s="138">
        <f>'3 - Areal Extents (Subsurface)'!R13</f>
        <v>3494.048364607459</v>
      </c>
      <c r="I13" s="139">
        <f>'7- Carbon Export (Per Area)'!I15</f>
        <v>0.47386307890041751</v>
      </c>
      <c r="J13" s="139">
        <f>'7- Carbon Export (Per Area)'!J15</f>
        <v>0.2217472159254355</v>
      </c>
      <c r="K13" s="66">
        <f t="shared" si="4"/>
        <v>20283.527725100717</v>
      </c>
      <c r="L13" s="66">
        <f t="shared" si="4"/>
        <v>7829.4417018888771</v>
      </c>
      <c r="M13" s="66">
        <f t="shared" si="4"/>
        <v>3651.0349905181288</v>
      </c>
      <c r="N13" s="66">
        <f t="shared" si="4"/>
        <v>912.75874762953219</v>
      </c>
      <c r="O13" s="66">
        <f t="shared" si="5"/>
        <v>109453.81589164813</v>
      </c>
      <c r="P13" s="66">
        <f t="shared" si="5"/>
        <v>42249.172934176182</v>
      </c>
      <c r="Q13" s="66">
        <f t="shared" si="5"/>
        <v>19701.686860496662</v>
      </c>
      <c r="R13" s="66">
        <f t="shared" si="5"/>
        <v>4925.4217151241655</v>
      </c>
      <c r="S13" s="66">
        <f t="shared" si="9"/>
        <v>36793.344797330203</v>
      </c>
      <c r="T13" s="66">
        <f t="shared" si="6"/>
        <v>14202.231091769459</v>
      </c>
      <c r="U13" s="66">
        <f t="shared" si="7"/>
        <v>6622.8020635194362</v>
      </c>
      <c r="V13" s="66">
        <f t="shared" si="8"/>
        <v>1655.700515879859</v>
      </c>
    </row>
    <row r="14" spans="1:22" ht="31.5" x14ac:dyDescent="0.25">
      <c r="A14" s="55" t="s">
        <v>4</v>
      </c>
      <c r="B14" s="140" t="s">
        <v>17</v>
      </c>
      <c r="C14" s="141" t="s">
        <v>51</v>
      </c>
      <c r="D14" s="142">
        <f>'3 - Areal Extents (Subsurface)'!N14</f>
        <v>229678.341002111</v>
      </c>
      <c r="E14" s="142">
        <f>'3 - Areal Extents (Subsurface)'!O14</f>
        <v>70529.661838994463</v>
      </c>
      <c r="F14" s="142">
        <f>'3 - Areal Extents (Subsurface)'!P14</f>
        <v>27788.686764563816</v>
      </c>
      <c r="G14" s="142">
        <f>'3 - Areal Extents (Subsurface)'!Q14</f>
        <v>7299.820000335927</v>
      </c>
      <c r="H14" s="142">
        <f>'3 - Areal Extents (Subsurface)'!R14</f>
        <v>1008.5741642976209</v>
      </c>
      <c r="I14" s="143">
        <f>'7- Carbon Export (Per Area)'!I16</f>
        <v>0.21498258480689011</v>
      </c>
      <c r="J14" s="143">
        <f>'7- Carbon Export (Per Area)'!J16</f>
        <v>8.3542822259890792E-2</v>
      </c>
      <c r="K14" s="68">
        <f t="shared" ref="K14:N19" si="10">E14*$B$32</f>
        <v>27164.277755065359</v>
      </c>
      <c r="L14" s="68">
        <f t="shared" si="10"/>
        <v>10702.725435495749</v>
      </c>
      <c r="M14" s="68">
        <f t="shared" si="10"/>
        <v>2811.5027476492646</v>
      </c>
      <c r="N14" s="68">
        <f t="shared" si="10"/>
        <v>388.44917189743467</v>
      </c>
      <c r="O14" s="68">
        <f t="shared" ref="O14:R19" si="11">E14*$C$32</f>
        <v>189480.78347289533</v>
      </c>
      <c r="P14" s="68">
        <f t="shared" si="11"/>
        <v>74655.428688320753</v>
      </c>
      <c r="Q14" s="68">
        <f t="shared" si="11"/>
        <v>19611.261089444666</v>
      </c>
      <c r="R14" s="68">
        <f t="shared" si="11"/>
        <v>2709.5752036624035</v>
      </c>
      <c r="S14" s="68">
        <f>E14*$I14</f>
        <v>15162.649007702908</v>
      </c>
      <c r="T14" s="68">
        <f t="shared" si="3"/>
        <v>5974.0837090349451</v>
      </c>
      <c r="U14" s="68">
        <f t="shared" ref="U14:U19" si="12">G14*$I14</f>
        <v>1569.3341722972511</v>
      </c>
      <c r="V14" s="68">
        <f t="shared" si="3"/>
        <v>216.8258808101516</v>
      </c>
    </row>
    <row r="15" spans="1:22" ht="31.5" x14ac:dyDescent="0.25">
      <c r="A15" s="55" t="s">
        <v>4</v>
      </c>
      <c r="B15" s="144" t="s">
        <v>16</v>
      </c>
      <c r="C15" s="141" t="s">
        <v>49</v>
      </c>
      <c r="D15" s="142">
        <f>'3 - Areal Extents (Subsurface)'!N15</f>
        <v>2490173.42147739</v>
      </c>
      <c r="E15" s="142">
        <f>'3 - Areal Extents (Subsurface)'!O15</f>
        <v>764682.85416445904</v>
      </c>
      <c r="F15" s="142">
        <f>'3 - Areal Extents (Subsurface)'!P15</f>
        <v>301285.04454079684</v>
      </c>
      <c r="G15" s="142">
        <f>'3 - Areal Extents (Subsurface)'!Q15</f>
        <v>79144.675406021503</v>
      </c>
      <c r="H15" s="142">
        <f>'3 - Areal Extents (Subsurface)'!R15</f>
        <v>10934.964814551764</v>
      </c>
      <c r="I15" s="143">
        <f>'7- Carbon Export (Per Area)'!I17</f>
        <v>0.2196209781156819</v>
      </c>
      <c r="J15" s="143">
        <f>'7- Carbon Export (Per Area)'!J17</f>
        <v>0.14547386402613333</v>
      </c>
      <c r="K15" s="68">
        <f t="shared" si="10"/>
        <v>294515.19975351763</v>
      </c>
      <c r="L15" s="68">
        <f t="shared" si="10"/>
        <v>116038.98870288592</v>
      </c>
      <c r="M15" s="68">
        <f t="shared" si="10"/>
        <v>30482.323174489069</v>
      </c>
      <c r="N15" s="68">
        <f t="shared" si="10"/>
        <v>4211.5673564753015</v>
      </c>
      <c r="O15" s="68">
        <f t="shared" si="11"/>
        <v>2054351.3542732333</v>
      </c>
      <c r="P15" s="68">
        <f t="shared" si="11"/>
        <v>809414.43358365388</v>
      </c>
      <c r="Q15" s="68">
        <f t="shared" si="11"/>
        <v>212625.36516727964</v>
      </c>
      <c r="R15" s="68">
        <f t="shared" si="11"/>
        <v>29377.224366107235</v>
      </c>
      <c r="S15" s="68">
        <f>E15*$I15</f>
        <v>167940.39637988983</v>
      </c>
      <c r="T15" s="68">
        <f>F15*$I15</f>
        <v>66168.516173676588</v>
      </c>
      <c r="U15" s="68">
        <f t="shared" si="12"/>
        <v>17381.831025318595</v>
      </c>
      <c r="V15" s="68">
        <f t="shared" si="3"/>
        <v>2401.5476682324247</v>
      </c>
    </row>
    <row r="16" spans="1:22" ht="31.5" x14ac:dyDescent="0.25">
      <c r="A16" s="55" t="s">
        <v>4</v>
      </c>
      <c r="B16" s="144" t="s">
        <v>15</v>
      </c>
      <c r="C16" s="141" t="s">
        <v>43</v>
      </c>
      <c r="D16" s="142">
        <f>'3 - Areal Extents (Subsurface)'!N16</f>
        <v>694212.33385544096</v>
      </c>
      <c r="E16" s="142">
        <f>'3 - Areal Extents (Subsurface)'!O16</f>
        <v>213178.83496395228</v>
      </c>
      <c r="F16" s="142">
        <f>'3 - Areal Extents (Subsurface)'!P16</f>
        <v>83992.460975797192</v>
      </c>
      <c r="G16" s="142">
        <f>'3 - Areal Extents (Subsurface)'!Q16</f>
        <v>22064.009418769059</v>
      </c>
      <c r="H16" s="142">
        <f>'3 - Areal Extents (Subsurface)'!R16</f>
        <v>3048.4573399845176</v>
      </c>
      <c r="I16" s="143">
        <f>'7- Carbon Export (Per Area)'!I18</f>
        <v>0.44084779747331421</v>
      </c>
      <c r="J16" s="143">
        <f>'7- Carbon Export (Per Area)'!J18</f>
        <v>0.4823576996239341</v>
      </c>
      <c r="K16" s="68">
        <f t="shared" si="10"/>
        <v>82105.15878668784</v>
      </c>
      <c r="L16" s="68">
        <f t="shared" si="10"/>
        <v>32349.432561955007</v>
      </c>
      <c r="M16" s="68">
        <f t="shared" si="10"/>
        <v>8497.8839344221906</v>
      </c>
      <c r="N16" s="68">
        <f t="shared" si="10"/>
        <v>1174.1037706496361</v>
      </c>
      <c r="O16" s="68">
        <f t="shared" si="11"/>
        <v>572713.54513252573</v>
      </c>
      <c r="P16" s="68">
        <f t="shared" si="11"/>
        <v>225649.13678221512</v>
      </c>
      <c r="Q16" s="68">
        <f t="shared" si="11"/>
        <v>59275.851921216403</v>
      </c>
      <c r="R16" s="68">
        <f t="shared" si="11"/>
        <v>8189.8036953951178</v>
      </c>
      <c r="S16" s="68">
        <f t="shared" ref="S16:S19" si="13">E16*$I16</f>
        <v>93979.419861785515</v>
      </c>
      <c r="T16" s="68">
        <f t="shared" si="3"/>
        <v>37027.891425543487</v>
      </c>
      <c r="U16" s="68">
        <f t="shared" si="12"/>
        <v>9726.8699556947995</v>
      </c>
      <c r="V16" s="68">
        <f t="shared" si="3"/>
        <v>1343.9057040235327</v>
      </c>
    </row>
    <row r="17" spans="1:22" ht="15.75" x14ac:dyDescent="0.25">
      <c r="A17" s="55" t="s">
        <v>4</v>
      </c>
      <c r="B17" s="144" t="s">
        <v>15</v>
      </c>
      <c r="C17" s="141" t="s">
        <v>44</v>
      </c>
      <c r="D17" s="142">
        <f>'3 - Areal Extents (Subsurface)'!N17</f>
        <v>300868.72466798697</v>
      </c>
      <c r="E17" s="142">
        <f>'3 - Areal Extents (Subsurface)'!O17</f>
        <v>92390.816287581998</v>
      </c>
      <c r="F17" s="142">
        <f>'3 - Areal Extents (Subsurface)'!P17</f>
        <v>36401.981617307305</v>
      </c>
      <c r="G17" s="142">
        <f>'3 - Areal Extents (Subsurface)'!Q17</f>
        <v>9562.4494857647369</v>
      </c>
      <c r="H17" s="142">
        <f>'3 - Areal Extents (Subsurface)'!R17</f>
        <v>1321.1886729124226</v>
      </c>
      <c r="I17" s="143">
        <f>'7- Carbon Export (Per Area)'!I19</f>
        <v>0.22649342756704788</v>
      </c>
      <c r="J17" s="143">
        <f>'7- Carbon Export (Per Area)'!J19</f>
        <v>7.5497507076804832E-2</v>
      </c>
      <c r="K17" s="68">
        <f t="shared" si="10"/>
        <v>35584.032734799155</v>
      </c>
      <c r="L17" s="68">
        <f t="shared" si="10"/>
        <v>14020.108897510867</v>
      </c>
      <c r="M17" s="68">
        <f t="shared" si="10"/>
        <v>3682.947388051713</v>
      </c>
      <c r="N17" s="68">
        <f t="shared" si="10"/>
        <v>508.85166810762797</v>
      </c>
      <c r="O17" s="68">
        <f t="shared" si="11"/>
        <v>248211.65732844186</v>
      </c>
      <c r="P17" s="68">
        <f t="shared" si="11"/>
        <v>97795.392987406085</v>
      </c>
      <c r="Q17" s="68">
        <f t="shared" si="11"/>
        <v>25689.906533493733</v>
      </c>
      <c r="R17" s="68">
        <f t="shared" si="11"/>
        <v>3549.4266997967184</v>
      </c>
      <c r="S17" s="68">
        <f t="shared" si="13"/>
        <v>20925.912656691882</v>
      </c>
      <c r="T17" s="68">
        <f t="shared" si="3"/>
        <v>8244.809586736601</v>
      </c>
      <c r="U17" s="68">
        <f t="shared" si="12"/>
        <v>2165.8319599676097</v>
      </c>
      <c r="V17" s="68">
        <f t="shared" si="3"/>
        <v>299.24055099069392</v>
      </c>
    </row>
    <row r="18" spans="1:22" ht="15.75" x14ac:dyDescent="0.25">
      <c r="A18" s="55" t="s">
        <v>4</v>
      </c>
      <c r="B18" s="140" t="s">
        <v>17</v>
      </c>
      <c r="C18" s="141" t="s">
        <v>17</v>
      </c>
      <c r="D18" s="142">
        <f>'3 - Areal Extents (Subsurface)'!N18</f>
        <v>418966.111924114</v>
      </c>
      <c r="E18" s="142">
        <f>'3 - Areal Extents (Subsurface)'!O18</f>
        <v>128656.18093146392</v>
      </c>
      <c r="F18" s="142">
        <f>'3 - Areal Extents (Subsurface)'!P18</f>
        <v>50690.535286996783</v>
      </c>
      <c r="G18" s="142">
        <f>'3 - Areal Extents (Subsurface)'!Q18</f>
        <v>13315.914726406516</v>
      </c>
      <c r="H18" s="142">
        <f>'3 - Areal Extents (Subsurface)'!R18</f>
        <v>1839.7833873199343</v>
      </c>
      <c r="I18" s="143">
        <f>'7- Carbon Export (Per Area)'!I20</f>
        <v>0.24298921061198889</v>
      </c>
      <c r="J18" s="143">
        <f>'7- Carbon Export (Per Area)'!J20</f>
        <v>9.124386304104222E-2</v>
      </c>
      <c r="K18" s="68">
        <f t="shared" si="10"/>
        <v>49551.524034048241</v>
      </c>
      <c r="L18" s="68">
        <f t="shared" si="10"/>
        <v>19523.300469415008</v>
      </c>
      <c r="M18" s="68">
        <f t="shared" si="10"/>
        <v>5128.5827375239933</v>
      </c>
      <c r="N18" s="68">
        <f t="shared" si="10"/>
        <v>708.58679368688991</v>
      </c>
      <c r="O18" s="68">
        <f t="shared" si="11"/>
        <v>345640.02330217208</v>
      </c>
      <c r="P18" s="68">
        <f t="shared" si="11"/>
        <v>136182.16918105577</v>
      </c>
      <c r="Q18" s="68">
        <f t="shared" si="11"/>
        <v>35773.742411774809</v>
      </c>
      <c r="R18" s="68">
        <f t="shared" si="11"/>
        <v>4942.6523332210609</v>
      </c>
      <c r="S18" s="68">
        <f t="shared" si="13"/>
        <v>31262.063844889635</v>
      </c>
      <c r="T18" s="68">
        <f t="shared" si="3"/>
        <v>12317.253154886515</v>
      </c>
      <c r="U18" s="68">
        <f t="shared" si="12"/>
        <v>3235.6236079460773</v>
      </c>
      <c r="V18" s="68">
        <f t="shared" si="3"/>
        <v>447.04751298192184</v>
      </c>
    </row>
    <row r="19" spans="1:22" ht="31.5" x14ac:dyDescent="0.25">
      <c r="A19" s="55" t="s">
        <v>4</v>
      </c>
      <c r="B19" s="144" t="s">
        <v>15</v>
      </c>
      <c r="C19" s="141" t="s">
        <v>50</v>
      </c>
      <c r="D19" s="142">
        <f>'3 - Areal Extents (Subsurface)'!N19</f>
        <v>124462.933458153</v>
      </c>
      <c r="E19" s="142">
        <f>'3 - Areal Extents (Subsurface)'!O19</f>
        <v>38220.097593843719</v>
      </c>
      <c r="F19" s="142">
        <f>'3 - Areal Extents (Subsurface)'!P19</f>
        <v>15058.718451974424</v>
      </c>
      <c r="G19" s="142">
        <f>'3 - Areal Extents (Subsurface)'!Q19</f>
        <v>3955.7801009628247</v>
      </c>
      <c r="H19" s="142">
        <f>'3 - Areal Extents (Subsurface)'!R19</f>
        <v>546.54739559196514</v>
      </c>
      <c r="I19" s="143">
        <f>'7- Carbon Export (Per Area)'!I21</f>
        <v>0.39735246699663412</v>
      </c>
      <c r="J19" s="143">
        <f>'7- Carbon Export (Per Area)'!J21</f>
        <v>0.2097520170374223</v>
      </c>
      <c r="K19" s="68">
        <f t="shared" si="10"/>
        <v>14720.350555982161</v>
      </c>
      <c r="L19" s="68">
        <f t="shared" si="10"/>
        <v>5799.8181190569712</v>
      </c>
      <c r="M19" s="68">
        <f t="shared" si="10"/>
        <v>1523.5562825441536</v>
      </c>
      <c r="N19" s="68">
        <f t="shared" si="10"/>
        <v>210.50101295054489</v>
      </c>
      <c r="O19" s="68">
        <f t="shared" si="11"/>
        <v>102679.83494694829</v>
      </c>
      <c r="P19" s="68">
        <f t="shared" si="11"/>
        <v>40455.854969097629</v>
      </c>
      <c r="Q19" s="68">
        <f t="shared" si="11"/>
        <v>10627.362917009148</v>
      </c>
      <c r="R19" s="68">
        <f t="shared" si="11"/>
        <v>1468.3216397413605</v>
      </c>
      <c r="S19" s="68">
        <f t="shared" si="13"/>
        <v>15186.850067765921</v>
      </c>
      <c r="T19" s="68">
        <f t="shared" si="3"/>
        <v>5983.6189266997726</v>
      </c>
      <c r="U19" s="68">
        <f t="shared" si="12"/>
        <v>1571.8389820137727</v>
      </c>
      <c r="V19" s="68">
        <f t="shared" si="3"/>
        <v>217.17195596905268</v>
      </c>
    </row>
    <row r="20" spans="1:22" ht="36.6" customHeight="1" x14ac:dyDescent="0.3">
      <c r="A20" s="246" t="s">
        <v>89</v>
      </c>
      <c r="B20" s="246"/>
      <c r="C20" s="246"/>
      <c r="D20" s="274" t="s">
        <v>210</v>
      </c>
      <c r="E20" s="275"/>
      <c r="F20" s="275"/>
      <c r="G20" s="275"/>
      <c r="H20" s="276"/>
      <c r="I20" s="274" t="s">
        <v>166</v>
      </c>
      <c r="J20" s="276"/>
      <c r="K20" s="277" t="s">
        <v>95</v>
      </c>
      <c r="L20" s="277"/>
      <c r="M20" s="277"/>
      <c r="N20" s="277"/>
      <c r="O20" s="277"/>
      <c r="P20" s="277"/>
      <c r="Q20" s="277"/>
      <c r="R20" s="277"/>
      <c r="S20" s="277"/>
      <c r="T20" s="277"/>
      <c r="U20" s="277"/>
      <c r="V20" s="277"/>
    </row>
    <row r="21" spans="1:22" ht="36.6" customHeight="1" x14ac:dyDescent="0.3">
      <c r="A21" s="278" t="s">
        <v>209</v>
      </c>
      <c r="B21" s="279"/>
      <c r="C21" s="279"/>
      <c r="D21" s="279"/>
      <c r="E21" s="279"/>
      <c r="F21" s="279"/>
      <c r="G21" s="279"/>
      <c r="H21" s="279"/>
      <c r="I21" s="279"/>
      <c r="J21" s="279"/>
      <c r="K21" s="279"/>
      <c r="L21" s="279"/>
      <c r="M21" s="279"/>
      <c r="N21" s="279"/>
      <c r="O21" s="279"/>
      <c r="P21" s="279"/>
      <c r="Q21" s="279"/>
      <c r="R21" s="279"/>
      <c r="S21" s="279"/>
      <c r="T21" s="279"/>
      <c r="U21" s="279"/>
      <c r="V21" s="280"/>
    </row>
    <row r="22" spans="1:22" ht="156" customHeight="1" x14ac:dyDescent="0.25">
      <c r="A22" s="39" t="s">
        <v>80</v>
      </c>
      <c r="B22" s="39" t="s">
        <v>56</v>
      </c>
      <c r="C22" s="40" t="s">
        <v>55</v>
      </c>
      <c r="D22" s="132" t="s">
        <v>187</v>
      </c>
      <c r="E22" s="224" t="s">
        <v>201</v>
      </c>
      <c r="F22" s="224" t="s">
        <v>218</v>
      </c>
      <c r="G22" s="224" t="s">
        <v>212</v>
      </c>
      <c r="H22" s="224" t="s">
        <v>200</v>
      </c>
      <c r="I22" s="79" t="s">
        <v>189</v>
      </c>
      <c r="J22" s="79" t="s">
        <v>190</v>
      </c>
      <c r="K22" s="79" t="s">
        <v>128</v>
      </c>
      <c r="L22" s="79" t="s">
        <v>220</v>
      </c>
      <c r="M22" s="79" t="s">
        <v>129</v>
      </c>
      <c r="N22" s="79" t="s">
        <v>130</v>
      </c>
      <c r="O22" s="79" t="s">
        <v>131</v>
      </c>
      <c r="P22" s="79" t="s">
        <v>221</v>
      </c>
      <c r="Q22" s="79" t="s">
        <v>132</v>
      </c>
      <c r="R22" s="79" t="s">
        <v>133</v>
      </c>
      <c r="S22" s="79" t="s">
        <v>138</v>
      </c>
      <c r="T22" s="79" t="s">
        <v>222</v>
      </c>
      <c r="U22" s="79" t="s">
        <v>139</v>
      </c>
      <c r="V22" s="79" t="s">
        <v>140</v>
      </c>
    </row>
    <row r="23" spans="1:22" ht="31.5" x14ac:dyDescent="0.25">
      <c r="A23" s="54" t="s">
        <v>191</v>
      </c>
      <c r="B23" s="51" t="s">
        <v>7</v>
      </c>
      <c r="C23" s="137" t="s">
        <v>53</v>
      </c>
      <c r="D23" s="138">
        <f>'4 - Areal Extents (Surface)'!D21</f>
        <v>196379.46097287</v>
      </c>
      <c r="E23" s="138">
        <f>'4 - Areal Extents (Surface)'!D21</f>
        <v>196379.46097287</v>
      </c>
      <c r="F23" s="138">
        <f>'4 - Areal Extents (Surface)'!E21</f>
        <v>89711.765858632803</v>
      </c>
      <c r="G23" s="138">
        <f>'4 - Areal Extents (Surface)'!F21</f>
        <v>13421.130000000001</v>
      </c>
      <c r="H23" s="138">
        <f>'4 - Areal Extents (Surface)'!G21</f>
        <v>3470.5547999999999</v>
      </c>
      <c r="I23" s="139">
        <f>'7- Carbon Export (Per Area)'!I10</f>
        <v>1.1862624109235853</v>
      </c>
      <c r="J23" s="139">
        <f>'7- Carbon Export (Per Area)'!J10</f>
        <v>0.74009762491346531</v>
      </c>
      <c r="K23" s="66">
        <f>E23*$B$30</f>
        <v>185884.29054961709</v>
      </c>
      <c r="L23" s="66">
        <f>F23*$B$30</f>
        <v>84917.271225676319</v>
      </c>
      <c r="M23" s="66">
        <f>G23*$B$30</f>
        <v>12703.860251296028</v>
      </c>
      <c r="N23" s="66">
        <f>H23*$B$30</f>
        <v>3285.0768283791772</v>
      </c>
      <c r="O23" s="66">
        <f>E23*$C$30</f>
        <v>1045230.5106842607</v>
      </c>
      <c r="P23" s="66">
        <f>F23*$C$30</f>
        <v>477491.25279328437</v>
      </c>
      <c r="Q23" s="66">
        <f>G23*$C$30</f>
        <v>71434.02112605788</v>
      </c>
      <c r="R23" s="66">
        <f>H23*$C$30</f>
        <v>18472.042585262308</v>
      </c>
      <c r="S23" s="66">
        <f>E23*$I23</f>
        <v>232957.57282955089</v>
      </c>
      <c r="T23" s="66">
        <f>F23*$I23</f>
        <v>106421.69565567393</v>
      </c>
      <c r="U23" s="66">
        <f>G23*$I23</f>
        <v>15920.98203111886</v>
      </c>
      <c r="V23" s="66">
        <f>H23*$I23</f>
        <v>4116.9887042904211</v>
      </c>
    </row>
    <row r="24" spans="1:22" ht="47.25" x14ac:dyDescent="0.25">
      <c r="A24" s="54" t="s">
        <v>191</v>
      </c>
      <c r="B24" s="51" t="s">
        <v>8</v>
      </c>
      <c r="C24" s="137" t="s">
        <v>52</v>
      </c>
      <c r="D24" s="138">
        <f>'4 - Areal Extents (Surface)'!D22</f>
        <v>42696.312411252402</v>
      </c>
      <c r="E24" s="138">
        <f>'4 - Areal Extents (Surface)'!D22</f>
        <v>42696.312411252402</v>
      </c>
      <c r="F24" s="138">
        <f>'4 - Areal Extents (Surface)'!E22</f>
        <v>4003.2213400187402</v>
      </c>
      <c r="G24" s="138">
        <f>'4 - Areal Extents (Surface)'!F22</f>
        <v>2073.7199999999998</v>
      </c>
      <c r="H24" s="138">
        <f>'4 - Areal Extents (Surface)'!G22</f>
        <v>1032.0681</v>
      </c>
      <c r="I24" s="139">
        <f>'7- Carbon Export (Per Area)'!I11</f>
        <v>0.53462078672209623</v>
      </c>
      <c r="J24" s="139">
        <f>'7- Carbon Export (Per Area)'!J11</f>
        <v>0.34096131946292657</v>
      </c>
      <c r="K24" s="66">
        <f>E24*$B$30</f>
        <v>40414.47971357304</v>
      </c>
      <c r="L24" s="66">
        <f>F24*$B$30</f>
        <v>3789.2758999133521</v>
      </c>
      <c r="M24" s="66">
        <f t="shared" ref="M24:M25" si="14">G24*$B$30</f>
        <v>1962.8935179316193</v>
      </c>
      <c r="N24" s="66">
        <f>H24*$B$30</f>
        <v>976.91095401211464</v>
      </c>
      <c r="O24" s="66">
        <f>E24*$C$30</f>
        <v>227251.30319057865</v>
      </c>
      <c r="P24" s="66">
        <f t="shared" ref="P24:P25" si="15">F24*$C$30</f>
        <v>21307.162494900531</v>
      </c>
      <c r="Q24" s="66">
        <f t="shared" ref="Q24:Q25" si="16">G24*$C$30</f>
        <v>11037.38346097003</v>
      </c>
      <c r="R24" s="66">
        <f>H24*$C$30</f>
        <v>5493.1868224903865</v>
      </c>
      <c r="S24" s="66">
        <f>E24*$I24</f>
        <v>22826.336131436161</v>
      </c>
      <c r="T24" s="66">
        <f t="shared" ref="T24:T25" si="17">F24*$I24</f>
        <v>2140.2053422235031</v>
      </c>
      <c r="U24" s="66">
        <f t="shared" ref="U24:U25" si="18">G24*$I24</f>
        <v>1108.6538178413452</v>
      </c>
      <c r="V24" s="66">
        <f>H24*$I24</f>
        <v>551.76505957277902</v>
      </c>
    </row>
    <row r="25" spans="1:22" ht="31.5" x14ac:dyDescent="0.25">
      <c r="A25" s="54" t="s">
        <v>192</v>
      </c>
      <c r="B25" s="51" t="s">
        <v>9</v>
      </c>
      <c r="C25" s="137" t="s">
        <v>54</v>
      </c>
      <c r="D25" s="138">
        <f>'4 - Areal Extents (Surface)'!D23</f>
        <v>50858.357335237102</v>
      </c>
      <c r="E25" s="138">
        <f>'4 - Areal Extents (Surface)'!D23</f>
        <v>50858.357335237102</v>
      </c>
      <c r="F25" s="138">
        <f>'4 - Areal Extents (Surface)'!E23</f>
        <v>5695.9851339167599</v>
      </c>
      <c r="G25" s="138">
        <f>'4 - Areal Extents (Surface)'!F23</f>
        <v>2209.12</v>
      </c>
      <c r="H25" s="138">
        <f>'4 - Areal Extents (Surface)'!G23</f>
        <v>106.6326</v>
      </c>
      <c r="I25" s="139">
        <f>'7- Carbon Export (Per Area)'!I12</f>
        <v>1.7891814143849987</v>
      </c>
      <c r="J25" s="139">
        <f>'7- Carbon Export (Per Area)'!J12</f>
        <v>0.83725872533906087</v>
      </c>
      <c r="K25" s="66">
        <f>E25*$B$30</f>
        <v>48140.317856792113</v>
      </c>
      <c r="L25" s="66">
        <f>F25*$B$30</f>
        <v>5391.5727762668421</v>
      </c>
      <c r="M25" s="66">
        <f t="shared" si="14"/>
        <v>2091.0572923697987</v>
      </c>
      <c r="N25" s="66">
        <f>H25*$B$30</f>
        <v>100.93379980913296</v>
      </c>
      <c r="O25" s="66">
        <f>E25*$C$30</f>
        <v>270693.82178117096</v>
      </c>
      <c r="P25" s="66">
        <f t="shared" si="15"/>
        <v>30316.904939444099</v>
      </c>
      <c r="Q25" s="66">
        <f t="shared" si="16"/>
        <v>11758.050533002583</v>
      </c>
      <c r="R25" s="66">
        <f>H25*$C$30</f>
        <v>567.55246399718044</v>
      </c>
      <c r="S25" s="66">
        <f>E25*$I25</f>
        <v>90994.827710357189</v>
      </c>
      <c r="T25" s="66">
        <f t="shared" si="17"/>
        <v>10191.150738217115</v>
      </c>
      <c r="U25" s="66">
        <f t="shared" si="18"/>
        <v>3952.5164461461882</v>
      </c>
      <c r="V25" s="66">
        <f>H25*$I25</f>
        <v>190.78506608754981</v>
      </c>
    </row>
    <row r="27" spans="1:22" ht="55.7" customHeight="1" x14ac:dyDescent="0.3">
      <c r="A27" s="43" t="s">
        <v>89</v>
      </c>
      <c r="B27" s="80" t="s">
        <v>123</v>
      </c>
      <c r="C27" s="80" t="s">
        <v>101</v>
      </c>
      <c r="D27" s="77" t="s">
        <v>127</v>
      </c>
    </row>
    <row r="28" spans="1:22" ht="112.7" customHeight="1" x14ac:dyDescent="0.25">
      <c r="A28" s="38"/>
      <c r="B28" s="40" t="s">
        <v>122</v>
      </c>
      <c r="C28" s="42" t="s">
        <v>108</v>
      </c>
      <c r="D28" s="79" t="s">
        <v>124</v>
      </c>
      <c r="J28" s="39" t="s">
        <v>80</v>
      </c>
      <c r="K28" s="79" t="s">
        <v>128</v>
      </c>
      <c r="L28" s="79" t="s">
        <v>220</v>
      </c>
      <c r="M28" s="79" t="s">
        <v>129</v>
      </c>
      <c r="N28" s="79" t="s">
        <v>130</v>
      </c>
      <c r="O28" s="79" t="s">
        <v>141</v>
      </c>
      <c r="P28" s="79" t="s">
        <v>223</v>
      </c>
      <c r="Q28" s="79" t="s">
        <v>142</v>
      </c>
      <c r="R28" s="79" t="s">
        <v>143</v>
      </c>
      <c r="S28" s="79" t="s">
        <v>152</v>
      </c>
      <c r="T28" s="79" t="s">
        <v>224</v>
      </c>
      <c r="U28" s="79" t="s">
        <v>153</v>
      </c>
      <c r="V28" s="79" t="s">
        <v>154</v>
      </c>
    </row>
    <row r="29" spans="1:22" ht="18.75" x14ac:dyDescent="0.3">
      <c r="A29" s="33" t="s">
        <v>0</v>
      </c>
      <c r="B29" s="64">
        <f>'5 - Standing Stocks (Per Area)'!B32</f>
        <v>0.77223598158343498</v>
      </c>
      <c r="C29" s="64">
        <f>'6 - Carbon Prod (Per Area)'!B31</f>
        <v>1.2776931798708895</v>
      </c>
      <c r="D29" s="64">
        <f>'7- Carbon Export (Per Area)'!D34</f>
        <v>0.11226012189091447</v>
      </c>
      <c r="J29" s="53" t="s">
        <v>11</v>
      </c>
      <c r="K29" s="11">
        <f t="shared" ref="K29:V29" si="19">SUM(K6:K10)</f>
        <v>3510573.6777166175</v>
      </c>
      <c r="L29" s="11">
        <f t="shared" si="19"/>
        <v>2467409.7888337178</v>
      </c>
      <c r="M29" s="11">
        <f t="shared" si="19"/>
        <v>1264943.5518897935</v>
      </c>
      <c r="N29" s="11">
        <f t="shared" si="19"/>
        <v>580861.36838534835</v>
      </c>
      <c r="O29" s="11">
        <f t="shared" si="19"/>
        <v>5808374.8393277461</v>
      </c>
      <c r="P29" s="11">
        <f t="shared" si="19"/>
        <v>4082421.3508871528</v>
      </c>
      <c r="Q29" s="11">
        <f t="shared" si="19"/>
        <v>2092896.1971666778</v>
      </c>
      <c r="R29" s="11">
        <f t="shared" si="19"/>
        <v>961056.75795455801</v>
      </c>
      <c r="S29" s="11">
        <f t="shared" si="19"/>
        <v>158767.28369793447</v>
      </c>
      <c r="T29" s="11">
        <f t="shared" si="19"/>
        <v>111589.72461664031</v>
      </c>
      <c r="U29" s="11">
        <f t="shared" si="19"/>
        <v>57207.644733263842</v>
      </c>
      <c r="V29" s="11">
        <f t="shared" si="19"/>
        <v>26269.7183223885</v>
      </c>
    </row>
    <row r="30" spans="1:22" ht="18.75" x14ac:dyDescent="0.3">
      <c r="A30" s="35" t="s">
        <v>171</v>
      </c>
      <c r="B30" s="66">
        <f>'5 - Standing Stocks (Per Area)'!B33</f>
        <v>0.94655667975021673</v>
      </c>
      <c r="C30" s="66">
        <f>'6 - Carbon Prod (Per Area)'!B32</f>
        <v>5.3225042247603493</v>
      </c>
      <c r="D30" s="66">
        <f>'7- Carbon Export (Per Area)'!D35</f>
        <v>1.1700215373435601</v>
      </c>
      <c r="J30" s="54" t="s">
        <v>171</v>
      </c>
      <c r="K30" s="11">
        <f t="shared" ref="K30:V30" si="20">SUM(K23:K25)</f>
        <v>274439.08811998222</v>
      </c>
      <c r="L30" s="11">
        <f t="shared" si="20"/>
        <v>94098.119901856509</v>
      </c>
      <c r="M30" s="11">
        <f t="shared" si="20"/>
        <v>16757.811061597447</v>
      </c>
      <c r="N30" s="11">
        <f t="shared" si="20"/>
        <v>4362.9215822004253</v>
      </c>
      <c r="O30" s="11">
        <f t="shared" si="20"/>
        <v>1543175.6356560104</v>
      </c>
      <c r="P30" s="11">
        <f t="shared" si="20"/>
        <v>529115.32022762904</v>
      </c>
      <c r="Q30" s="11">
        <f t="shared" si="20"/>
        <v>94229.455120030485</v>
      </c>
      <c r="R30" s="11">
        <f t="shared" si="20"/>
        <v>24532.781871749878</v>
      </c>
      <c r="S30" s="11">
        <f t="shared" si="20"/>
        <v>346778.73667134426</v>
      </c>
      <c r="T30" s="11">
        <f t="shared" si="20"/>
        <v>118753.05173611455</v>
      </c>
      <c r="U30" s="11">
        <f t="shared" si="20"/>
        <v>20982.152295106396</v>
      </c>
      <c r="V30" s="11">
        <f t="shared" si="20"/>
        <v>4859.5388299507504</v>
      </c>
    </row>
    <row r="31" spans="1:22" ht="18.75" x14ac:dyDescent="0.3">
      <c r="A31" s="35" t="s">
        <v>168</v>
      </c>
      <c r="B31" s="66">
        <f>'5 - Standing Stocks (Per Area)'!B34</f>
        <v>0.26123243080296532</v>
      </c>
      <c r="C31" s="66">
        <f>'6 - Carbon Prod (Per Area)'!B33</f>
        <v>1.4096604285778154</v>
      </c>
      <c r="D31" s="66">
        <f>'7- Carbon Export (Per Area)'!D36</f>
        <v>0.30987914562928504</v>
      </c>
      <c r="J31" s="54" t="s">
        <v>168</v>
      </c>
      <c r="K31" s="11">
        <f t="shared" ref="K31:V31" si="21">SUM(K11:K13)</f>
        <v>127505.25832252609</v>
      </c>
      <c r="L31" s="11">
        <f t="shared" si="21"/>
        <v>49217.029712495074</v>
      </c>
      <c r="M31" s="11">
        <f t="shared" si="21"/>
        <v>22950.946498054698</v>
      </c>
      <c r="N31" s="11">
        <f t="shared" si="21"/>
        <v>5737.7366245136745</v>
      </c>
      <c r="O31" s="11">
        <f t="shared" si="21"/>
        <v>688042.89168991242</v>
      </c>
      <c r="P31" s="11">
        <f t="shared" si="21"/>
        <v>265584.55619230622</v>
      </c>
      <c r="Q31" s="11">
        <f t="shared" si="21"/>
        <v>123847.72050418422</v>
      </c>
      <c r="R31" s="11">
        <f t="shared" si="21"/>
        <v>30961.930126046056</v>
      </c>
      <c r="S31" s="11">
        <f t="shared" si="21"/>
        <v>151388.98660656816</v>
      </c>
      <c r="T31" s="11">
        <f t="shared" si="21"/>
        <v>58436.148830135309</v>
      </c>
      <c r="U31" s="11">
        <f t="shared" si="21"/>
        <v>27250.017589182269</v>
      </c>
      <c r="V31" s="11">
        <f t="shared" si="21"/>
        <v>6812.5043972955673</v>
      </c>
    </row>
    <row r="32" spans="1:22" ht="18.75" x14ac:dyDescent="0.3">
      <c r="A32" s="36" t="s">
        <v>4</v>
      </c>
      <c r="B32" s="68">
        <f>'5 - Standing Stocks (Per Area)'!B35</f>
        <v>0.38514685944583338</v>
      </c>
      <c r="C32" s="68">
        <f>'6 - Carbon Prod (Per Area)'!B34</f>
        <v>2.6865403651791668</v>
      </c>
      <c r="D32" s="68">
        <f>'7- Carbon Export (Per Area)'!D37</f>
        <v>0.28248785344200822</v>
      </c>
      <c r="J32" s="55" t="s">
        <v>4</v>
      </c>
      <c r="K32" s="11">
        <f t="shared" ref="K32:V32" si="22">SUM(K14:K19)</f>
        <v>503640.54362010036</v>
      </c>
      <c r="L32" s="11">
        <f t="shared" si="22"/>
        <v>198434.3741863195</v>
      </c>
      <c r="M32" s="11">
        <f t="shared" si="22"/>
        <v>52126.796264680386</v>
      </c>
      <c r="N32" s="11">
        <f t="shared" si="22"/>
        <v>7202.0597737674352</v>
      </c>
      <c r="O32" s="11">
        <f t="shared" si="22"/>
        <v>3513077.1984562166</v>
      </c>
      <c r="P32" s="11">
        <f t="shared" si="22"/>
        <v>1384152.4161917493</v>
      </c>
      <c r="Q32" s="11">
        <f t="shared" si="22"/>
        <v>363603.4900402184</v>
      </c>
      <c r="R32" s="11">
        <f t="shared" si="22"/>
        <v>50237.003937923902</v>
      </c>
      <c r="S32" s="11">
        <f t="shared" si="22"/>
        <v>344457.29181872564</v>
      </c>
      <c r="T32" s="11">
        <f t="shared" si="22"/>
        <v>135716.17297657792</v>
      </c>
      <c r="U32" s="11">
        <f t="shared" si="22"/>
        <v>35651.329703238109</v>
      </c>
      <c r="V32" s="11">
        <f t="shared" si="22"/>
        <v>4925.7392730077772</v>
      </c>
    </row>
    <row r="33" spans="1:23" ht="18.75" x14ac:dyDescent="0.3">
      <c r="A33" s="75" t="s">
        <v>21</v>
      </c>
      <c r="B33" s="8">
        <f>'7- Carbon Export (Per Area)'!B29</f>
        <v>0.78839065052748347</v>
      </c>
      <c r="C33" s="8">
        <f>'7- Carbon Export (Per Area)'!C29</f>
        <v>3.5654660661294066</v>
      </c>
      <c r="D33" s="8">
        <f>'7- Carbon Export (Per Area)'!D38</f>
        <v>0.62488288610192255</v>
      </c>
      <c r="J33" s="75" t="s">
        <v>21</v>
      </c>
      <c r="K33" s="8">
        <f t="shared" ref="K33:U33" si="23">SUM(K29:K32)</f>
        <v>4416158.5677792262</v>
      </c>
      <c r="L33" s="8">
        <f t="shared" si="23"/>
        <v>2809159.3126343885</v>
      </c>
      <c r="M33" s="8">
        <f t="shared" si="23"/>
        <v>1356779.105714126</v>
      </c>
      <c r="N33" s="8">
        <f t="shared" si="23"/>
        <v>598164.08636582992</v>
      </c>
      <c r="O33" s="8">
        <f>SUM(O29:O32)</f>
        <v>11552670.565129885</v>
      </c>
      <c r="P33" s="8">
        <f t="shared" si="23"/>
        <v>6261273.643498837</v>
      </c>
      <c r="Q33" s="8">
        <f t="shared" si="23"/>
        <v>2674576.8628311111</v>
      </c>
      <c r="R33" s="8">
        <f t="shared" si="23"/>
        <v>1066788.4738902778</v>
      </c>
      <c r="S33" s="8">
        <f>SUM(S29:S32)</f>
        <v>1001392.2987945725</v>
      </c>
      <c r="T33" s="8">
        <f t="shared" si="23"/>
        <v>424495.09815946803</v>
      </c>
      <c r="U33" s="8">
        <f t="shared" si="23"/>
        <v>141091.1443207906</v>
      </c>
      <c r="V33" s="8">
        <f>SUM(V29:V32)</f>
        <v>42867.500822642593</v>
      </c>
    </row>
    <row r="34" spans="1:23" ht="18.75" x14ac:dyDescent="0.3">
      <c r="J34" s="75"/>
      <c r="K34" s="8"/>
      <c r="L34" s="8"/>
      <c r="M34" s="8"/>
      <c r="N34" s="8"/>
      <c r="O34" s="8"/>
      <c r="P34" s="8"/>
      <c r="Q34" s="8"/>
      <c r="R34" s="8"/>
      <c r="S34" s="8"/>
      <c r="T34" s="8"/>
      <c r="U34" s="8"/>
      <c r="V34" s="8"/>
    </row>
    <row r="35" spans="1:23" ht="80.45" customHeight="1" x14ac:dyDescent="0.25">
      <c r="J35" s="39" t="s">
        <v>80</v>
      </c>
      <c r="K35" s="79" t="s">
        <v>134</v>
      </c>
      <c r="L35" s="79" t="s">
        <v>225</v>
      </c>
      <c r="M35" s="79" t="s">
        <v>126</v>
      </c>
      <c r="N35" s="79" t="s">
        <v>125</v>
      </c>
      <c r="O35" s="79" t="s">
        <v>144</v>
      </c>
      <c r="P35" s="79" t="s">
        <v>226</v>
      </c>
      <c r="Q35" s="79" t="s">
        <v>145</v>
      </c>
      <c r="R35" s="79" t="s">
        <v>146</v>
      </c>
      <c r="S35" s="79" t="s">
        <v>155</v>
      </c>
      <c r="T35" s="79" t="s">
        <v>227</v>
      </c>
      <c r="U35" s="79" t="s">
        <v>156</v>
      </c>
      <c r="V35" s="79" t="s">
        <v>157</v>
      </c>
    </row>
    <row r="36" spans="1:23" ht="15.75" x14ac:dyDescent="0.25">
      <c r="J36" s="53" t="s">
        <v>11</v>
      </c>
      <c r="K36" s="11">
        <f>K29*(1/1000000)</f>
        <v>3.5105736777166174</v>
      </c>
      <c r="L36" s="11">
        <f t="shared" ref="L36:U36" si="24">L29*(1/1000000)</f>
        <v>2.4674097888337179</v>
      </c>
      <c r="M36" s="11">
        <f t="shared" si="24"/>
        <v>1.2649435518897933</v>
      </c>
      <c r="N36" s="11">
        <f t="shared" si="24"/>
        <v>0.5808613683853483</v>
      </c>
      <c r="O36" s="11">
        <f>O29*(1/1000000)</f>
        <v>5.8083748393277457</v>
      </c>
      <c r="P36" s="11">
        <f t="shared" si="24"/>
        <v>4.0824213508871523</v>
      </c>
      <c r="Q36" s="11">
        <f t="shared" si="24"/>
        <v>2.0928961971666777</v>
      </c>
      <c r="R36" s="11">
        <f t="shared" si="24"/>
        <v>0.96105675795455792</v>
      </c>
      <c r="S36" s="11">
        <f t="shared" si="24"/>
        <v>0.15876728369793447</v>
      </c>
      <c r="T36" s="11">
        <f t="shared" si="24"/>
        <v>0.1115897246166403</v>
      </c>
      <c r="U36" s="11">
        <f t="shared" si="24"/>
        <v>5.720764473326384E-2</v>
      </c>
      <c r="V36" s="11">
        <f>V29*(1/1000000)</f>
        <v>2.6269718322388499E-2</v>
      </c>
    </row>
    <row r="37" spans="1:23" ht="15.75" x14ac:dyDescent="0.25">
      <c r="J37" s="54" t="s">
        <v>171</v>
      </c>
      <c r="K37" s="11">
        <f>K30*(1/1000000)</f>
        <v>0.27443908811998219</v>
      </c>
      <c r="L37" s="11">
        <f t="shared" ref="L37:V37" si="25">L30*(1/1000000)</f>
        <v>9.40981199018565E-2</v>
      </c>
      <c r="M37" s="11">
        <f t="shared" si="25"/>
        <v>1.6757811061597447E-2</v>
      </c>
      <c r="N37" s="11">
        <f t="shared" si="25"/>
        <v>4.3629215822004247E-3</v>
      </c>
      <c r="O37" s="11">
        <f t="shared" si="25"/>
        <v>1.5431756356560102</v>
      </c>
      <c r="P37" s="11">
        <f t="shared" si="25"/>
        <v>0.52911532022762897</v>
      </c>
      <c r="Q37" s="11">
        <f t="shared" si="25"/>
        <v>9.4229455120030475E-2</v>
      </c>
      <c r="R37" s="11">
        <f t="shared" si="25"/>
        <v>2.4532781871749877E-2</v>
      </c>
      <c r="S37" s="11">
        <f t="shared" si="25"/>
        <v>0.34677873667134423</v>
      </c>
      <c r="T37" s="11">
        <f t="shared" si="25"/>
        <v>0.11875305173611454</v>
      </c>
      <c r="U37" s="11">
        <f>U30*(1/1000000)</f>
        <v>2.0982152295106395E-2</v>
      </c>
      <c r="V37" s="11">
        <f t="shared" si="25"/>
        <v>4.8595388299507505E-3</v>
      </c>
    </row>
    <row r="38" spans="1:23" ht="15.75" x14ac:dyDescent="0.25">
      <c r="J38" s="54" t="s">
        <v>168</v>
      </c>
      <c r="K38" s="11">
        <f>K31*(1/1000000)</f>
        <v>0.12750525832252607</v>
      </c>
      <c r="L38" s="11">
        <f t="shared" ref="L38:V38" si="26">L31*(1/1000000)</f>
        <v>4.9217029712495072E-2</v>
      </c>
      <c r="M38" s="11">
        <f t="shared" si="26"/>
        <v>2.2950946498054698E-2</v>
      </c>
      <c r="N38" s="11">
        <f t="shared" si="26"/>
        <v>5.7377366245136745E-3</v>
      </c>
      <c r="O38" s="11">
        <f t="shared" si="26"/>
        <v>0.68804289168991239</v>
      </c>
      <c r="P38" s="11">
        <f t="shared" si="26"/>
        <v>0.2655845561923062</v>
      </c>
      <c r="Q38" s="11">
        <f t="shared" si="26"/>
        <v>0.12384772050418422</v>
      </c>
      <c r="R38" s="11">
        <f t="shared" si="26"/>
        <v>3.0961930126046054E-2</v>
      </c>
      <c r="S38" s="11">
        <f t="shared" si="26"/>
        <v>0.15138898660656816</v>
      </c>
      <c r="T38" s="11">
        <f t="shared" si="26"/>
        <v>5.8436148830135308E-2</v>
      </c>
      <c r="U38" s="11">
        <f t="shared" si="26"/>
        <v>2.7250017589182267E-2</v>
      </c>
      <c r="V38" s="11">
        <f t="shared" si="26"/>
        <v>6.8125043972955667E-3</v>
      </c>
    </row>
    <row r="39" spans="1:23" ht="15.75" x14ac:dyDescent="0.25">
      <c r="J39" s="55" t="s">
        <v>4</v>
      </c>
      <c r="K39" s="11">
        <f>K32*(1/1000000)</f>
        <v>0.50364054362010036</v>
      </c>
      <c r="L39" s="11">
        <f t="shared" ref="L39:V39" si="27">L32*(1/1000000)</f>
        <v>0.19843437418631948</v>
      </c>
      <c r="M39" s="11">
        <f t="shared" si="27"/>
        <v>5.2126796264680385E-2</v>
      </c>
      <c r="N39" s="11">
        <f t="shared" si="27"/>
        <v>7.2020597737674349E-3</v>
      </c>
      <c r="O39" s="11">
        <f t="shared" si="27"/>
        <v>3.5130771984562164</v>
      </c>
      <c r="P39" s="11">
        <f t="shared" si="27"/>
        <v>1.3841524161917491</v>
      </c>
      <c r="Q39" s="11">
        <f t="shared" si="27"/>
        <v>0.36360349004021836</v>
      </c>
      <c r="R39" s="11">
        <f t="shared" si="27"/>
        <v>5.0237003937923901E-2</v>
      </c>
      <c r="S39" s="11">
        <f t="shared" si="27"/>
        <v>0.34445729181872564</v>
      </c>
      <c r="T39" s="11">
        <f t="shared" si="27"/>
        <v>0.1357161729765779</v>
      </c>
      <c r="U39" s="11">
        <f t="shared" si="27"/>
        <v>3.5651329703238109E-2</v>
      </c>
      <c r="V39" s="11">
        <f t="shared" si="27"/>
        <v>4.9257392730077771E-3</v>
      </c>
    </row>
    <row r="40" spans="1:23" ht="18.75" x14ac:dyDescent="0.3">
      <c r="J40" s="75" t="s">
        <v>21</v>
      </c>
      <c r="K40" s="8">
        <f t="shared" ref="K40:V40" si="28">SUM(K36:K39)</f>
        <v>4.4161585677792257</v>
      </c>
      <c r="L40" s="8">
        <f t="shared" si="28"/>
        <v>2.8091593126343892</v>
      </c>
      <c r="M40" s="8">
        <f t="shared" si="28"/>
        <v>1.3567791057141256</v>
      </c>
      <c r="N40" s="8">
        <f t="shared" si="28"/>
        <v>0.59816408636582985</v>
      </c>
      <c r="O40" s="8">
        <f t="shared" si="28"/>
        <v>11.552670565129883</v>
      </c>
      <c r="P40" s="8">
        <f t="shared" si="28"/>
        <v>6.2612736434988365</v>
      </c>
      <c r="Q40" s="8">
        <f t="shared" si="28"/>
        <v>2.6745768628311111</v>
      </c>
      <c r="R40" s="8">
        <f t="shared" si="28"/>
        <v>1.0667884738902778</v>
      </c>
      <c r="S40" s="8">
        <f>SUM(S36:S39)</f>
        <v>1.0013922987945727</v>
      </c>
      <c r="T40" s="8">
        <f t="shared" si="28"/>
        <v>0.42449509815946807</v>
      </c>
      <c r="U40" s="8">
        <f t="shared" si="28"/>
        <v>0.14109114432079062</v>
      </c>
      <c r="V40" s="8">
        <f t="shared" si="28"/>
        <v>4.2867500822642589E-2</v>
      </c>
      <c r="W40" s="216"/>
    </row>
    <row r="42" spans="1:23" ht="94.15" customHeight="1" x14ac:dyDescent="0.25">
      <c r="J42" s="39" t="s">
        <v>80</v>
      </c>
      <c r="K42" s="79" t="s">
        <v>135</v>
      </c>
      <c r="L42" s="79" t="s">
        <v>228</v>
      </c>
      <c r="M42" s="79" t="s">
        <v>136</v>
      </c>
      <c r="N42" s="79" t="s">
        <v>137</v>
      </c>
      <c r="O42" s="79" t="s">
        <v>147</v>
      </c>
      <c r="P42" s="79" t="s">
        <v>229</v>
      </c>
      <c r="Q42" s="79" t="s">
        <v>148</v>
      </c>
      <c r="R42" s="79" t="s">
        <v>149</v>
      </c>
      <c r="S42" s="79" t="s">
        <v>158</v>
      </c>
      <c r="T42" s="79" t="s">
        <v>230</v>
      </c>
      <c r="U42" s="79" t="s">
        <v>159</v>
      </c>
      <c r="V42" s="79" t="s">
        <v>160</v>
      </c>
    </row>
    <row r="43" spans="1:23" ht="15.75" x14ac:dyDescent="0.25">
      <c r="J43" s="53" t="s">
        <v>11</v>
      </c>
      <c r="K43" s="11">
        <f t="shared" ref="K43:V43" si="29">K36*3.67</f>
        <v>12.883805397219986</v>
      </c>
      <c r="L43" s="11">
        <f t="shared" si="29"/>
        <v>9.0553939250197448</v>
      </c>
      <c r="M43" s="11">
        <f t="shared" si="29"/>
        <v>4.6423428354355414</v>
      </c>
      <c r="N43" s="11">
        <f t="shared" si="29"/>
        <v>2.1317612219742283</v>
      </c>
      <c r="O43" s="11">
        <f t="shared" si="29"/>
        <v>21.316735660332828</v>
      </c>
      <c r="P43" s="11">
        <f t="shared" si="29"/>
        <v>14.982486357755848</v>
      </c>
      <c r="Q43" s="11">
        <f t="shared" si="29"/>
        <v>7.680929043601707</v>
      </c>
      <c r="R43" s="11">
        <f t="shared" si="29"/>
        <v>3.5270783016932277</v>
      </c>
      <c r="S43" s="11">
        <f t="shared" si="29"/>
        <v>0.58267593117141947</v>
      </c>
      <c r="T43" s="11">
        <f t="shared" si="29"/>
        <v>0.4095342893430699</v>
      </c>
      <c r="U43" s="11">
        <f t="shared" si="29"/>
        <v>0.20995205617107829</v>
      </c>
      <c r="V43" s="11">
        <f t="shared" si="29"/>
        <v>9.640986624316579E-2</v>
      </c>
    </row>
    <row r="44" spans="1:23" ht="15.75" x14ac:dyDescent="0.25">
      <c r="J44" s="54" t="s">
        <v>171</v>
      </c>
      <c r="K44" s="11">
        <f>K37*3.67</f>
        <v>1.0071914534003346</v>
      </c>
      <c r="L44" s="11">
        <f t="shared" ref="L44:V44" si="30">L37*3.67</f>
        <v>0.34534010003981336</v>
      </c>
      <c r="M44" s="11">
        <f t="shared" si="30"/>
        <v>6.1501166596062626E-2</v>
      </c>
      <c r="N44" s="11">
        <f t="shared" si="30"/>
        <v>1.6011922206675556E-2</v>
      </c>
      <c r="O44" s="11">
        <f t="shared" si="30"/>
        <v>5.6634545828575575</v>
      </c>
      <c r="P44" s="11">
        <f t="shared" si="30"/>
        <v>1.9418532252353984</v>
      </c>
      <c r="Q44" s="11">
        <f t="shared" si="30"/>
        <v>0.34582210029051186</v>
      </c>
      <c r="R44" s="11">
        <f t="shared" si="30"/>
        <v>9.0035309469322047E-2</v>
      </c>
      <c r="S44" s="11">
        <f t="shared" si="30"/>
        <v>1.2726779635838332</v>
      </c>
      <c r="T44" s="11">
        <f t="shared" si="30"/>
        <v>0.43582369987154035</v>
      </c>
      <c r="U44" s="11">
        <f>U37*3.67</f>
        <v>7.7004498923040468E-2</v>
      </c>
      <c r="V44" s="11">
        <f t="shared" si="30"/>
        <v>1.7834507505919254E-2</v>
      </c>
      <c r="W44" s="11"/>
    </row>
    <row r="45" spans="1:23" ht="15.75" x14ac:dyDescent="0.25">
      <c r="J45" s="54" t="s">
        <v>168</v>
      </c>
      <c r="K45" s="11">
        <f>K38*3.67</f>
        <v>0.46794429804367066</v>
      </c>
      <c r="L45" s="11">
        <f t="shared" ref="L45:V45" si="31">L38*3.67</f>
        <v>0.18062649904485692</v>
      </c>
      <c r="M45" s="11">
        <f t="shared" si="31"/>
        <v>8.4229973647860737E-2</v>
      </c>
      <c r="N45" s="11">
        <f t="shared" si="31"/>
        <v>2.1057493411965184E-2</v>
      </c>
      <c r="O45" s="11">
        <f t="shared" si="31"/>
        <v>2.5251174125019786</v>
      </c>
      <c r="P45" s="11">
        <f t="shared" si="31"/>
        <v>0.97469532122576374</v>
      </c>
      <c r="Q45" s="11">
        <f t="shared" si="31"/>
        <v>0.45452113425035606</v>
      </c>
      <c r="R45" s="11">
        <f t="shared" si="31"/>
        <v>0.11363028356258902</v>
      </c>
      <c r="S45" s="11">
        <f t="shared" si="31"/>
        <v>0.55559758084610511</v>
      </c>
      <c r="T45" s="11">
        <f t="shared" si="31"/>
        <v>0.21446066620659657</v>
      </c>
      <c r="U45" s="11">
        <f t="shared" si="31"/>
        <v>0.10000756455229892</v>
      </c>
      <c r="V45" s="11">
        <f t="shared" si="31"/>
        <v>2.5001891138074731E-2</v>
      </c>
    </row>
    <row r="46" spans="1:23" ht="15.75" x14ac:dyDescent="0.25">
      <c r="J46" s="55" t="s">
        <v>4</v>
      </c>
      <c r="K46" s="11">
        <f>K39*3.67</f>
        <v>1.8483607950857683</v>
      </c>
      <c r="L46" s="11">
        <f t="shared" ref="L46:V46" si="32">L39*3.67</f>
        <v>0.7282541532637925</v>
      </c>
      <c r="M46" s="11">
        <f t="shared" si="32"/>
        <v>0.191305342291377</v>
      </c>
      <c r="N46" s="11">
        <f t="shared" si="32"/>
        <v>2.6431559369726486E-2</v>
      </c>
      <c r="O46" s="11">
        <f t="shared" si="32"/>
        <v>12.892993318334314</v>
      </c>
      <c r="P46" s="11">
        <f t="shared" si="32"/>
        <v>5.0798393674237188</v>
      </c>
      <c r="Q46" s="11">
        <f t="shared" si="32"/>
        <v>1.3344248084476014</v>
      </c>
      <c r="R46" s="11">
        <f t="shared" si="32"/>
        <v>0.18436980445218071</v>
      </c>
      <c r="S46" s="11">
        <f t="shared" si="32"/>
        <v>1.2641582609747231</v>
      </c>
      <c r="T46" s="11">
        <f t="shared" si="32"/>
        <v>0.49807835482404089</v>
      </c>
      <c r="U46" s="11">
        <f t="shared" si="32"/>
        <v>0.13084038001088386</v>
      </c>
      <c r="V46" s="11">
        <f t="shared" si="32"/>
        <v>1.8077463131938542E-2</v>
      </c>
    </row>
    <row r="47" spans="1:23" ht="18.75" x14ac:dyDescent="0.3">
      <c r="J47" s="75" t="s">
        <v>21</v>
      </c>
      <c r="K47" s="8">
        <f t="shared" ref="K47:V47" si="33">SUM(K43:K46)</f>
        <v>16.207301943749759</v>
      </c>
      <c r="L47" s="8">
        <f t="shared" si="33"/>
        <v>10.309614677368208</v>
      </c>
      <c r="M47" s="8">
        <f t="shared" si="33"/>
        <v>4.9793793179708423</v>
      </c>
      <c r="N47" s="8">
        <f t="shared" si="33"/>
        <v>2.1952621969625961</v>
      </c>
      <c r="O47" s="8">
        <f t="shared" si="33"/>
        <v>42.398300974026675</v>
      </c>
      <c r="P47" s="8">
        <f t="shared" si="33"/>
        <v>22.978874271640727</v>
      </c>
      <c r="Q47" s="8">
        <f t="shared" si="33"/>
        <v>9.8156970865901751</v>
      </c>
      <c r="R47" s="8">
        <f t="shared" si="33"/>
        <v>3.9151136991773194</v>
      </c>
      <c r="S47" s="8">
        <f>SUM(S43:S46)</f>
        <v>3.675109736576081</v>
      </c>
      <c r="T47" s="8">
        <f t="shared" si="33"/>
        <v>1.5578970102452476</v>
      </c>
      <c r="U47" s="8">
        <f>SUM(U43:U46)</f>
        <v>0.51780449965730158</v>
      </c>
      <c r="V47" s="8">
        <f t="shared" si="33"/>
        <v>0.1573237280190983</v>
      </c>
    </row>
    <row r="52" spans="10:22" ht="103.5" customHeight="1" x14ac:dyDescent="0.25">
      <c r="J52" s="39" t="s">
        <v>80</v>
      </c>
      <c r="K52" s="79" t="s">
        <v>134</v>
      </c>
      <c r="L52" s="79" t="s">
        <v>225</v>
      </c>
      <c r="M52" s="79" t="s">
        <v>126</v>
      </c>
      <c r="N52" s="79" t="s">
        <v>125</v>
      </c>
      <c r="O52" s="79" t="s">
        <v>144</v>
      </c>
      <c r="P52" s="79" t="s">
        <v>226</v>
      </c>
      <c r="Q52" s="79" t="s">
        <v>145</v>
      </c>
      <c r="R52" s="79" t="s">
        <v>146</v>
      </c>
      <c r="S52" s="79" t="s">
        <v>155</v>
      </c>
      <c r="T52" s="79" t="s">
        <v>227</v>
      </c>
      <c r="U52" s="79" t="s">
        <v>156</v>
      </c>
      <c r="V52" s="79" t="s">
        <v>157</v>
      </c>
    </row>
    <row r="53" spans="10:22" ht="15.75" x14ac:dyDescent="0.25">
      <c r="J53" s="53" t="s">
        <v>11</v>
      </c>
      <c r="K53" s="11">
        <f>K36</f>
        <v>3.5105736777166174</v>
      </c>
      <c r="L53" s="11">
        <f t="shared" ref="L53:V53" si="34">L36</f>
        <v>2.4674097888337179</v>
      </c>
      <c r="M53" s="11">
        <f t="shared" si="34"/>
        <v>1.2649435518897933</v>
      </c>
      <c r="N53" s="11">
        <f t="shared" si="34"/>
        <v>0.5808613683853483</v>
      </c>
      <c r="O53" s="11">
        <f t="shared" si="34"/>
        <v>5.8083748393277457</v>
      </c>
      <c r="P53" s="11">
        <f t="shared" si="34"/>
        <v>4.0824213508871523</v>
      </c>
      <c r="Q53" s="11">
        <f t="shared" si="34"/>
        <v>2.0928961971666777</v>
      </c>
      <c r="R53" s="11">
        <f t="shared" si="34"/>
        <v>0.96105675795455792</v>
      </c>
      <c r="S53" s="11">
        <f t="shared" si="34"/>
        <v>0.15876728369793447</v>
      </c>
      <c r="T53" s="11">
        <f t="shared" si="34"/>
        <v>0.1115897246166403</v>
      </c>
      <c r="U53" s="11">
        <f t="shared" si="34"/>
        <v>5.720764473326384E-2</v>
      </c>
      <c r="V53" s="11">
        <f t="shared" si="34"/>
        <v>2.6269718322388499E-2</v>
      </c>
    </row>
    <row r="54" spans="10:22" ht="15.75" x14ac:dyDescent="0.25">
      <c r="J54" s="54" t="s">
        <v>3</v>
      </c>
      <c r="K54" s="11">
        <f>SUM(K37:K38)</f>
        <v>0.40194434644250826</v>
      </c>
      <c r="L54" s="11">
        <f t="shared" ref="L54:V54" si="35">SUM(L37:L38)</f>
        <v>0.14331514961435157</v>
      </c>
      <c r="M54" s="11">
        <f t="shared" si="35"/>
        <v>3.9708757559652141E-2</v>
      </c>
      <c r="N54" s="11">
        <f>SUM(N37:N38)</f>
        <v>1.0100658206714099E-2</v>
      </c>
      <c r="O54" s="11">
        <f t="shared" si="35"/>
        <v>2.2312185273459226</v>
      </c>
      <c r="P54" s="11">
        <f t="shared" si="35"/>
        <v>0.79469987641993511</v>
      </c>
      <c r="Q54" s="11">
        <f t="shared" si="35"/>
        <v>0.21807717562421469</v>
      </c>
      <c r="R54" s="11">
        <f t="shared" si="35"/>
        <v>5.5494711997795931E-2</v>
      </c>
      <c r="S54" s="11">
        <f>SUM(S37:S38)</f>
        <v>0.49816772327791237</v>
      </c>
      <c r="T54" s="11">
        <f t="shared" si="35"/>
        <v>0.17718920056624984</v>
      </c>
      <c r="U54" s="11">
        <f t="shared" si="35"/>
        <v>4.8232169884288661E-2</v>
      </c>
      <c r="V54" s="11">
        <f t="shared" si="35"/>
        <v>1.1672043227246317E-2</v>
      </c>
    </row>
    <row r="55" spans="10:22" ht="15.75" x14ac:dyDescent="0.25">
      <c r="J55" s="55" t="s">
        <v>4</v>
      </c>
      <c r="K55" s="11">
        <f>K39</f>
        <v>0.50364054362010036</v>
      </c>
      <c r="L55" s="11">
        <f t="shared" ref="L55:V55" si="36">L39</f>
        <v>0.19843437418631948</v>
      </c>
      <c r="M55" s="11">
        <f t="shared" si="36"/>
        <v>5.2126796264680385E-2</v>
      </c>
      <c r="N55" s="11">
        <f t="shared" si="36"/>
        <v>7.2020597737674349E-3</v>
      </c>
      <c r="O55" s="11">
        <f t="shared" si="36"/>
        <v>3.5130771984562164</v>
      </c>
      <c r="P55" s="11">
        <f t="shared" si="36"/>
        <v>1.3841524161917491</v>
      </c>
      <c r="Q55" s="11">
        <f>Q39</f>
        <v>0.36360349004021836</v>
      </c>
      <c r="R55" s="11">
        <f t="shared" si="36"/>
        <v>5.0237003937923901E-2</v>
      </c>
      <c r="S55" s="11">
        <f t="shared" si="36"/>
        <v>0.34445729181872564</v>
      </c>
      <c r="T55" s="11">
        <f t="shared" si="36"/>
        <v>0.1357161729765779</v>
      </c>
      <c r="U55" s="11">
        <f t="shared" si="36"/>
        <v>3.5651329703238109E-2</v>
      </c>
      <c r="V55" s="11">
        <f t="shared" si="36"/>
        <v>4.9257392730077771E-3</v>
      </c>
    </row>
    <row r="56" spans="10:22" ht="18.75" x14ac:dyDescent="0.3">
      <c r="J56" s="75" t="s">
        <v>21</v>
      </c>
      <c r="K56" s="8">
        <f>SUM(K53:K55)</f>
        <v>4.4161585677792257</v>
      </c>
      <c r="L56" s="8">
        <f t="shared" ref="L56:V56" si="37">SUM(L53:L55)</f>
        <v>2.8091593126343888</v>
      </c>
      <c r="M56" s="8">
        <f t="shared" si="37"/>
        <v>1.3567791057141259</v>
      </c>
      <c r="N56" s="8">
        <f t="shared" si="37"/>
        <v>0.59816408636582985</v>
      </c>
      <c r="O56" s="8">
        <f t="shared" si="37"/>
        <v>11.552670565129883</v>
      </c>
      <c r="P56" s="8">
        <f t="shared" si="37"/>
        <v>6.2612736434988365</v>
      </c>
      <c r="Q56" s="8">
        <f t="shared" si="37"/>
        <v>2.6745768628311111</v>
      </c>
      <c r="R56" s="8">
        <f t="shared" si="37"/>
        <v>1.0667884738902778</v>
      </c>
      <c r="S56" s="8">
        <f t="shared" si="37"/>
        <v>1.0013922987945725</v>
      </c>
      <c r="T56" s="8">
        <f t="shared" si="37"/>
        <v>0.42449509815946807</v>
      </c>
      <c r="U56" s="8">
        <f t="shared" si="37"/>
        <v>0.14109114432079062</v>
      </c>
      <c r="V56" s="8">
        <f t="shared" si="37"/>
        <v>4.2867500822642589E-2</v>
      </c>
    </row>
  </sheetData>
  <mergeCells count="11">
    <mergeCell ref="A4:V4"/>
    <mergeCell ref="A21:V21"/>
    <mergeCell ref="A20:C20"/>
    <mergeCell ref="D20:H20"/>
    <mergeCell ref="I20:J20"/>
    <mergeCell ref="K20:V20"/>
    <mergeCell ref="A2:H2"/>
    <mergeCell ref="A3:C3"/>
    <mergeCell ref="D3:H3"/>
    <mergeCell ref="K3:V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Kelp Cover</vt:lpstr>
      <vt:lpstr>2- Rocky Reef</vt:lpstr>
      <vt:lpstr>3 - Areal Extents (Subsurface)</vt:lpstr>
      <vt:lpstr>4 - Areal Extents (Surface)</vt:lpstr>
      <vt:lpstr>5 - Standing Stocks (Per Area)</vt:lpstr>
      <vt:lpstr>6 - Carbon Prod (Per Area)</vt:lpstr>
      <vt:lpstr>7- Carbon Export (Per Area)</vt:lpstr>
      <vt:lpstr>8- Total C Stock Prod &amp;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Jennifer McHenry</cp:lastModifiedBy>
  <dcterms:created xsi:type="dcterms:W3CDTF">2023-02-23T01:30:43Z</dcterms:created>
  <dcterms:modified xsi:type="dcterms:W3CDTF">2025-04-19T18:56:42Z</dcterms:modified>
</cp:coreProperties>
</file>