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enniferalfson/Desktop/UC Berkeley Classwork/Week 1 Intro &amp; Excel/"/>
    </mc:Choice>
  </mc:AlternateContent>
  <xr:revisionPtr revIDLastSave="0" documentId="13_ncr:1_{D063E09B-14A0-1944-AB91-A93C179FF369}" xr6:coauthVersionLast="47" xr6:coauthVersionMax="47" xr10:uidLastSave="{00000000-0000-0000-0000-000000000000}"/>
  <bookViews>
    <workbookView xWindow="64780" yWindow="500" windowWidth="32680" windowHeight="14680" activeTab="5" xr2:uid="{00000000-000D-0000-FFFF-FFFF00000000}"/>
  </bookViews>
  <sheets>
    <sheet name="Pivot 1 per Category" sheetId="2" r:id="rId1"/>
    <sheet name="Pivot 2 per Sub-Category" sheetId="3" r:id="rId2"/>
    <sheet name="Pivot 3" sheetId="5" r:id="rId3"/>
    <sheet name="Outcomes Based on Goal" sheetId="6" r:id="rId4"/>
    <sheet name="Summary Statistics - Backers" sheetId="7" r:id="rId5"/>
    <sheet name="Crowdfunding" sheetId="1" r:id="rId6"/>
  </sheets>
  <definedNames>
    <definedName name="_xlnm._FilterDatabase" localSheetId="5" hidden="1">Crowdfunding!$A$1:$T$1001</definedName>
    <definedName name="catsubcat">Crowdfunding!$R:$R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7" l="1"/>
  <c r="K8" i="7"/>
  <c r="K7" i="7"/>
  <c r="K6" i="7"/>
  <c r="K5" i="7"/>
  <c r="K4" i="7"/>
  <c r="I9" i="7"/>
  <c r="I8" i="7"/>
  <c r="I7" i="7"/>
  <c r="I6" i="7"/>
  <c r="I5" i="7"/>
  <c r="I4" i="7"/>
  <c r="D13" i="6" l="1"/>
  <c r="D12" i="6"/>
  <c r="D11" i="6"/>
  <c r="D10" i="6"/>
  <c r="D9" i="6"/>
  <c r="D8" i="6"/>
  <c r="D7" i="6"/>
  <c r="D6" i="6"/>
  <c r="D5" i="6"/>
  <c r="D4" i="6"/>
  <c r="D3" i="6"/>
  <c r="D2" i="6"/>
  <c r="B2" i="6"/>
  <c r="C13" i="6"/>
  <c r="C12" i="6"/>
  <c r="C11" i="6"/>
  <c r="C10" i="6"/>
  <c r="C9" i="6"/>
  <c r="C8" i="6"/>
  <c r="C7" i="6"/>
  <c r="C6" i="6"/>
  <c r="C5" i="6"/>
  <c r="C4" i="6"/>
  <c r="C3" i="6"/>
  <c r="C2" i="6"/>
  <c r="B13" i="6"/>
  <c r="B12" i="6"/>
  <c r="B11" i="6"/>
  <c r="B10" i="6"/>
  <c r="B9" i="6"/>
  <c r="B8" i="6"/>
  <c r="B7" i="6"/>
  <c r="B6" i="6"/>
  <c r="B5" i="6"/>
  <c r="B4" i="6"/>
  <c r="B3" i="6"/>
  <c r="S2" i="1"/>
  <c r="S5" i="1"/>
  <c r="T5" i="1" s="1"/>
  <c r="F2" i="1"/>
  <c r="N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S4" i="1"/>
  <c r="T4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T36" i="1" s="1"/>
  <c r="S37" i="1"/>
  <c r="T37" i="1" s="1"/>
  <c r="S38" i="1"/>
  <c r="T38" i="1" s="1"/>
  <c r="S39" i="1"/>
  <c r="T39" i="1" s="1"/>
  <c r="S40" i="1"/>
  <c r="T40" i="1" s="1"/>
  <c r="S41" i="1"/>
  <c r="T41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0" i="1"/>
  <c r="T50" i="1" s="1"/>
  <c r="S51" i="1"/>
  <c r="T51" i="1" s="1"/>
  <c r="S52" i="1"/>
  <c r="T52" i="1" s="1"/>
  <c r="S53" i="1"/>
  <c r="T53" i="1" s="1"/>
  <c r="S54" i="1"/>
  <c r="T54" i="1" s="1"/>
  <c r="S55" i="1"/>
  <c r="T55" i="1" s="1"/>
  <c r="S56" i="1"/>
  <c r="T56" i="1" s="1"/>
  <c r="S57" i="1"/>
  <c r="T57" i="1" s="1"/>
  <c r="S58" i="1"/>
  <c r="T58" i="1" s="1"/>
  <c r="S59" i="1"/>
  <c r="T59" i="1" s="1"/>
  <c r="S60" i="1"/>
  <c r="T60" i="1" s="1"/>
  <c r="S61" i="1"/>
  <c r="T61" i="1" s="1"/>
  <c r="S62" i="1"/>
  <c r="T62" i="1" s="1"/>
  <c r="S63" i="1"/>
  <c r="T63" i="1" s="1"/>
  <c r="S64" i="1"/>
  <c r="T64" i="1" s="1"/>
  <c r="S65" i="1"/>
  <c r="T65" i="1" s="1"/>
  <c r="S66" i="1"/>
  <c r="T66" i="1" s="1"/>
  <c r="S67" i="1"/>
  <c r="T67" i="1" s="1"/>
  <c r="S68" i="1"/>
  <c r="T68" i="1" s="1"/>
  <c r="S69" i="1"/>
  <c r="T69" i="1" s="1"/>
  <c r="S70" i="1"/>
  <c r="T70" i="1" s="1"/>
  <c r="S71" i="1"/>
  <c r="T71" i="1" s="1"/>
  <c r="S72" i="1"/>
  <c r="T72" i="1" s="1"/>
  <c r="S73" i="1"/>
  <c r="T73" i="1" s="1"/>
  <c r="S74" i="1"/>
  <c r="T74" i="1" s="1"/>
  <c r="S75" i="1"/>
  <c r="T75" i="1" s="1"/>
  <c r="S76" i="1"/>
  <c r="T76" i="1" s="1"/>
  <c r="S77" i="1"/>
  <c r="T77" i="1" s="1"/>
  <c r="S78" i="1"/>
  <c r="T78" i="1" s="1"/>
  <c r="S79" i="1"/>
  <c r="T79" i="1" s="1"/>
  <c r="S80" i="1"/>
  <c r="T80" i="1" s="1"/>
  <c r="S81" i="1"/>
  <c r="T81" i="1" s="1"/>
  <c r="S82" i="1"/>
  <c r="T82" i="1" s="1"/>
  <c r="S83" i="1"/>
  <c r="T83" i="1" s="1"/>
  <c r="S84" i="1"/>
  <c r="T84" i="1" s="1"/>
  <c r="S85" i="1"/>
  <c r="T85" i="1" s="1"/>
  <c r="S86" i="1"/>
  <c r="T86" i="1" s="1"/>
  <c r="S87" i="1"/>
  <c r="T87" i="1" s="1"/>
  <c r="S88" i="1"/>
  <c r="T88" i="1" s="1"/>
  <c r="S89" i="1"/>
  <c r="T89" i="1" s="1"/>
  <c r="S90" i="1"/>
  <c r="T90" i="1" s="1"/>
  <c r="S91" i="1"/>
  <c r="T91" i="1" s="1"/>
  <c r="S92" i="1"/>
  <c r="T92" i="1" s="1"/>
  <c r="S93" i="1"/>
  <c r="T93" i="1" s="1"/>
  <c r="S94" i="1"/>
  <c r="T94" i="1" s="1"/>
  <c r="S95" i="1"/>
  <c r="T95" i="1" s="1"/>
  <c r="S96" i="1"/>
  <c r="T96" i="1" s="1"/>
  <c r="S97" i="1"/>
  <c r="T97" i="1" s="1"/>
  <c r="S98" i="1"/>
  <c r="T98" i="1" s="1"/>
  <c r="S99" i="1"/>
  <c r="T99" i="1" s="1"/>
  <c r="S100" i="1"/>
  <c r="T100" i="1" s="1"/>
  <c r="S101" i="1"/>
  <c r="T101" i="1" s="1"/>
  <c r="S102" i="1"/>
  <c r="T102" i="1" s="1"/>
  <c r="S103" i="1"/>
  <c r="T103" i="1" s="1"/>
  <c r="S104" i="1"/>
  <c r="T104" i="1" s="1"/>
  <c r="S105" i="1"/>
  <c r="T105" i="1" s="1"/>
  <c r="S106" i="1"/>
  <c r="T106" i="1" s="1"/>
  <c r="S107" i="1"/>
  <c r="T107" i="1" s="1"/>
  <c r="S108" i="1"/>
  <c r="T108" i="1" s="1"/>
  <c r="S109" i="1"/>
  <c r="T109" i="1" s="1"/>
  <c r="S110" i="1"/>
  <c r="T110" i="1" s="1"/>
  <c r="S111" i="1"/>
  <c r="T111" i="1" s="1"/>
  <c r="S112" i="1"/>
  <c r="T112" i="1" s="1"/>
  <c r="S113" i="1"/>
  <c r="T113" i="1" s="1"/>
  <c r="S114" i="1"/>
  <c r="T114" i="1" s="1"/>
  <c r="S115" i="1"/>
  <c r="T115" i="1" s="1"/>
  <c r="S116" i="1"/>
  <c r="T116" i="1" s="1"/>
  <c r="S117" i="1"/>
  <c r="T117" i="1" s="1"/>
  <c r="S118" i="1"/>
  <c r="T118" i="1" s="1"/>
  <c r="S119" i="1"/>
  <c r="T119" i="1" s="1"/>
  <c r="S120" i="1"/>
  <c r="T120" i="1" s="1"/>
  <c r="S121" i="1"/>
  <c r="T121" i="1" s="1"/>
  <c r="S122" i="1"/>
  <c r="T122" i="1" s="1"/>
  <c r="S123" i="1"/>
  <c r="T123" i="1" s="1"/>
  <c r="S124" i="1"/>
  <c r="T124" i="1" s="1"/>
  <c r="S125" i="1"/>
  <c r="T125" i="1" s="1"/>
  <c r="S126" i="1"/>
  <c r="T126" i="1" s="1"/>
  <c r="S127" i="1"/>
  <c r="T127" i="1" s="1"/>
  <c r="S128" i="1"/>
  <c r="T128" i="1" s="1"/>
  <c r="S129" i="1"/>
  <c r="T129" i="1" s="1"/>
  <c r="S130" i="1"/>
  <c r="T130" i="1" s="1"/>
  <c r="S131" i="1"/>
  <c r="T131" i="1" s="1"/>
  <c r="S132" i="1"/>
  <c r="T132" i="1" s="1"/>
  <c r="S133" i="1"/>
  <c r="T133" i="1" s="1"/>
  <c r="S134" i="1"/>
  <c r="T134" i="1" s="1"/>
  <c r="S135" i="1"/>
  <c r="T135" i="1" s="1"/>
  <c r="S136" i="1"/>
  <c r="T136" i="1" s="1"/>
  <c r="S137" i="1"/>
  <c r="T137" i="1" s="1"/>
  <c r="S138" i="1"/>
  <c r="T138" i="1" s="1"/>
  <c r="S139" i="1"/>
  <c r="T139" i="1" s="1"/>
  <c r="S140" i="1"/>
  <c r="T140" i="1" s="1"/>
  <c r="S141" i="1"/>
  <c r="T141" i="1" s="1"/>
  <c r="S142" i="1"/>
  <c r="T142" i="1" s="1"/>
  <c r="S143" i="1"/>
  <c r="T143" i="1" s="1"/>
  <c r="S144" i="1"/>
  <c r="T144" i="1" s="1"/>
  <c r="S145" i="1"/>
  <c r="T145" i="1" s="1"/>
  <c r="S146" i="1"/>
  <c r="T146" i="1" s="1"/>
  <c r="S147" i="1"/>
  <c r="T147" i="1" s="1"/>
  <c r="S148" i="1"/>
  <c r="T148" i="1" s="1"/>
  <c r="S149" i="1"/>
  <c r="T149" i="1" s="1"/>
  <c r="S150" i="1"/>
  <c r="T150" i="1" s="1"/>
  <c r="S151" i="1"/>
  <c r="T151" i="1" s="1"/>
  <c r="S152" i="1"/>
  <c r="T152" i="1" s="1"/>
  <c r="S153" i="1"/>
  <c r="T153" i="1" s="1"/>
  <c r="S154" i="1"/>
  <c r="T154" i="1" s="1"/>
  <c r="S155" i="1"/>
  <c r="T155" i="1" s="1"/>
  <c r="S156" i="1"/>
  <c r="T156" i="1" s="1"/>
  <c r="S157" i="1"/>
  <c r="T157" i="1" s="1"/>
  <c r="S158" i="1"/>
  <c r="T158" i="1" s="1"/>
  <c r="S159" i="1"/>
  <c r="T159" i="1" s="1"/>
  <c r="S160" i="1"/>
  <c r="T160" i="1" s="1"/>
  <c r="S161" i="1"/>
  <c r="T161" i="1" s="1"/>
  <c r="S162" i="1"/>
  <c r="T162" i="1" s="1"/>
  <c r="S163" i="1"/>
  <c r="T163" i="1" s="1"/>
  <c r="S164" i="1"/>
  <c r="T164" i="1" s="1"/>
  <c r="S165" i="1"/>
  <c r="T165" i="1" s="1"/>
  <c r="S166" i="1"/>
  <c r="T166" i="1" s="1"/>
  <c r="S167" i="1"/>
  <c r="T167" i="1" s="1"/>
  <c r="S168" i="1"/>
  <c r="T168" i="1" s="1"/>
  <c r="S169" i="1"/>
  <c r="T169" i="1" s="1"/>
  <c r="S170" i="1"/>
  <c r="T170" i="1" s="1"/>
  <c r="S171" i="1"/>
  <c r="T171" i="1" s="1"/>
  <c r="S172" i="1"/>
  <c r="T172" i="1" s="1"/>
  <c r="S173" i="1"/>
  <c r="T173" i="1" s="1"/>
  <c r="S174" i="1"/>
  <c r="T174" i="1" s="1"/>
  <c r="S175" i="1"/>
  <c r="T175" i="1" s="1"/>
  <c r="S176" i="1"/>
  <c r="T176" i="1" s="1"/>
  <c r="S177" i="1"/>
  <c r="T177" i="1" s="1"/>
  <c r="S178" i="1"/>
  <c r="T178" i="1" s="1"/>
  <c r="S179" i="1"/>
  <c r="T179" i="1" s="1"/>
  <c r="S180" i="1"/>
  <c r="T180" i="1" s="1"/>
  <c r="S181" i="1"/>
  <c r="T181" i="1" s="1"/>
  <c r="S182" i="1"/>
  <c r="T182" i="1" s="1"/>
  <c r="S183" i="1"/>
  <c r="T183" i="1" s="1"/>
  <c r="S184" i="1"/>
  <c r="T184" i="1" s="1"/>
  <c r="S185" i="1"/>
  <c r="T185" i="1" s="1"/>
  <c r="S186" i="1"/>
  <c r="T186" i="1" s="1"/>
  <c r="S187" i="1"/>
  <c r="T187" i="1" s="1"/>
  <c r="S188" i="1"/>
  <c r="T188" i="1" s="1"/>
  <c r="S189" i="1"/>
  <c r="T189" i="1" s="1"/>
  <c r="S190" i="1"/>
  <c r="T190" i="1" s="1"/>
  <c r="S191" i="1"/>
  <c r="T191" i="1" s="1"/>
  <c r="S192" i="1"/>
  <c r="T192" i="1" s="1"/>
  <c r="S193" i="1"/>
  <c r="T193" i="1" s="1"/>
  <c r="S194" i="1"/>
  <c r="T194" i="1" s="1"/>
  <c r="S195" i="1"/>
  <c r="T195" i="1" s="1"/>
  <c r="S196" i="1"/>
  <c r="T196" i="1" s="1"/>
  <c r="S197" i="1"/>
  <c r="T197" i="1" s="1"/>
  <c r="S198" i="1"/>
  <c r="T198" i="1" s="1"/>
  <c r="S199" i="1"/>
  <c r="T199" i="1" s="1"/>
  <c r="S200" i="1"/>
  <c r="T200" i="1" s="1"/>
  <c r="S201" i="1"/>
  <c r="T201" i="1" s="1"/>
  <c r="S202" i="1"/>
  <c r="T202" i="1" s="1"/>
  <c r="S203" i="1"/>
  <c r="T203" i="1" s="1"/>
  <c r="S204" i="1"/>
  <c r="T204" i="1" s="1"/>
  <c r="S205" i="1"/>
  <c r="T205" i="1" s="1"/>
  <c r="S206" i="1"/>
  <c r="T206" i="1" s="1"/>
  <c r="S207" i="1"/>
  <c r="T207" i="1" s="1"/>
  <c r="S208" i="1"/>
  <c r="T208" i="1" s="1"/>
  <c r="S209" i="1"/>
  <c r="T209" i="1" s="1"/>
  <c r="S210" i="1"/>
  <c r="T210" i="1" s="1"/>
  <c r="S211" i="1"/>
  <c r="T211" i="1" s="1"/>
  <c r="S212" i="1"/>
  <c r="T212" i="1" s="1"/>
  <c r="S213" i="1"/>
  <c r="T213" i="1" s="1"/>
  <c r="S214" i="1"/>
  <c r="T214" i="1" s="1"/>
  <c r="S215" i="1"/>
  <c r="T215" i="1" s="1"/>
  <c r="S216" i="1"/>
  <c r="T216" i="1" s="1"/>
  <c r="S217" i="1"/>
  <c r="T217" i="1" s="1"/>
  <c r="S218" i="1"/>
  <c r="T218" i="1" s="1"/>
  <c r="S219" i="1"/>
  <c r="T219" i="1" s="1"/>
  <c r="S220" i="1"/>
  <c r="T220" i="1" s="1"/>
  <c r="S221" i="1"/>
  <c r="T221" i="1" s="1"/>
  <c r="S222" i="1"/>
  <c r="T222" i="1" s="1"/>
  <c r="S223" i="1"/>
  <c r="T223" i="1" s="1"/>
  <c r="S224" i="1"/>
  <c r="T224" i="1" s="1"/>
  <c r="S225" i="1"/>
  <c r="T225" i="1" s="1"/>
  <c r="S226" i="1"/>
  <c r="T226" i="1" s="1"/>
  <c r="S227" i="1"/>
  <c r="T227" i="1" s="1"/>
  <c r="S228" i="1"/>
  <c r="T228" i="1" s="1"/>
  <c r="S229" i="1"/>
  <c r="T229" i="1" s="1"/>
  <c r="S230" i="1"/>
  <c r="T230" i="1" s="1"/>
  <c r="S231" i="1"/>
  <c r="T231" i="1" s="1"/>
  <c r="S232" i="1"/>
  <c r="T232" i="1" s="1"/>
  <c r="S233" i="1"/>
  <c r="T233" i="1" s="1"/>
  <c r="S234" i="1"/>
  <c r="T234" i="1" s="1"/>
  <c r="S235" i="1"/>
  <c r="T235" i="1" s="1"/>
  <c r="S236" i="1"/>
  <c r="T236" i="1" s="1"/>
  <c r="S237" i="1"/>
  <c r="T237" i="1" s="1"/>
  <c r="S238" i="1"/>
  <c r="T238" i="1" s="1"/>
  <c r="S239" i="1"/>
  <c r="T239" i="1" s="1"/>
  <c r="S240" i="1"/>
  <c r="T240" i="1" s="1"/>
  <c r="S241" i="1"/>
  <c r="T241" i="1" s="1"/>
  <c r="S242" i="1"/>
  <c r="T242" i="1" s="1"/>
  <c r="S243" i="1"/>
  <c r="T243" i="1" s="1"/>
  <c r="S244" i="1"/>
  <c r="T244" i="1" s="1"/>
  <c r="S245" i="1"/>
  <c r="T245" i="1" s="1"/>
  <c r="S246" i="1"/>
  <c r="T246" i="1" s="1"/>
  <c r="S247" i="1"/>
  <c r="T247" i="1" s="1"/>
  <c r="S248" i="1"/>
  <c r="T248" i="1" s="1"/>
  <c r="S249" i="1"/>
  <c r="T249" i="1" s="1"/>
  <c r="S250" i="1"/>
  <c r="T250" i="1" s="1"/>
  <c r="S251" i="1"/>
  <c r="T251" i="1" s="1"/>
  <c r="S252" i="1"/>
  <c r="T252" i="1" s="1"/>
  <c r="S253" i="1"/>
  <c r="T253" i="1" s="1"/>
  <c r="S254" i="1"/>
  <c r="T254" i="1" s="1"/>
  <c r="S255" i="1"/>
  <c r="T255" i="1" s="1"/>
  <c r="S256" i="1"/>
  <c r="T256" i="1" s="1"/>
  <c r="S257" i="1"/>
  <c r="T257" i="1" s="1"/>
  <c r="S258" i="1"/>
  <c r="T258" i="1" s="1"/>
  <c r="S259" i="1"/>
  <c r="T259" i="1" s="1"/>
  <c r="S260" i="1"/>
  <c r="T260" i="1" s="1"/>
  <c r="S261" i="1"/>
  <c r="T261" i="1" s="1"/>
  <c r="S262" i="1"/>
  <c r="T262" i="1" s="1"/>
  <c r="S263" i="1"/>
  <c r="T263" i="1" s="1"/>
  <c r="S264" i="1"/>
  <c r="T264" i="1" s="1"/>
  <c r="S265" i="1"/>
  <c r="T265" i="1" s="1"/>
  <c r="S266" i="1"/>
  <c r="T266" i="1" s="1"/>
  <c r="S267" i="1"/>
  <c r="T267" i="1" s="1"/>
  <c r="S268" i="1"/>
  <c r="T268" i="1" s="1"/>
  <c r="S269" i="1"/>
  <c r="T269" i="1" s="1"/>
  <c r="S270" i="1"/>
  <c r="T270" i="1" s="1"/>
  <c r="S271" i="1"/>
  <c r="T271" i="1" s="1"/>
  <c r="S272" i="1"/>
  <c r="T272" i="1" s="1"/>
  <c r="S273" i="1"/>
  <c r="T273" i="1" s="1"/>
  <c r="S274" i="1"/>
  <c r="T274" i="1" s="1"/>
  <c r="S275" i="1"/>
  <c r="T275" i="1" s="1"/>
  <c r="S276" i="1"/>
  <c r="T276" i="1" s="1"/>
  <c r="S277" i="1"/>
  <c r="T277" i="1" s="1"/>
  <c r="S278" i="1"/>
  <c r="T278" i="1" s="1"/>
  <c r="S279" i="1"/>
  <c r="T279" i="1" s="1"/>
  <c r="S280" i="1"/>
  <c r="T280" i="1" s="1"/>
  <c r="S281" i="1"/>
  <c r="T281" i="1" s="1"/>
  <c r="S282" i="1"/>
  <c r="T282" i="1" s="1"/>
  <c r="S283" i="1"/>
  <c r="T283" i="1" s="1"/>
  <c r="S284" i="1"/>
  <c r="T284" i="1" s="1"/>
  <c r="S285" i="1"/>
  <c r="T285" i="1" s="1"/>
  <c r="S286" i="1"/>
  <c r="T286" i="1" s="1"/>
  <c r="S287" i="1"/>
  <c r="T287" i="1" s="1"/>
  <c r="S288" i="1"/>
  <c r="T288" i="1" s="1"/>
  <c r="S289" i="1"/>
  <c r="T289" i="1" s="1"/>
  <c r="S290" i="1"/>
  <c r="T290" i="1" s="1"/>
  <c r="S291" i="1"/>
  <c r="T291" i="1" s="1"/>
  <c r="S292" i="1"/>
  <c r="T292" i="1" s="1"/>
  <c r="S293" i="1"/>
  <c r="T293" i="1" s="1"/>
  <c r="S294" i="1"/>
  <c r="T294" i="1" s="1"/>
  <c r="S295" i="1"/>
  <c r="T295" i="1" s="1"/>
  <c r="S296" i="1"/>
  <c r="T296" i="1" s="1"/>
  <c r="S297" i="1"/>
  <c r="T297" i="1" s="1"/>
  <c r="S298" i="1"/>
  <c r="T298" i="1" s="1"/>
  <c r="S299" i="1"/>
  <c r="T299" i="1" s="1"/>
  <c r="S300" i="1"/>
  <c r="T300" i="1" s="1"/>
  <c r="S301" i="1"/>
  <c r="T301" i="1" s="1"/>
  <c r="S302" i="1"/>
  <c r="T302" i="1" s="1"/>
  <c r="S303" i="1"/>
  <c r="T303" i="1" s="1"/>
  <c r="S304" i="1"/>
  <c r="T304" i="1" s="1"/>
  <c r="S305" i="1"/>
  <c r="T305" i="1" s="1"/>
  <c r="S306" i="1"/>
  <c r="T306" i="1" s="1"/>
  <c r="S307" i="1"/>
  <c r="T307" i="1" s="1"/>
  <c r="S308" i="1"/>
  <c r="T308" i="1" s="1"/>
  <c r="S309" i="1"/>
  <c r="T309" i="1" s="1"/>
  <c r="S310" i="1"/>
  <c r="T310" i="1" s="1"/>
  <c r="S311" i="1"/>
  <c r="T311" i="1" s="1"/>
  <c r="S312" i="1"/>
  <c r="T312" i="1" s="1"/>
  <c r="S313" i="1"/>
  <c r="T313" i="1" s="1"/>
  <c r="S314" i="1"/>
  <c r="T314" i="1" s="1"/>
  <c r="S315" i="1"/>
  <c r="T315" i="1" s="1"/>
  <c r="S316" i="1"/>
  <c r="T316" i="1" s="1"/>
  <c r="S317" i="1"/>
  <c r="T317" i="1" s="1"/>
  <c r="S318" i="1"/>
  <c r="T318" i="1" s="1"/>
  <c r="S319" i="1"/>
  <c r="T319" i="1" s="1"/>
  <c r="S320" i="1"/>
  <c r="T320" i="1" s="1"/>
  <c r="S321" i="1"/>
  <c r="T321" i="1" s="1"/>
  <c r="S322" i="1"/>
  <c r="T322" i="1" s="1"/>
  <c r="S323" i="1"/>
  <c r="T323" i="1" s="1"/>
  <c r="S324" i="1"/>
  <c r="T324" i="1" s="1"/>
  <c r="S325" i="1"/>
  <c r="T325" i="1" s="1"/>
  <c r="S326" i="1"/>
  <c r="T326" i="1" s="1"/>
  <c r="S327" i="1"/>
  <c r="T327" i="1" s="1"/>
  <c r="S328" i="1"/>
  <c r="T328" i="1" s="1"/>
  <c r="S329" i="1"/>
  <c r="T329" i="1" s="1"/>
  <c r="S330" i="1"/>
  <c r="T330" i="1" s="1"/>
  <c r="S331" i="1"/>
  <c r="T331" i="1" s="1"/>
  <c r="S332" i="1"/>
  <c r="T332" i="1" s="1"/>
  <c r="S333" i="1"/>
  <c r="T333" i="1" s="1"/>
  <c r="S334" i="1"/>
  <c r="T334" i="1" s="1"/>
  <c r="S335" i="1"/>
  <c r="T335" i="1" s="1"/>
  <c r="S336" i="1"/>
  <c r="T336" i="1" s="1"/>
  <c r="S337" i="1"/>
  <c r="T337" i="1" s="1"/>
  <c r="S338" i="1"/>
  <c r="T338" i="1" s="1"/>
  <c r="S339" i="1"/>
  <c r="T339" i="1" s="1"/>
  <c r="S340" i="1"/>
  <c r="T340" i="1" s="1"/>
  <c r="S341" i="1"/>
  <c r="T341" i="1" s="1"/>
  <c r="S342" i="1"/>
  <c r="T342" i="1" s="1"/>
  <c r="S343" i="1"/>
  <c r="T343" i="1" s="1"/>
  <c r="S344" i="1"/>
  <c r="T344" i="1" s="1"/>
  <c r="S345" i="1"/>
  <c r="T345" i="1" s="1"/>
  <c r="S346" i="1"/>
  <c r="T346" i="1" s="1"/>
  <c r="S347" i="1"/>
  <c r="T347" i="1" s="1"/>
  <c r="S348" i="1"/>
  <c r="T348" i="1" s="1"/>
  <c r="S349" i="1"/>
  <c r="T349" i="1" s="1"/>
  <c r="S350" i="1"/>
  <c r="T350" i="1" s="1"/>
  <c r="S351" i="1"/>
  <c r="T351" i="1" s="1"/>
  <c r="S352" i="1"/>
  <c r="T352" i="1" s="1"/>
  <c r="S353" i="1"/>
  <c r="T353" i="1" s="1"/>
  <c r="S354" i="1"/>
  <c r="T354" i="1" s="1"/>
  <c r="S355" i="1"/>
  <c r="T355" i="1" s="1"/>
  <c r="S356" i="1"/>
  <c r="T356" i="1" s="1"/>
  <c r="S357" i="1"/>
  <c r="T357" i="1" s="1"/>
  <c r="S358" i="1"/>
  <c r="T358" i="1" s="1"/>
  <c r="S359" i="1"/>
  <c r="T359" i="1" s="1"/>
  <c r="S360" i="1"/>
  <c r="T360" i="1" s="1"/>
  <c r="S361" i="1"/>
  <c r="T361" i="1" s="1"/>
  <c r="S362" i="1"/>
  <c r="T362" i="1" s="1"/>
  <c r="S363" i="1"/>
  <c r="T363" i="1" s="1"/>
  <c r="S364" i="1"/>
  <c r="T364" i="1" s="1"/>
  <c r="S365" i="1"/>
  <c r="T365" i="1" s="1"/>
  <c r="S366" i="1"/>
  <c r="T366" i="1" s="1"/>
  <c r="S367" i="1"/>
  <c r="T367" i="1" s="1"/>
  <c r="S368" i="1"/>
  <c r="T368" i="1" s="1"/>
  <c r="S369" i="1"/>
  <c r="T369" i="1" s="1"/>
  <c r="S370" i="1"/>
  <c r="T370" i="1" s="1"/>
  <c r="S371" i="1"/>
  <c r="T371" i="1" s="1"/>
  <c r="S372" i="1"/>
  <c r="T372" i="1" s="1"/>
  <c r="S373" i="1"/>
  <c r="T373" i="1" s="1"/>
  <c r="S374" i="1"/>
  <c r="T374" i="1" s="1"/>
  <c r="S375" i="1"/>
  <c r="T375" i="1" s="1"/>
  <c r="S376" i="1"/>
  <c r="T376" i="1" s="1"/>
  <c r="S377" i="1"/>
  <c r="T377" i="1" s="1"/>
  <c r="S378" i="1"/>
  <c r="T378" i="1" s="1"/>
  <c r="S379" i="1"/>
  <c r="T379" i="1" s="1"/>
  <c r="S380" i="1"/>
  <c r="T380" i="1" s="1"/>
  <c r="S381" i="1"/>
  <c r="T381" i="1" s="1"/>
  <c r="S382" i="1"/>
  <c r="T382" i="1" s="1"/>
  <c r="S383" i="1"/>
  <c r="T383" i="1" s="1"/>
  <c r="S384" i="1"/>
  <c r="T384" i="1" s="1"/>
  <c r="S385" i="1"/>
  <c r="T385" i="1" s="1"/>
  <c r="S386" i="1"/>
  <c r="T386" i="1" s="1"/>
  <c r="S387" i="1"/>
  <c r="T387" i="1" s="1"/>
  <c r="S388" i="1"/>
  <c r="T388" i="1" s="1"/>
  <c r="S389" i="1"/>
  <c r="T389" i="1" s="1"/>
  <c r="S390" i="1"/>
  <c r="T390" i="1" s="1"/>
  <c r="S391" i="1"/>
  <c r="T391" i="1" s="1"/>
  <c r="S392" i="1"/>
  <c r="T392" i="1" s="1"/>
  <c r="S393" i="1"/>
  <c r="T393" i="1" s="1"/>
  <c r="S394" i="1"/>
  <c r="T394" i="1" s="1"/>
  <c r="S395" i="1"/>
  <c r="T395" i="1" s="1"/>
  <c r="S396" i="1"/>
  <c r="T396" i="1" s="1"/>
  <c r="S397" i="1"/>
  <c r="T397" i="1" s="1"/>
  <c r="S398" i="1"/>
  <c r="T398" i="1" s="1"/>
  <c r="S399" i="1"/>
  <c r="T399" i="1" s="1"/>
  <c r="S400" i="1"/>
  <c r="T400" i="1" s="1"/>
  <c r="S401" i="1"/>
  <c r="T401" i="1" s="1"/>
  <c r="S402" i="1"/>
  <c r="T402" i="1" s="1"/>
  <c r="S403" i="1"/>
  <c r="T403" i="1" s="1"/>
  <c r="S404" i="1"/>
  <c r="T404" i="1" s="1"/>
  <c r="S405" i="1"/>
  <c r="T405" i="1" s="1"/>
  <c r="S406" i="1"/>
  <c r="T406" i="1" s="1"/>
  <c r="S407" i="1"/>
  <c r="T407" i="1" s="1"/>
  <c r="S408" i="1"/>
  <c r="T408" i="1" s="1"/>
  <c r="S409" i="1"/>
  <c r="T409" i="1" s="1"/>
  <c r="S410" i="1"/>
  <c r="T410" i="1" s="1"/>
  <c r="S411" i="1"/>
  <c r="T411" i="1" s="1"/>
  <c r="S412" i="1"/>
  <c r="T412" i="1" s="1"/>
  <c r="S413" i="1"/>
  <c r="T413" i="1" s="1"/>
  <c r="S414" i="1"/>
  <c r="T414" i="1" s="1"/>
  <c r="S415" i="1"/>
  <c r="T415" i="1" s="1"/>
  <c r="S416" i="1"/>
  <c r="T416" i="1" s="1"/>
  <c r="S417" i="1"/>
  <c r="T417" i="1" s="1"/>
  <c r="S418" i="1"/>
  <c r="T418" i="1" s="1"/>
  <c r="S419" i="1"/>
  <c r="T419" i="1" s="1"/>
  <c r="S420" i="1"/>
  <c r="T420" i="1" s="1"/>
  <c r="S421" i="1"/>
  <c r="T421" i="1" s="1"/>
  <c r="S422" i="1"/>
  <c r="T422" i="1" s="1"/>
  <c r="S423" i="1"/>
  <c r="T423" i="1" s="1"/>
  <c r="S424" i="1"/>
  <c r="T424" i="1" s="1"/>
  <c r="S425" i="1"/>
  <c r="T425" i="1" s="1"/>
  <c r="S426" i="1"/>
  <c r="T426" i="1" s="1"/>
  <c r="S427" i="1"/>
  <c r="T427" i="1" s="1"/>
  <c r="S428" i="1"/>
  <c r="T428" i="1" s="1"/>
  <c r="S429" i="1"/>
  <c r="T429" i="1" s="1"/>
  <c r="S430" i="1"/>
  <c r="T430" i="1" s="1"/>
  <c r="S431" i="1"/>
  <c r="T431" i="1" s="1"/>
  <c r="S432" i="1"/>
  <c r="T432" i="1" s="1"/>
  <c r="S433" i="1"/>
  <c r="T433" i="1" s="1"/>
  <c r="S434" i="1"/>
  <c r="T434" i="1" s="1"/>
  <c r="S435" i="1"/>
  <c r="T435" i="1" s="1"/>
  <c r="S436" i="1"/>
  <c r="T436" i="1" s="1"/>
  <c r="S437" i="1"/>
  <c r="T437" i="1" s="1"/>
  <c r="S438" i="1"/>
  <c r="T438" i="1" s="1"/>
  <c r="S439" i="1"/>
  <c r="T439" i="1" s="1"/>
  <c r="S440" i="1"/>
  <c r="T440" i="1" s="1"/>
  <c r="S441" i="1"/>
  <c r="T441" i="1" s="1"/>
  <c r="S442" i="1"/>
  <c r="T442" i="1" s="1"/>
  <c r="S443" i="1"/>
  <c r="T443" i="1" s="1"/>
  <c r="S444" i="1"/>
  <c r="T444" i="1" s="1"/>
  <c r="S445" i="1"/>
  <c r="T445" i="1" s="1"/>
  <c r="S446" i="1"/>
  <c r="T446" i="1" s="1"/>
  <c r="S447" i="1"/>
  <c r="T447" i="1" s="1"/>
  <c r="S448" i="1"/>
  <c r="T448" i="1" s="1"/>
  <c r="S449" i="1"/>
  <c r="T449" i="1" s="1"/>
  <c r="S450" i="1"/>
  <c r="T450" i="1" s="1"/>
  <c r="S451" i="1"/>
  <c r="T451" i="1" s="1"/>
  <c r="S452" i="1"/>
  <c r="T452" i="1" s="1"/>
  <c r="S453" i="1"/>
  <c r="T453" i="1" s="1"/>
  <c r="S454" i="1"/>
  <c r="T454" i="1" s="1"/>
  <c r="S455" i="1"/>
  <c r="T455" i="1" s="1"/>
  <c r="S456" i="1"/>
  <c r="T456" i="1" s="1"/>
  <c r="S457" i="1"/>
  <c r="T457" i="1" s="1"/>
  <c r="S458" i="1"/>
  <c r="T458" i="1" s="1"/>
  <c r="S459" i="1"/>
  <c r="T459" i="1" s="1"/>
  <c r="S460" i="1"/>
  <c r="T460" i="1" s="1"/>
  <c r="S461" i="1"/>
  <c r="T461" i="1" s="1"/>
  <c r="S462" i="1"/>
  <c r="T462" i="1" s="1"/>
  <c r="S463" i="1"/>
  <c r="T463" i="1" s="1"/>
  <c r="S464" i="1"/>
  <c r="T464" i="1" s="1"/>
  <c r="S465" i="1"/>
  <c r="T465" i="1" s="1"/>
  <c r="S466" i="1"/>
  <c r="T466" i="1" s="1"/>
  <c r="S467" i="1"/>
  <c r="T467" i="1" s="1"/>
  <c r="S468" i="1"/>
  <c r="T468" i="1" s="1"/>
  <c r="S469" i="1"/>
  <c r="T469" i="1" s="1"/>
  <c r="S470" i="1"/>
  <c r="T470" i="1" s="1"/>
  <c r="S471" i="1"/>
  <c r="T471" i="1" s="1"/>
  <c r="S472" i="1"/>
  <c r="T472" i="1" s="1"/>
  <c r="S473" i="1"/>
  <c r="T473" i="1" s="1"/>
  <c r="S474" i="1"/>
  <c r="T474" i="1" s="1"/>
  <c r="S475" i="1"/>
  <c r="T475" i="1" s="1"/>
  <c r="S476" i="1"/>
  <c r="T476" i="1" s="1"/>
  <c r="S477" i="1"/>
  <c r="T477" i="1" s="1"/>
  <c r="S478" i="1"/>
  <c r="T478" i="1" s="1"/>
  <c r="S479" i="1"/>
  <c r="T479" i="1" s="1"/>
  <c r="S480" i="1"/>
  <c r="T480" i="1" s="1"/>
  <c r="S481" i="1"/>
  <c r="T481" i="1" s="1"/>
  <c r="S482" i="1"/>
  <c r="T482" i="1" s="1"/>
  <c r="S483" i="1"/>
  <c r="T483" i="1" s="1"/>
  <c r="S484" i="1"/>
  <c r="T484" i="1" s="1"/>
  <c r="S485" i="1"/>
  <c r="T485" i="1" s="1"/>
  <c r="S486" i="1"/>
  <c r="T486" i="1" s="1"/>
  <c r="S487" i="1"/>
  <c r="T487" i="1" s="1"/>
  <c r="S488" i="1"/>
  <c r="T488" i="1" s="1"/>
  <c r="S489" i="1"/>
  <c r="T489" i="1" s="1"/>
  <c r="S490" i="1"/>
  <c r="T490" i="1" s="1"/>
  <c r="S491" i="1"/>
  <c r="T491" i="1" s="1"/>
  <c r="S492" i="1"/>
  <c r="T492" i="1" s="1"/>
  <c r="S493" i="1"/>
  <c r="T493" i="1" s="1"/>
  <c r="S494" i="1"/>
  <c r="T494" i="1" s="1"/>
  <c r="S495" i="1"/>
  <c r="T495" i="1" s="1"/>
  <c r="S496" i="1"/>
  <c r="T496" i="1" s="1"/>
  <c r="S497" i="1"/>
  <c r="T497" i="1" s="1"/>
  <c r="S498" i="1"/>
  <c r="T498" i="1" s="1"/>
  <c r="S499" i="1"/>
  <c r="T499" i="1" s="1"/>
  <c r="S500" i="1"/>
  <c r="T500" i="1" s="1"/>
  <c r="S501" i="1"/>
  <c r="T501" i="1" s="1"/>
  <c r="S502" i="1"/>
  <c r="T502" i="1" s="1"/>
  <c r="S503" i="1"/>
  <c r="T503" i="1" s="1"/>
  <c r="S504" i="1"/>
  <c r="T504" i="1" s="1"/>
  <c r="S505" i="1"/>
  <c r="T505" i="1" s="1"/>
  <c r="S506" i="1"/>
  <c r="T506" i="1" s="1"/>
  <c r="S507" i="1"/>
  <c r="T507" i="1" s="1"/>
  <c r="S508" i="1"/>
  <c r="T508" i="1" s="1"/>
  <c r="S509" i="1"/>
  <c r="T509" i="1" s="1"/>
  <c r="S510" i="1"/>
  <c r="T510" i="1" s="1"/>
  <c r="S511" i="1"/>
  <c r="T511" i="1" s="1"/>
  <c r="S512" i="1"/>
  <c r="T512" i="1" s="1"/>
  <c r="S513" i="1"/>
  <c r="T513" i="1" s="1"/>
  <c r="S514" i="1"/>
  <c r="T514" i="1" s="1"/>
  <c r="S515" i="1"/>
  <c r="T515" i="1" s="1"/>
  <c r="S516" i="1"/>
  <c r="T516" i="1" s="1"/>
  <c r="S517" i="1"/>
  <c r="T517" i="1" s="1"/>
  <c r="S518" i="1"/>
  <c r="T518" i="1" s="1"/>
  <c r="S519" i="1"/>
  <c r="T519" i="1" s="1"/>
  <c r="S520" i="1"/>
  <c r="T520" i="1" s="1"/>
  <c r="S521" i="1"/>
  <c r="T521" i="1" s="1"/>
  <c r="S522" i="1"/>
  <c r="T522" i="1" s="1"/>
  <c r="S523" i="1"/>
  <c r="T523" i="1" s="1"/>
  <c r="S524" i="1"/>
  <c r="T524" i="1" s="1"/>
  <c r="S525" i="1"/>
  <c r="T525" i="1" s="1"/>
  <c r="S526" i="1"/>
  <c r="T526" i="1" s="1"/>
  <c r="S527" i="1"/>
  <c r="T527" i="1" s="1"/>
  <c r="S528" i="1"/>
  <c r="T528" i="1" s="1"/>
  <c r="S529" i="1"/>
  <c r="T529" i="1" s="1"/>
  <c r="S530" i="1"/>
  <c r="T530" i="1" s="1"/>
  <c r="S531" i="1"/>
  <c r="T531" i="1" s="1"/>
  <c r="S532" i="1"/>
  <c r="T532" i="1" s="1"/>
  <c r="S533" i="1"/>
  <c r="T533" i="1" s="1"/>
  <c r="S534" i="1"/>
  <c r="T534" i="1" s="1"/>
  <c r="S535" i="1"/>
  <c r="T535" i="1" s="1"/>
  <c r="S536" i="1"/>
  <c r="T536" i="1" s="1"/>
  <c r="S537" i="1"/>
  <c r="T537" i="1" s="1"/>
  <c r="S538" i="1"/>
  <c r="T538" i="1" s="1"/>
  <c r="S539" i="1"/>
  <c r="T539" i="1" s="1"/>
  <c r="S540" i="1"/>
  <c r="T540" i="1" s="1"/>
  <c r="S541" i="1"/>
  <c r="T541" i="1" s="1"/>
  <c r="S542" i="1"/>
  <c r="T542" i="1" s="1"/>
  <c r="S543" i="1"/>
  <c r="T543" i="1" s="1"/>
  <c r="S544" i="1"/>
  <c r="T544" i="1" s="1"/>
  <c r="S545" i="1"/>
  <c r="T545" i="1" s="1"/>
  <c r="S546" i="1"/>
  <c r="T546" i="1" s="1"/>
  <c r="S547" i="1"/>
  <c r="T547" i="1" s="1"/>
  <c r="S548" i="1"/>
  <c r="T548" i="1" s="1"/>
  <c r="S549" i="1"/>
  <c r="T549" i="1" s="1"/>
  <c r="S550" i="1"/>
  <c r="T550" i="1" s="1"/>
  <c r="S551" i="1"/>
  <c r="T551" i="1" s="1"/>
  <c r="S552" i="1"/>
  <c r="T552" i="1" s="1"/>
  <c r="S553" i="1"/>
  <c r="T553" i="1" s="1"/>
  <c r="S554" i="1"/>
  <c r="T554" i="1" s="1"/>
  <c r="S555" i="1"/>
  <c r="T555" i="1" s="1"/>
  <c r="S556" i="1"/>
  <c r="T556" i="1" s="1"/>
  <c r="S557" i="1"/>
  <c r="T557" i="1" s="1"/>
  <c r="S558" i="1"/>
  <c r="T558" i="1" s="1"/>
  <c r="S559" i="1"/>
  <c r="T559" i="1" s="1"/>
  <c r="S560" i="1"/>
  <c r="T560" i="1" s="1"/>
  <c r="S561" i="1"/>
  <c r="T561" i="1" s="1"/>
  <c r="S562" i="1"/>
  <c r="T562" i="1" s="1"/>
  <c r="S563" i="1"/>
  <c r="T563" i="1" s="1"/>
  <c r="S564" i="1"/>
  <c r="T564" i="1" s="1"/>
  <c r="S565" i="1"/>
  <c r="T565" i="1" s="1"/>
  <c r="S566" i="1"/>
  <c r="T566" i="1" s="1"/>
  <c r="S567" i="1"/>
  <c r="T567" i="1" s="1"/>
  <c r="S568" i="1"/>
  <c r="T568" i="1" s="1"/>
  <c r="S569" i="1"/>
  <c r="T569" i="1" s="1"/>
  <c r="S570" i="1"/>
  <c r="T570" i="1" s="1"/>
  <c r="S571" i="1"/>
  <c r="T571" i="1" s="1"/>
  <c r="S572" i="1"/>
  <c r="T572" i="1" s="1"/>
  <c r="S573" i="1"/>
  <c r="T573" i="1" s="1"/>
  <c r="S574" i="1"/>
  <c r="T574" i="1" s="1"/>
  <c r="S575" i="1"/>
  <c r="T575" i="1" s="1"/>
  <c r="S576" i="1"/>
  <c r="T576" i="1" s="1"/>
  <c r="S577" i="1"/>
  <c r="T577" i="1" s="1"/>
  <c r="S578" i="1"/>
  <c r="T578" i="1" s="1"/>
  <c r="S579" i="1"/>
  <c r="T579" i="1" s="1"/>
  <c r="S580" i="1"/>
  <c r="T580" i="1" s="1"/>
  <c r="S581" i="1"/>
  <c r="T581" i="1" s="1"/>
  <c r="S582" i="1"/>
  <c r="T582" i="1" s="1"/>
  <c r="S583" i="1"/>
  <c r="T583" i="1" s="1"/>
  <c r="S584" i="1"/>
  <c r="T584" i="1" s="1"/>
  <c r="S585" i="1"/>
  <c r="T585" i="1" s="1"/>
  <c r="S586" i="1"/>
  <c r="T586" i="1" s="1"/>
  <c r="S587" i="1"/>
  <c r="T587" i="1" s="1"/>
  <c r="S588" i="1"/>
  <c r="T588" i="1" s="1"/>
  <c r="S589" i="1"/>
  <c r="T589" i="1" s="1"/>
  <c r="S590" i="1"/>
  <c r="T590" i="1" s="1"/>
  <c r="S591" i="1"/>
  <c r="T591" i="1" s="1"/>
  <c r="S592" i="1"/>
  <c r="T592" i="1" s="1"/>
  <c r="S593" i="1"/>
  <c r="T593" i="1" s="1"/>
  <c r="S594" i="1"/>
  <c r="T594" i="1" s="1"/>
  <c r="S595" i="1"/>
  <c r="T595" i="1" s="1"/>
  <c r="S596" i="1"/>
  <c r="T596" i="1" s="1"/>
  <c r="S597" i="1"/>
  <c r="T597" i="1" s="1"/>
  <c r="S598" i="1"/>
  <c r="T598" i="1" s="1"/>
  <c r="S599" i="1"/>
  <c r="T599" i="1" s="1"/>
  <c r="S600" i="1"/>
  <c r="T600" i="1" s="1"/>
  <c r="S601" i="1"/>
  <c r="T601" i="1" s="1"/>
  <c r="S602" i="1"/>
  <c r="T602" i="1" s="1"/>
  <c r="S603" i="1"/>
  <c r="T603" i="1" s="1"/>
  <c r="S604" i="1"/>
  <c r="T604" i="1" s="1"/>
  <c r="S605" i="1"/>
  <c r="T605" i="1" s="1"/>
  <c r="S606" i="1"/>
  <c r="T606" i="1" s="1"/>
  <c r="S607" i="1"/>
  <c r="T607" i="1" s="1"/>
  <c r="S608" i="1"/>
  <c r="T608" i="1" s="1"/>
  <c r="S609" i="1"/>
  <c r="T609" i="1" s="1"/>
  <c r="S610" i="1"/>
  <c r="T610" i="1" s="1"/>
  <c r="S611" i="1"/>
  <c r="T611" i="1" s="1"/>
  <c r="S612" i="1"/>
  <c r="T612" i="1" s="1"/>
  <c r="S613" i="1"/>
  <c r="T613" i="1" s="1"/>
  <c r="S614" i="1"/>
  <c r="T614" i="1" s="1"/>
  <c r="S615" i="1"/>
  <c r="T615" i="1" s="1"/>
  <c r="S616" i="1"/>
  <c r="T616" i="1" s="1"/>
  <c r="S617" i="1"/>
  <c r="T617" i="1" s="1"/>
  <c r="S618" i="1"/>
  <c r="T618" i="1" s="1"/>
  <c r="S619" i="1"/>
  <c r="T619" i="1" s="1"/>
  <c r="S620" i="1"/>
  <c r="T620" i="1" s="1"/>
  <c r="S621" i="1"/>
  <c r="T621" i="1" s="1"/>
  <c r="S622" i="1"/>
  <c r="T622" i="1" s="1"/>
  <c r="S623" i="1"/>
  <c r="T623" i="1" s="1"/>
  <c r="S624" i="1"/>
  <c r="T624" i="1" s="1"/>
  <c r="S625" i="1"/>
  <c r="T625" i="1" s="1"/>
  <c r="S626" i="1"/>
  <c r="T626" i="1" s="1"/>
  <c r="S627" i="1"/>
  <c r="T627" i="1" s="1"/>
  <c r="S628" i="1"/>
  <c r="T628" i="1" s="1"/>
  <c r="S629" i="1"/>
  <c r="T629" i="1" s="1"/>
  <c r="S630" i="1"/>
  <c r="T630" i="1" s="1"/>
  <c r="S631" i="1"/>
  <c r="T631" i="1" s="1"/>
  <c r="S632" i="1"/>
  <c r="T632" i="1" s="1"/>
  <c r="S633" i="1"/>
  <c r="T633" i="1" s="1"/>
  <c r="S634" i="1"/>
  <c r="T634" i="1" s="1"/>
  <c r="S635" i="1"/>
  <c r="T635" i="1" s="1"/>
  <c r="S636" i="1"/>
  <c r="T636" i="1" s="1"/>
  <c r="S637" i="1"/>
  <c r="T637" i="1" s="1"/>
  <c r="S638" i="1"/>
  <c r="T638" i="1" s="1"/>
  <c r="S639" i="1"/>
  <c r="T639" i="1" s="1"/>
  <c r="S640" i="1"/>
  <c r="T640" i="1" s="1"/>
  <c r="S641" i="1"/>
  <c r="T641" i="1" s="1"/>
  <c r="S642" i="1"/>
  <c r="T642" i="1" s="1"/>
  <c r="S643" i="1"/>
  <c r="T643" i="1" s="1"/>
  <c r="S644" i="1"/>
  <c r="T644" i="1" s="1"/>
  <c r="S645" i="1"/>
  <c r="T645" i="1" s="1"/>
  <c r="S646" i="1"/>
  <c r="T646" i="1" s="1"/>
  <c r="S647" i="1"/>
  <c r="T647" i="1" s="1"/>
  <c r="S648" i="1"/>
  <c r="T648" i="1" s="1"/>
  <c r="S649" i="1"/>
  <c r="T649" i="1" s="1"/>
  <c r="S650" i="1"/>
  <c r="T650" i="1" s="1"/>
  <c r="S651" i="1"/>
  <c r="T651" i="1" s="1"/>
  <c r="S652" i="1"/>
  <c r="T652" i="1" s="1"/>
  <c r="S653" i="1"/>
  <c r="T653" i="1" s="1"/>
  <c r="S654" i="1"/>
  <c r="T654" i="1" s="1"/>
  <c r="S655" i="1"/>
  <c r="T655" i="1" s="1"/>
  <c r="S656" i="1"/>
  <c r="T656" i="1" s="1"/>
  <c r="S657" i="1"/>
  <c r="T657" i="1" s="1"/>
  <c r="S658" i="1"/>
  <c r="T658" i="1" s="1"/>
  <c r="S659" i="1"/>
  <c r="T659" i="1" s="1"/>
  <c r="S660" i="1"/>
  <c r="T660" i="1" s="1"/>
  <c r="S661" i="1"/>
  <c r="T661" i="1" s="1"/>
  <c r="S662" i="1"/>
  <c r="T662" i="1" s="1"/>
  <c r="S663" i="1"/>
  <c r="T663" i="1" s="1"/>
  <c r="S664" i="1"/>
  <c r="T664" i="1" s="1"/>
  <c r="S665" i="1"/>
  <c r="T665" i="1" s="1"/>
  <c r="S666" i="1"/>
  <c r="T666" i="1" s="1"/>
  <c r="S667" i="1"/>
  <c r="T667" i="1" s="1"/>
  <c r="S668" i="1"/>
  <c r="T668" i="1" s="1"/>
  <c r="S669" i="1"/>
  <c r="T669" i="1" s="1"/>
  <c r="S670" i="1"/>
  <c r="T670" i="1" s="1"/>
  <c r="S671" i="1"/>
  <c r="T671" i="1" s="1"/>
  <c r="S672" i="1"/>
  <c r="T672" i="1" s="1"/>
  <c r="S673" i="1"/>
  <c r="T673" i="1" s="1"/>
  <c r="S674" i="1"/>
  <c r="T674" i="1" s="1"/>
  <c r="S675" i="1"/>
  <c r="T675" i="1" s="1"/>
  <c r="S676" i="1"/>
  <c r="T676" i="1" s="1"/>
  <c r="S677" i="1"/>
  <c r="T677" i="1" s="1"/>
  <c r="S678" i="1"/>
  <c r="T678" i="1" s="1"/>
  <c r="S679" i="1"/>
  <c r="T679" i="1" s="1"/>
  <c r="S680" i="1"/>
  <c r="T680" i="1" s="1"/>
  <c r="S681" i="1"/>
  <c r="T681" i="1" s="1"/>
  <c r="S682" i="1"/>
  <c r="T682" i="1" s="1"/>
  <c r="S683" i="1"/>
  <c r="T683" i="1" s="1"/>
  <c r="S684" i="1"/>
  <c r="T684" i="1" s="1"/>
  <c r="S685" i="1"/>
  <c r="T685" i="1" s="1"/>
  <c r="S686" i="1"/>
  <c r="T686" i="1" s="1"/>
  <c r="S687" i="1"/>
  <c r="T687" i="1" s="1"/>
  <c r="S688" i="1"/>
  <c r="T688" i="1" s="1"/>
  <c r="S689" i="1"/>
  <c r="T689" i="1" s="1"/>
  <c r="S690" i="1"/>
  <c r="T690" i="1" s="1"/>
  <c r="S691" i="1"/>
  <c r="T691" i="1" s="1"/>
  <c r="S692" i="1"/>
  <c r="T692" i="1" s="1"/>
  <c r="S693" i="1"/>
  <c r="T693" i="1" s="1"/>
  <c r="S694" i="1"/>
  <c r="T694" i="1" s="1"/>
  <c r="S695" i="1"/>
  <c r="T695" i="1" s="1"/>
  <c r="S696" i="1"/>
  <c r="T696" i="1" s="1"/>
  <c r="S697" i="1"/>
  <c r="T697" i="1" s="1"/>
  <c r="S698" i="1"/>
  <c r="T698" i="1" s="1"/>
  <c r="S699" i="1"/>
  <c r="T699" i="1" s="1"/>
  <c r="S700" i="1"/>
  <c r="T700" i="1" s="1"/>
  <c r="S701" i="1"/>
  <c r="T701" i="1" s="1"/>
  <c r="S702" i="1"/>
  <c r="T702" i="1" s="1"/>
  <c r="S703" i="1"/>
  <c r="T703" i="1" s="1"/>
  <c r="S704" i="1"/>
  <c r="T704" i="1" s="1"/>
  <c r="S705" i="1"/>
  <c r="T705" i="1" s="1"/>
  <c r="S706" i="1"/>
  <c r="T706" i="1" s="1"/>
  <c r="S707" i="1"/>
  <c r="T707" i="1" s="1"/>
  <c r="S708" i="1"/>
  <c r="T708" i="1" s="1"/>
  <c r="S709" i="1"/>
  <c r="T709" i="1" s="1"/>
  <c r="S710" i="1"/>
  <c r="T710" i="1" s="1"/>
  <c r="S711" i="1"/>
  <c r="T711" i="1" s="1"/>
  <c r="S712" i="1"/>
  <c r="T712" i="1" s="1"/>
  <c r="S713" i="1"/>
  <c r="T713" i="1" s="1"/>
  <c r="S714" i="1"/>
  <c r="T714" i="1" s="1"/>
  <c r="S715" i="1"/>
  <c r="T715" i="1" s="1"/>
  <c r="S716" i="1"/>
  <c r="T716" i="1" s="1"/>
  <c r="S717" i="1"/>
  <c r="T717" i="1" s="1"/>
  <c r="S718" i="1"/>
  <c r="T718" i="1" s="1"/>
  <c r="S719" i="1"/>
  <c r="T719" i="1" s="1"/>
  <c r="S720" i="1"/>
  <c r="T720" i="1" s="1"/>
  <c r="S721" i="1"/>
  <c r="T721" i="1" s="1"/>
  <c r="S722" i="1"/>
  <c r="T722" i="1" s="1"/>
  <c r="S723" i="1"/>
  <c r="T723" i="1" s="1"/>
  <c r="S724" i="1"/>
  <c r="T724" i="1" s="1"/>
  <c r="S725" i="1"/>
  <c r="T725" i="1" s="1"/>
  <c r="S726" i="1"/>
  <c r="T726" i="1" s="1"/>
  <c r="S727" i="1"/>
  <c r="T727" i="1" s="1"/>
  <c r="S728" i="1"/>
  <c r="T728" i="1" s="1"/>
  <c r="S729" i="1"/>
  <c r="T729" i="1" s="1"/>
  <c r="S730" i="1"/>
  <c r="T730" i="1" s="1"/>
  <c r="S731" i="1"/>
  <c r="T731" i="1" s="1"/>
  <c r="S732" i="1"/>
  <c r="T732" i="1" s="1"/>
  <c r="S733" i="1"/>
  <c r="T733" i="1" s="1"/>
  <c r="S734" i="1"/>
  <c r="T734" i="1" s="1"/>
  <c r="S735" i="1"/>
  <c r="T735" i="1" s="1"/>
  <c r="S736" i="1"/>
  <c r="T736" i="1" s="1"/>
  <c r="S737" i="1"/>
  <c r="T737" i="1" s="1"/>
  <c r="S738" i="1"/>
  <c r="T738" i="1" s="1"/>
  <c r="S739" i="1"/>
  <c r="T739" i="1" s="1"/>
  <c r="S740" i="1"/>
  <c r="T740" i="1" s="1"/>
  <c r="S741" i="1"/>
  <c r="T741" i="1" s="1"/>
  <c r="S742" i="1"/>
  <c r="T742" i="1" s="1"/>
  <c r="S743" i="1"/>
  <c r="T743" i="1" s="1"/>
  <c r="S744" i="1"/>
  <c r="T744" i="1" s="1"/>
  <c r="S745" i="1"/>
  <c r="T745" i="1" s="1"/>
  <c r="S746" i="1"/>
  <c r="T746" i="1" s="1"/>
  <c r="S747" i="1"/>
  <c r="T747" i="1" s="1"/>
  <c r="S748" i="1"/>
  <c r="T748" i="1" s="1"/>
  <c r="S749" i="1"/>
  <c r="T749" i="1" s="1"/>
  <c r="S750" i="1"/>
  <c r="T750" i="1" s="1"/>
  <c r="S751" i="1"/>
  <c r="T751" i="1" s="1"/>
  <c r="S752" i="1"/>
  <c r="T752" i="1" s="1"/>
  <c r="S753" i="1"/>
  <c r="T753" i="1" s="1"/>
  <c r="S754" i="1"/>
  <c r="T754" i="1" s="1"/>
  <c r="S755" i="1"/>
  <c r="T755" i="1" s="1"/>
  <c r="S756" i="1"/>
  <c r="T756" i="1" s="1"/>
  <c r="S757" i="1"/>
  <c r="T757" i="1" s="1"/>
  <c r="S758" i="1"/>
  <c r="T758" i="1" s="1"/>
  <c r="S759" i="1"/>
  <c r="T759" i="1" s="1"/>
  <c r="S760" i="1"/>
  <c r="T760" i="1" s="1"/>
  <c r="S761" i="1"/>
  <c r="T761" i="1" s="1"/>
  <c r="S762" i="1"/>
  <c r="T762" i="1" s="1"/>
  <c r="S763" i="1"/>
  <c r="T763" i="1" s="1"/>
  <c r="S764" i="1"/>
  <c r="T764" i="1" s="1"/>
  <c r="S765" i="1"/>
  <c r="T765" i="1" s="1"/>
  <c r="S766" i="1"/>
  <c r="T766" i="1" s="1"/>
  <c r="S767" i="1"/>
  <c r="T767" i="1" s="1"/>
  <c r="S768" i="1"/>
  <c r="T768" i="1" s="1"/>
  <c r="S769" i="1"/>
  <c r="T769" i="1" s="1"/>
  <c r="S770" i="1"/>
  <c r="T770" i="1" s="1"/>
  <c r="S771" i="1"/>
  <c r="T771" i="1" s="1"/>
  <c r="S772" i="1"/>
  <c r="T772" i="1" s="1"/>
  <c r="S773" i="1"/>
  <c r="T773" i="1" s="1"/>
  <c r="S774" i="1"/>
  <c r="T774" i="1" s="1"/>
  <c r="S775" i="1"/>
  <c r="T775" i="1" s="1"/>
  <c r="S776" i="1"/>
  <c r="T776" i="1" s="1"/>
  <c r="S777" i="1"/>
  <c r="T777" i="1" s="1"/>
  <c r="S778" i="1"/>
  <c r="T778" i="1" s="1"/>
  <c r="S779" i="1"/>
  <c r="T779" i="1" s="1"/>
  <c r="S780" i="1"/>
  <c r="T780" i="1" s="1"/>
  <c r="S781" i="1"/>
  <c r="T781" i="1" s="1"/>
  <c r="S782" i="1"/>
  <c r="T782" i="1" s="1"/>
  <c r="S783" i="1"/>
  <c r="T783" i="1" s="1"/>
  <c r="S784" i="1"/>
  <c r="T784" i="1" s="1"/>
  <c r="S785" i="1"/>
  <c r="T785" i="1" s="1"/>
  <c r="S786" i="1"/>
  <c r="T786" i="1" s="1"/>
  <c r="S787" i="1"/>
  <c r="T787" i="1" s="1"/>
  <c r="S788" i="1"/>
  <c r="T788" i="1" s="1"/>
  <c r="S789" i="1"/>
  <c r="T789" i="1" s="1"/>
  <c r="S790" i="1"/>
  <c r="T790" i="1" s="1"/>
  <c r="S791" i="1"/>
  <c r="T791" i="1" s="1"/>
  <c r="S792" i="1"/>
  <c r="T792" i="1" s="1"/>
  <c r="S793" i="1"/>
  <c r="T793" i="1" s="1"/>
  <c r="S794" i="1"/>
  <c r="T794" i="1" s="1"/>
  <c r="S795" i="1"/>
  <c r="T795" i="1" s="1"/>
  <c r="S796" i="1"/>
  <c r="T796" i="1" s="1"/>
  <c r="S797" i="1"/>
  <c r="T797" i="1" s="1"/>
  <c r="S798" i="1"/>
  <c r="T798" i="1" s="1"/>
  <c r="S799" i="1"/>
  <c r="T799" i="1" s="1"/>
  <c r="S800" i="1"/>
  <c r="T800" i="1" s="1"/>
  <c r="S801" i="1"/>
  <c r="T801" i="1" s="1"/>
  <c r="S802" i="1"/>
  <c r="T802" i="1" s="1"/>
  <c r="S803" i="1"/>
  <c r="T803" i="1" s="1"/>
  <c r="S804" i="1"/>
  <c r="T804" i="1" s="1"/>
  <c r="S805" i="1"/>
  <c r="T805" i="1" s="1"/>
  <c r="S806" i="1"/>
  <c r="T806" i="1" s="1"/>
  <c r="S807" i="1"/>
  <c r="T807" i="1" s="1"/>
  <c r="S808" i="1"/>
  <c r="T808" i="1" s="1"/>
  <c r="S809" i="1"/>
  <c r="T809" i="1" s="1"/>
  <c r="S810" i="1"/>
  <c r="T810" i="1" s="1"/>
  <c r="S811" i="1"/>
  <c r="T811" i="1" s="1"/>
  <c r="S812" i="1"/>
  <c r="T812" i="1" s="1"/>
  <c r="S813" i="1"/>
  <c r="T813" i="1" s="1"/>
  <c r="S814" i="1"/>
  <c r="T814" i="1" s="1"/>
  <c r="S815" i="1"/>
  <c r="T815" i="1" s="1"/>
  <c r="S816" i="1"/>
  <c r="T816" i="1" s="1"/>
  <c r="S817" i="1"/>
  <c r="T817" i="1" s="1"/>
  <c r="S818" i="1"/>
  <c r="T818" i="1" s="1"/>
  <c r="S819" i="1"/>
  <c r="T819" i="1" s="1"/>
  <c r="S820" i="1"/>
  <c r="T820" i="1" s="1"/>
  <c r="S821" i="1"/>
  <c r="T821" i="1" s="1"/>
  <c r="S822" i="1"/>
  <c r="T822" i="1" s="1"/>
  <c r="S823" i="1"/>
  <c r="T823" i="1" s="1"/>
  <c r="S824" i="1"/>
  <c r="T824" i="1" s="1"/>
  <c r="S825" i="1"/>
  <c r="T825" i="1" s="1"/>
  <c r="S826" i="1"/>
  <c r="T826" i="1" s="1"/>
  <c r="S827" i="1"/>
  <c r="T827" i="1" s="1"/>
  <c r="S828" i="1"/>
  <c r="T828" i="1" s="1"/>
  <c r="S829" i="1"/>
  <c r="T829" i="1" s="1"/>
  <c r="S830" i="1"/>
  <c r="T830" i="1" s="1"/>
  <c r="S831" i="1"/>
  <c r="T831" i="1" s="1"/>
  <c r="S832" i="1"/>
  <c r="T832" i="1" s="1"/>
  <c r="S833" i="1"/>
  <c r="T833" i="1" s="1"/>
  <c r="S834" i="1"/>
  <c r="T834" i="1" s="1"/>
  <c r="S835" i="1"/>
  <c r="T835" i="1" s="1"/>
  <c r="S836" i="1"/>
  <c r="T836" i="1" s="1"/>
  <c r="S837" i="1"/>
  <c r="T837" i="1" s="1"/>
  <c r="S838" i="1"/>
  <c r="T838" i="1" s="1"/>
  <c r="S839" i="1"/>
  <c r="T839" i="1" s="1"/>
  <c r="S840" i="1"/>
  <c r="T840" i="1" s="1"/>
  <c r="S841" i="1"/>
  <c r="T841" i="1" s="1"/>
  <c r="S842" i="1"/>
  <c r="T842" i="1" s="1"/>
  <c r="S843" i="1"/>
  <c r="T843" i="1" s="1"/>
  <c r="S844" i="1"/>
  <c r="T844" i="1" s="1"/>
  <c r="S845" i="1"/>
  <c r="T845" i="1" s="1"/>
  <c r="S846" i="1"/>
  <c r="T846" i="1" s="1"/>
  <c r="S847" i="1"/>
  <c r="T847" i="1" s="1"/>
  <c r="S848" i="1"/>
  <c r="T848" i="1" s="1"/>
  <c r="S849" i="1"/>
  <c r="T849" i="1" s="1"/>
  <c r="S850" i="1"/>
  <c r="T850" i="1" s="1"/>
  <c r="S851" i="1"/>
  <c r="T851" i="1" s="1"/>
  <c r="S852" i="1"/>
  <c r="T852" i="1" s="1"/>
  <c r="S853" i="1"/>
  <c r="T853" i="1" s="1"/>
  <c r="S854" i="1"/>
  <c r="T854" i="1" s="1"/>
  <c r="S855" i="1"/>
  <c r="T855" i="1" s="1"/>
  <c r="S856" i="1"/>
  <c r="T856" i="1" s="1"/>
  <c r="S857" i="1"/>
  <c r="T857" i="1" s="1"/>
  <c r="S858" i="1"/>
  <c r="T858" i="1" s="1"/>
  <c r="S859" i="1"/>
  <c r="T859" i="1" s="1"/>
  <c r="S860" i="1"/>
  <c r="T860" i="1" s="1"/>
  <c r="S861" i="1"/>
  <c r="T861" i="1" s="1"/>
  <c r="S862" i="1"/>
  <c r="T862" i="1" s="1"/>
  <c r="S863" i="1"/>
  <c r="T863" i="1" s="1"/>
  <c r="S864" i="1"/>
  <c r="T864" i="1" s="1"/>
  <c r="S865" i="1"/>
  <c r="T865" i="1" s="1"/>
  <c r="S866" i="1"/>
  <c r="T866" i="1" s="1"/>
  <c r="S867" i="1"/>
  <c r="T867" i="1" s="1"/>
  <c r="S868" i="1"/>
  <c r="T868" i="1" s="1"/>
  <c r="S869" i="1"/>
  <c r="T869" i="1" s="1"/>
  <c r="S870" i="1"/>
  <c r="T870" i="1" s="1"/>
  <c r="S871" i="1"/>
  <c r="T871" i="1" s="1"/>
  <c r="S872" i="1"/>
  <c r="T872" i="1" s="1"/>
  <c r="S873" i="1"/>
  <c r="T873" i="1" s="1"/>
  <c r="S874" i="1"/>
  <c r="T874" i="1" s="1"/>
  <c r="S875" i="1"/>
  <c r="T875" i="1" s="1"/>
  <c r="S876" i="1"/>
  <c r="T876" i="1" s="1"/>
  <c r="S877" i="1"/>
  <c r="T877" i="1" s="1"/>
  <c r="S878" i="1"/>
  <c r="T878" i="1" s="1"/>
  <c r="S879" i="1"/>
  <c r="T879" i="1" s="1"/>
  <c r="S880" i="1"/>
  <c r="T880" i="1" s="1"/>
  <c r="S881" i="1"/>
  <c r="T881" i="1" s="1"/>
  <c r="S882" i="1"/>
  <c r="T882" i="1" s="1"/>
  <c r="S883" i="1"/>
  <c r="T883" i="1" s="1"/>
  <c r="S884" i="1"/>
  <c r="T884" i="1" s="1"/>
  <c r="S885" i="1"/>
  <c r="T885" i="1" s="1"/>
  <c r="S886" i="1"/>
  <c r="T886" i="1" s="1"/>
  <c r="S887" i="1"/>
  <c r="T887" i="1" s="1"/>
  <c r="S888" i="1"/>
  <c r="T888" i="1" s="1"/>
  <c r="S889" i="1"/>
  <c r="T889" i="1" s="1"/>
  <c r="S890" i="1"/>
  <c r="T890" i="1" s="1"/>
  <c r="S891" i="1"/>
  <c r="T891" i="1" s="1"/>
  <c r="S892" i="1"/>
  <c r="T892" i="1" s="1"/>
  <c r="S893" i="1"/>
  <c r="T893" i="1" s="1"/>
  <c r="S894" i="1"/>
  <c r="T894" i="1" s="1"/>
  <c r="S895" i="1"/>
  <c r="T895" i="1" s="1"/>
  <c r="S896" i="1"/>
  <c r="T896" i="1" s="1"/>
  <c r="S897" i="1"/>
  <c r="T897" i="1" s="1"/>
  <c r="S898" i="1"/>
  <c r="T898" i="1" s="1"/>
  <c r="S899" i="1"/>
  <c r="T899" i="1" s="1"/>
  <c r="S900" i="1"/>
  <c r="T900" i="1" s="1"/>
  <c r="S901" i="1"/>
  <c r="T901" i="1" s="1"/>
  <c r="S902" i="1"/>
  <c r="T902" i="1" s="1"/>
  <c r="S903" i="1"/>
  <c r="T903" i="1" s="1"/>
  <c r="S904" i="1"/>
  <c r="T904" i="1" s="1"/>
  <c r="S905" i="1"/>
  <c r="T905" i="1" s="1"/>
  <c r="S906" i="1"/>
  <c r="T906" i="1" s="1"/>
  <c r="S907" i="1"/>
  <c r="T907" i="1" s="1"/>
  <c r="S908" i="1"/>
  <c r="T908" i="1" s="1"/>
  <c r="S909" i="1"/>
  <c r="T909" i="1" s="1"/>
  <c r="S910" i="1"/>
  <c r="T910" i="1" s="1"/>
  <c r="S911" i="1"/>
  <c r="T911" i="1" s="1"/>
  <c r="S912" i="1"/>
  <c r="T912" i="1" s="1"/>
  <c r="S913" i="1"/>
  <c r="T913" i="1" s="1"/>
  <c r="S914" i="1"/>
  <c r="T914" i="1" s="1"/>
  <c r="S915" i="1"/>
  <c r="T915" i="1" s="1"/>
  <c r="S916" i="1"/>
  <c r="T916" i="1" s="1"/>
  <c r="S917" i="1"/>
  <c r="T917" i="1" s="1"/>
  <c r="S918" i="1"/>
  <c r="T918" i="1" s="1"/>
  <c r="S919" i="1"/>
  <c r="T919" i="1" s="1"/>
  <c r="S920" i="1"/>
  <c r="T920" i="1" s="1"/>
  <c r="S921" i="1"/>
  <c r="T921" i="1" s="1"/>
  <c r="S922" i="1"/>
  <c r="T922" i="1" s="1"/>
  <c r="S923" i="1"/>
  <c r="T923" i="1" s="1"/>
  <c r="S924" i="1"/>
  <c r="T924" i="1" s="1"/>
  <c r="S925" i="1"/>
  <c r="T925" i="1" s="1"/>
  <c r="S926" i="1"/>
  <c r="T926" i="1" s="1"/>
  <c r="S927" i="1"/>
  <c r="T927" i="1" s="1"/>
  <c r="S928" i="1"/>
  <c r="T928" i="1" s="1"/>
  <c r="S929" i="1"/>
  <c r="T929" i="1" s="1"/>
  <c r="S930" i="1"/>
  <c r="T930" i="1" s="1"/>
  <c r="S931" i="1"/>
  <c r="T931" i="1" s="1"/>
  <c r="S932" i="1"/>
  <c r="T932" i="1" s="1"/>
  <c r="S933" i="1"/>
  <c r="T933" i="1" s="1"/>
  <c r="S934" i="1"/>
  <c r="T934" i="1" s="1"/>
  <c r="S935" i="1"/>
  <c r="T935" i="1" s="1"/>
  <c r="S936" i="1"/>
  <c r="T936" i="1" s="1"/>
  <c r="S937" i="1"/>
  <c r="T937" i="1" s="1"/>
  <c r="S938" i="1"/>
  <c r="T938" i="1" s="1"/>
  <c r="S939" i="1"/>
  <c r="T939" i="1" s="1"/>
  <c r="S940" i="1"/>
  <c r="T940" i="1" s="1"/>
  <c r="S941" i="1"/>
  <c r="T941" i="1" s="1"/>
  <c r="S942" i="1"/>
  <c r="T942" i="1" s="1"/>
  <c r="S943" i="1"/>
  <c r="T943" i="1" s="1"/>
  <c r="S944" i="1"/>
  <c r="T944" i="1" s="1"/>
  <c r="S945" i="1"/>
  <c r="T945" i="1" s="1"/>
  <c r="S946" i="1"/>
  <c r="T946" i="1" s="1"/>
  <c r="S947" i="1"/>
  <c r="T947" i="1" s="1"/>
  <c r="S948" i="1"/>
  <c r="T948" i="1" s="1"/>
  <c r="S949" i="1"/>
  <c r="T949" i="1" s="1"/>
  <c r="S950" i="1"/>
  <c r="T950" i="1" s="1"/>
  <c r="S951" i="1"/>
  <c r="T951" i="1" s="1"/>
  <c r="S952" i="1"/>
  <c r="T952" i="1" s="1"/>
  <c r="S953" i="1"/>
  <c r="T953" i="1" s="1"/>
  <c r="S954" i="1"/>
  <c r="T954" i="1" s="1"/>
  <c r="S955" i="1"/>
  <c r="T955" i="1" s="1"/>
  <c r="S956" i="1"/>
  <c r="T956" i="1" s="1"/>
  <c r="S957" i="1"/>
  <c r="T957" i="1" s="1"/>
  <c r="S958" i="1"/>
  <c r="T958" i="1" s="1"/>
  <c r="S959" i="1"/>
  <c r="T959" i="1" s="1"/>
  <c r="S960" i="1"/>
  <c r="T960" i="1" s="1"/>
  <c r="S961" i="1"/>
  <c r="T961" i="1" s="1"/>
  <c r="S962" i="1"/>
  <c r="T962" i="1" s="1"/>
  <c r="S963" i="1"/>
  <c r="T963" i="1" s="1"/>
  <c r="S964" i="1"/>
  <c r="T964" i="1" s="1"/>
  <c r="S965" i="1"/>
  <c r="T965" i="1" s="1"/>
  <c r="S966" i="1"/>
  <c r="T966" i="1" s="1"/>
  <c r="S967" i="1"/>
  <c r="T967" i="1" s="1"/>
  <c r="S968" i="1"/>
  <c r="T968" i="1" s="1"/>
  <c r="S969" i="1"/>
  <c r="T969" i="1" s="1"/>
  <c r="S970" i="1"/>
  <c r="T970" i="1" s="1"/>
  <c r="S971" i="1"/>
  <c r="T971" i="1" s="1"/>
  <c r="S972" i="1"/>
  <c r="T972" i="1" s="1"/>
  <c r="S973" i="1"/>
  <c r="T973" i="1" s="1"/>
  <c r="S974" i="1"/>
  <c r="T974" i="1" s="1"/>
  <c r="S975" i="1"/>
  <c r="T975" i="1" s="1"/>
  <c r="S976" i="1"/>
  <c r="T976" i="1" s="1"/>
  <c r="S977" i="1"/>
  <c r="T977" i="1" s="1"/>
  <c r="S978" i="1"/>
  <c r="T978" i="1" s="1"/>
  <c r="S979" i="1"/>
  <c r="T979" i="1" s="1"/>
  <c r="S980" i="1"/>
  <c r="T980" i="1" s="1"/>
  <c r="S981" i="1"/>
  <c r="T981" i="1" s="1"/>
  <c r="S982" i="1"/>
  <c r="T982" i="1" s="1"/>
  <c r="S983" i="1"/>
  <c r="T983" i="1" s="1"/>
  <c r="S984" i="1"/>
  <c r="T984" i="1" s="1"/>
  <c r="S985" i="1"/>
  <c r="T985" i="1" s="1"/>
  <c r="S986" i="1"/>
  <c r="T986" i="1" s="1"/>
  <c r="S987" i="1"/>
  <c r="T987" i="1" s="1"/>
  <c r="S988" i="1"/>
  <c r="T988" i="1" s="1"/>
  <c r="S989" i="1"/>
  <c r="T989" i="1" s="1"/>
  <c r="S990" i="1"/>
  <c r="T990" i="1" s="1"/>
  <c r="S991" i="1"/>
  <c r="T991" i="1" s="1"/>
  <c r="S992" i="1"/>
  <c r="T992" i="1" s="1"/>
  <c r="S993" i="1"/>
  <c r="T993" i="1" s="1"/>
  <c r="S994" i="1"/>
  <c r="T994" i="1" s="1"/>
  <c r="S995" i="1"/>
  <c r="T995" i="1" s="1"/>
  <c r="S996" i="1"/>
  <c r="T996" i="1" s="1"/>
  <c r="S997" i="1"/>
  <c r="T997" i="1" s="1"/>
  <c r="S998" i="1"/>
  <c r="T998" i="1" s="1"/>
  <c r="S999" i="1"/>
  <c r="T999" i="1" s="1"/>
  <c r="S1000" i="1"/>
  <c r="T1000" i="1" s="1"/>
  <c r="S1001" i="1"/>
  <c r="T1001" i="1" s="1"/>
  <c r="S3" i="1"/>
  <c r="T3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3" i="1"/>
  <c r="E8" i="6" l="1"/>
  <c r="F8" i="6" s="1"/>
  <c r="E9" i="6"/>
  <c r="H9" i="6" s="1"/>
  <c r="H8" i="6"/>
  <c r="E3" i="6"/>
  <c r="F3" i="6" s="1"/>
  <c r="E11" i="6"/>
  <c r="H11" i="6" s="1"/>
  <c r="E4" i="6"/>
  <c r="H4" i="6" s="1"/>
  <c r="E12" i="6"/>
  <c r="H12" i="6" s="1"/>
  <c r="G8" i="6"/>
  <c r="E10" i="6"/>
  <c r="H10" i="6" s="1"/>
  <c r="E5" i="6"/>
  <c r="H5" i="6" s="1"/>
  <c r="E13" i="6"/>
  <c r="G13" i="6" s="1"/>
  <c r="G9" i="6"/>
  <c r="E2" i="6"/>
  <c r="H2" i="6" s="1"/>
  <c r="E6" i="6"/>
  <c r="G6" i="6" s="1"/>
  <c r="G2" i="6"/>
  <c r="E7" i="6"/>
  <c r="H7" i="6" s="1"/>
  <c r="T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G10" i="6" l="1"/>
  <c r="G7" i="6"/>
  <c r="F10" i="6"/>
  <c r="F6" i="6"/>
  <c r="H3" i="6"/>
  <c r="H6" i="6"/>
  <c r="G5" i="6"/>
  <c r="G11" i="6"/>
  <c r="F7" i="6"/>
  <c r="F13" i="6"/>
  <c r="F12" i="6"/>
  <c r="G3" i="6"/>
  <c r="F11" i="6"/>
  <c r="F9" i="6"/>
  <c r="F5" i="6"/>
  <c r="G12" i="6"/>
  <c r="F2" i="6"/>
  <c r="F4" i="6"/>
  <c r="G4" i="6"/>
  <c r="H13" i="6"/>
</calcChain>
</file>

<file path=xl/sharedStrings.xml><?xml version="1.0" encoding="utf-8"?>
<sst xmlns="http://schemas.openxmlformats.org/spreadsheetml/2006/main" count="7066" uniqueCount="2118">
  <si>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</si>
  <si>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</si>
  <si>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</si>
  <si>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</si>
  <si>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</si>
  <si>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</si>
  <si>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</si>
  <si>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</si>
  <si>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</si>
  <si>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</si>
  <si>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</si>
  <si>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</si>
  <si>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</si>
  <si>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</si>
  <si>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</si>
  <si>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</si>
  <si>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</si>
  <si>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</si>
  <si>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</si>
  <si>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</si>
  <si>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</si>
  <si>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</si>
  <si>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</si>
  <si>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</si>
  <si>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</si>
  <si>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</si>
  <si>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</si>
  <si>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</si>
  <si>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</si>
  <si>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</si>
  <si>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</si>
  <si>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</si>
  <si>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</si>
  <si>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</si>
  <si>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</si>
  <si>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</si>
  <si>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</si>
  <si>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</si>
  <si>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</si>
  <si>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</si>
  <si>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</si>
  <si>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</si>
  <si>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</si>
  <si>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</si>
  <si>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</si>
  <si>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</si>
  <si>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</si>
  <si>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</si>
  <si>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</si>
  <si>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</si>
  <si>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</si>
  <si>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</si>
  <si>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</si>
  <si>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</si>
  <si>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</si>
  <si>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</si>
  <si>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</si>
  <si>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</si>
  <si>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</si>
  <si>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</si>
  <si>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</si>
  <si>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</si>
  <si>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</si>
  <si>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</si>
  <si>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</si>
  <si>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</si>
  <si>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</si>
  <si>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</si>
  <si>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</si>
  <si>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</si>
  <si>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</si>
  <si>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</si>
  <si>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</si>
  <si>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</si>
  <si>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</si>
  <si>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</si>
  <si>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</si>
  <si>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</si>
  <si>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</si>
  <si>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</si>
  <si>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</si>
  <si>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</si>
  <si>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</si>
  <si>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</si>
  <si>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</si>
  <si>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</si>
  <si>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</si>
  <si>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</si>
  <si>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</si>
  <si>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</si>
  <si>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</si>
  <si>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</si>
  <si>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</si>
  <si>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</si>
  <si>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</si>
  <si>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</si>
  <si>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</si>
  <si>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</si>
  <si>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</si>
  <si>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</si>
  <si>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</si>
  <si>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</si>
  <si>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</si>
  <si>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</si>
  <si>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</si>
  <si>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</si>
  <si>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</si>
  <si>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</si>
  <si>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</si>
  <si>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</si>
  <si>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</si>
  <si>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</si>
  <si>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</si>
  <si>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</si>
  <si>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</si>
  <si>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</si>
  <si>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</si>
  <si>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</si>
  <si>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</si>
  <si>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</si>
  <si>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</si>
  <si>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</si>
  <si>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</si>
  <si>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</si>
  <si>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</si>
  <si>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</si>
  <si>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</si>
  <si>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</si>
  <si>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</si>
  <si>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</si>
  <si>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</si>
  <si>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</si>
  <si>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</si>
  <si>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</si>
  <si>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</si>
  <si>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</si>
  <si>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</si>
  <si>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</si>
  <si>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</si>
  <si>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</si>
  <si>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</si>
  <si>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</si>
  <si>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</si>
  <si>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</si>
  <si>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</si>
  <si>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</si>
  <si>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</si>
  <si>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</si>
  <si>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</si>
  <si>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</si>
  <si>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</si>
  <si>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</si>
  <si>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</si>
  <si>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</si>
  <si>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</si>
  <si>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</si>
  <si>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</si>
  <si>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</si>
  <si>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</si>
  <si>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</si>
  <si>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</si>
  <si>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</si>
  <si>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</si>
  <si>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</si>
  <si>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</si>
  <si>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</si>
  <si>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</si>
  <si>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</si>
  <si>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</si>
  <si>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</si>
  <si>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</si>
  <si>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</si>
  <si>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</si>
  <si>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</si>
  <si>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</si>
  <si>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</si>
  <si>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</si>
  <si>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</si>
  <si>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</si>
  <si>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</si>
  <si>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</si>
  <si>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</si>
  <si>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</si>
  <si>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</si>
  <si>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</si>
  <si>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</si>
  <si>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</si>
  <si>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</si>
  <si>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</si>
  <si>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</si>
  <si>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</si>
  <si>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</si>
  <si>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</si>
  <si>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</si>
  <si>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</si>
  <si>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</si>
  <si>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</si>
  <si>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</si>
  <si>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</si>
  <si>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</si>
  <si>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</si>
  <si>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</si>
  <si>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</si>
  <si>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</si>
  <si>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</si>
  <si>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</si>
  <si>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</si>
  <si>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</si>
  <si>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</si>
  <si>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</si>
  <si>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</si>
  <si>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</si>
  <si>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</si>
  <si>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</si>
  <si>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</si>
  <si>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</si>
  <si>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</si>
  <si>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</si>
  <si>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</si>
  <si>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</si>
  <si>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</si>
  <si>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</si>
  <si>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</si>
  <si>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</si>
  <si>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</si>
  <si>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</si>
  <si>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</si>
  <si>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</si>
  <si>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</si>
  <si>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</si>
  <si>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</si>
  <si>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</si>
  <si>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</si>
  <si>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</si>
  <si>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</si>
  <si>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</si>
  <si>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</si>
  <si>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</si>
  <si>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</si>
  <si>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</si>
  <si>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</si>
  <si>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</si>
  <si>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</si>
  <si>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</si>
  <si>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</si>
  <si>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</si>
  <si>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</si>
  <si>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</si>
  <si>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</si>
  <si>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</si>
  <si>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</si>
  <si>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</si>
  <si>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</si>
  <si>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</si>
  <si>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</si>
  <si>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</si>
  <si>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</si>
  <si>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</si>
  <si>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</si>
  <si>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</si>
  <si>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</si>
  <si>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</si>
  <si>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</si>
  <si>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</si>
  <si>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</si>
  <si>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</si>
  <si>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</si>
  <si>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</si>
  <si>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</si>
  <si>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</si>
  <si>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</si>
  <si>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</si>
  <si>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</si>
  <si>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</si>
  <si>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</si>
  <si>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</si>
  <si>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</si>
  <si>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</si>
  <si>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</si>
  <si>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</si>
  <si>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</si>
  <si>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</si>
  <si>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</si>
  <si>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</si>
  <si>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</si>
  <si>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</si>
  <si>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</si>
  <si>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</si>
  <si>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</si>
  <si>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</si>
  <si>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</si>
  <si>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</si>
  <si>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</si>
  <si>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</si>
  <si>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</si>
  <si>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</si>
  <si>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</si>
  <si>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</si>
  <si>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</si>
  <si>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</si>
  <si>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</si>
  <si>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</si>
  <si>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</si>
  <si>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</si>
  <si>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</si>
  <si>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</si>
  <si>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</si>
  <si>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</si>
  <si>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</si>
  <si>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</si>
  <si>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</si>
  <si>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</si>
  <si>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</si>
  <si>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</si>
  <si>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</si>
  <si>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</si>
  <si>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</si>
  <si>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</si>
  <si>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</si>
  <si>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</si>
  <si>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</si>
  <si>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</si>
  <si>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</si>
  <si>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</si>
  <si>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</si>
  <si>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</si>
  <si>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</si>
  <si>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</si>
  <si>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</si>
  <si>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</si>
  <si>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</si>
  <si>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</si>
  <si>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</si>
  <si>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</si>
  <si>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</si>
  <si>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</si>
  <si>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</si>
  <si>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</si>
  <si>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</si>
  <si>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</si>
  <si>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</si>
  <si>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</si>
  <si>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</si>
  <si>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</si>
  <si>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</si>
  <si>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</si>
  <si>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</si>
  <si>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</si>
  <si>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</si>
  <si>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</si>
  <si>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</si>
  <si>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</si>
  <si>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</si>
  <si>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</si>
  <si>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</si>
  <si>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</si>
  <si>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</si>
  <si>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</si>
  <si>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</si>
  <si>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</si>
  <si>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</si>
  <si>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</si>
  <si>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</si>
  <si>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</si>
  <si>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</si>
  <si>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</si>
  <si>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</si>
  <si>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</si>
  <si>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</si>
  <si>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</si>
  <si>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</si>
  <si>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</si>
  <si>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</si>
  <si>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</si>
  <si>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</si>
  <si>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</si>
  <si>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</si>
  <si>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</si>
  <si>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</si>
  <si>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</si>
  <si>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</si>
  <si>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</si>
  <si>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</si>
  <si>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</si>
  <si>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</si>
  <si>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</si>
  <si>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</si>
  <si>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</si>
  <si>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</si>
  <si>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</si>
  <si>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</si>
  <si>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</si>
  <si>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</si>
  <si>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</si>
  <si>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</si>
  <si>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</si>
  <si>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</si>
  <si>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</si>
  <si>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</si>
  <si>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</si>
  <si>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</si>
  <si>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</si>
  <si>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</si>
  <si>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</si>
  <si>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</si>
  <si>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</si>
  <si>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</si>
  <si>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</si>
  <si>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</si>
  <si>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</si>
  <si>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</si>
  <si>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</si>
  <si>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</si>
  <si>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</si>
  <si>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</si>
  <si>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</si>
  <si>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</si>
  <si>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</si>
  <si>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</si>
  <si>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</si>
  <si>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</si>
  <si>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</si>
  <si>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</si>
  <si>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</si>
  <si>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</si>
  <si>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</si>
  <si>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</si>
  <si>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</si>
  <si>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</si>
  <si>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</si>
  <si>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</si>
  <si>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</si>
  <si>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</si>
  <si>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</si>
  <si>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</si>
  <si>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</si>
  <si>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</si>
  <si>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</si>
  <si>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</si>
  <si>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</si>
  <si>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</si>
  <si>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</si>
  <si>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</si>
  <si>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</si>
  <si>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</si>
  <si>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</si>
  <si>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</si>
  <si>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</si>
  <si>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</si>
  <si>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</si>
  <si>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</si>
  <si>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</si>
  <si>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</si>
  <si>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</si>
  <si>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</si>
  <si>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</si>
  <si>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</si>
  <si>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</si>
  <si>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</si>
  <si>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</si>
  <si>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</si>
  <si>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</si>
  <si>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</si>
  <si>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</si>
  <si>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</si>
  <si>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</si>
  <si>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</si>
  <si>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</si>
  <si>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</si>
  <si>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</si>
  <si>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</si>
  <si>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</si>
  <si>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</si>
  <si>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</si>
  <si>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</si>
  <si>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</si>
  <si>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</si>
  <si>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</si>
  <si>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</si>
  <si>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</si>
  <si>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</si>
  <si>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</si>
  <si>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</si>
  <si>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</si>
  <si>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</si>
  <si>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</si>
  <si>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</si>
  <si>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</si>
  <si>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</si>
  <si>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</si>
  <si>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</si>
  <si>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</si>
  <si>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</si>
  <si>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</si>
  <si>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</si>
  <si>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</si>
  <si>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</si>
  <si>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</si>
  <si>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</si>
  <si>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</si>
  <si>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</si>
  <si>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</si>
  <si>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</si>
  <si>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</si>
  <si>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</si>
  <si>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</si>
  <si>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</si>
  <si>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</si>
  <si>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</si>
  <si>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</si>
  <si>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</si>
  <si>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</si>
  <si>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</si>
  <si>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</si>
  <si>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</si>
  <si>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</si>
  <si>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</si>
  <si>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</si>
  <si>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</si>
  <si>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</si>
  <si>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</si>
  <si>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</si>
  <si>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</si>
  <si>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</si>
  <si>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</si>
  <si>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</si>
  <si>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</si>
  <si>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</si>
  <si>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</si>
  <si>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</si>
  <si>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</si>
  <si>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</si>
  <si>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</si>
  <si>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</si>
  <si>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</si>
  <si>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</si>
  <si>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</si>
  <si>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</si>
  <si>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</si>
  <si>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</si>
  <si>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</si>
  <si>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</si>
  <si>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</si>
  <si>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</si>
  <si>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</si>
  <si>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</si>
  <si>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</si>
  <si>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</si>
  <si>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</si>
  <si>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</si>
  <si>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</si>
  <si>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</si>
  <si>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</si>
  <si>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</si>
  <si>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</si>
  <si>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</si>
  <si>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</si>
  <si>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</si>
  <si>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</si>
  <si>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</si>
  <si>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</si>
  <si>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</si>
  <si>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</si>
  <si>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</si>
  <si>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</si>
  <si>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</si>
  <si>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</si>
  <si>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</si>
  <si>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</si>
  <si>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</si>
  <si>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</si>
  <si>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</si>
  <si>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</si>
  <si>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</si>
  <si>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</si>
  <si>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</si>
  <si>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</si>
  <si>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</si>
  <si>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</si>
  <si>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</si>
  <si>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</si>
  <si>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</si>
  <si>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</si>
  <si>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</si>
  <si>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</si>
  <si>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</si>
  <si>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</si>
  <si>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</si>
  <si>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</si>
  <si>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</si>
  <si>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</si>
  <si>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</si>
  <si>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</si>
  <si>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</si>
  <si>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</si>
  <si>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</si>
  <si>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</si>
  <si>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</si>
  <si>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</si>
  <si>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</si>
  <si>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</si>
  <si>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</si>
  <si>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</si>
  <si>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</si>
  <si>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</si>
  <si>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</si>
  <si>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</si>
  <si>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</si>
  <si>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</si>
  <si>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</si>
  <si>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</si>
  <si>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</si>
  <si>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</si>
  <si>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</si>
  <si>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</si>
  <si>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</si>
  <si>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</si>
  <si>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</si>
  <si>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</si>
  <si>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</si>
  <si>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</si>
  <si>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</si>
  <si>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</si>
  <si>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</si>
  <si>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</si>
  <si>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</si>
  <si>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</si>
  <si>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</si>
  <si>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</si>
  <si>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</si>
  <si>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</si>
  <si>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</si>
  <si>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</si>
  <si>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</si>
  <si>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</si>
  <si>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</si>
  <si>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</si>
  <si>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</si>
  <si>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</si>
  <si>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</si>
  <si>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</si>
  <si>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</si>
  <si>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</si>
  <si>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</si>
  <si>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</si>
  <si>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</si>
  <si>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</si>
  <si>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</si>
  <si>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</si>
  <si>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</si>
  <si>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</si>
  <si>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</si>
  <si>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</si>
  <si>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</si>
  <si>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</si>
  <si>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</si>
  <si>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</si>
  <si>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</si>
  <si>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</si>
  <si>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</si>
  <si>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</si>
  <si>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</si>
  <si>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</si>
  <si>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</si>
  <si>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</si>
  <si>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</si>
  <si>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</si>
  <si>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</si>
  <si>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</si>
  <si>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</si>
  <si>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</si>
  <si>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</si>
  <si>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</si>
  <si>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</si>
  <si>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</si>
  <si>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</si>
  <si>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</si>
  <si>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</si>
  <si>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</si>
  <si>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</si>
  <si>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</si>
  <si>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</si>
  <si>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</si>
  <si>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</si>
  <si>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</si>
  <si>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</si>
  <si>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</si>
  <si>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</si>
  <si>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</si>
  <si>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</si>
  <si>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</si>
  <si>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</si>
  <si>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</si>
  <si>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</si>
  <si>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</si>
  <si>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</si>
  <si>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</si>
  <si>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</si>
  <si>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</si>
  <si>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</si>
  <si>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</si>
  <si>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</si>
  <si>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</si>
  <si>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</si>
  <si>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</si>
  <si>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</si>
  <si>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</si>
  <si>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</si>
  <si>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</si>
  <si>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</si>
  <si>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</si>
  <si>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</si>
  <si>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</si>
  <si>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</si>
  <si>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</si>
  <si>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</si>
  <si>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</si>
  <si>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</si>
  <si>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</si>
  <si>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</si>
  <si>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</si>
  <si>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</si>
  <si>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</si>
  <si>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</si>
  <si>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</si>
  <si>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</si>
  <si>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</si>
  <si>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</si>
  <si>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</si>
  <si>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</si>
  <si>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</si>
  <si>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</si>
  <si>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</si>
  <si>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</si>
  <si>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</si>
  <si>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</si>
  <si>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</si>
  <si>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</si>
  <si>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</si>
  <si>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</si>
  <si>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</si>
  <si>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</si>
  <si>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</si>
  <si>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</si>
  <si>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</si>
  <si>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</si>
  <si>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</si>
  <si>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</si>
  <si>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</si>
  <si>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</si>
  <si>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</si>
  <si>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</si>
  <si>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</si>
  <si>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</si>
  <si>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</si>
  <si>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</si>
  <si>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</si>
  <si>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</si>
  <si>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</si>
  <si>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</si>
  <si>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</si>
  <si>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</si>
  <si>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</si>
  <si>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</si>
  <si>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</si>
  <si>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</si>
  <si>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</si>
  <si>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</si>
  <si>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</si>
  <si>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</si>
  <si>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</si>
  <si>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</si>
  <si>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</si>
  <si>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</si>
  <si>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</si>
  <si>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</si>
  <si>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</si>
  <si>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</si>
  <si>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</si>
  <si>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</si>
  <si>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</si>
  <si>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</si>
  <si>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</si>
  <si>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</si>
  <si>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</si>
  <si>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</si>
  <si>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</si>
  <si>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</si>
  <si>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</si>
  <si>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</si>
  <si>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</si>
  <si>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</si>
  <si>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</si>
  <si>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</si>
  <si>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</si>
  <si>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</si>
  <si>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</si>
  <si>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</si>
  <si>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</si>
  <si>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</si>
  <si>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</si>
  <si>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</si>
  <si>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</si>
  <si>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</si>
  <si>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</si>
  <si>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</si>
  <si>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</si>
  <si>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</si>
  <si>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</si>
  <si>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</si>
  <si>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</si>
  <si>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</si>
  <si>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</si>
  <si>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</si>
  <si>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</si>
  <si>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</si>
  <si>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</si>
  <si>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</si>
  <si>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</si>
  <si>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</si>
  <si>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</si>
  <si>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</si>
  <si>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</si>
  <si>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</si>
  <si>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</si>
  <si>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</si>
  <si>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</si>
  <si>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</si>
  <si>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</si>
  <si>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</si>
  <si>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</si>
  <si>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</si>
  <si>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</si>
  <si>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</si>
  <si>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</si>
  <si>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</si>
  <si>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</si>
  <si>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</si>
  <si>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</si>
  <si>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</si>
  <si>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</si>
  <si>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</si>
  <si>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</si>
  <si>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</si>
  <si>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</si>
  <si>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</si>
  <si>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</si>
  <si>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</si>
  <si>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</si>
  <si>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</si>
  <si>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</si>
  <si>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</si>
  <si>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</si>
  <si>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</si>
  <si>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</si>
  <si>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</si>
  <si>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</si>
  <si>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</si>
  <si>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</si>
  <si>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</si>
  <si>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</si>
  <si>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</si>
  <si>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</si>
  <si>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</si>
  <si>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</si>
  <si>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</si>
  <si>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</si>
  <si>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</si>
  <si>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</si>
  <si>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</si>
  <si>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</si>
  <si>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</si>
  <si>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</si>
  <si>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</si>
  <si>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</si>
  <si>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</si>
  <si>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</si>
  <si>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</si>
  <si>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</si>
  <si>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</si>
  <si>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</si>
  <si>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</si>
  <si>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</si>
  <si>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</si>
  <si>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</si>
  <si>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</si>
  <si>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</si>
  <si>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</si>
  <si>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</si>
  <si>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</si>
  <si>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</si>
  <si>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</si>
  <si>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</si>
  <si>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</si>
  <si>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</si>
  <si>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</si>
  <si>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</si>
  <si>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</si>
  <si>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</si>
  <si>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</si>
  <si>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</si>
  <si>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</si>
  <si>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</si>
  <si>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</si>
  <si>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</si>
  <si>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</si>
  <si>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</si>
  <si>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</si>
  <si>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</si>
  <si>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</si>
  <si>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</si>
  <si>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</si>
  <si>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</si>
  <si>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</si>
  <si>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</si>
  <si>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</si>
  <si>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</si>
  <si>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</si>
  <si>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</si>
  <si>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</si>
  <si>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</si>
  <si>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</si>
  <si>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</si>
  <si>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</si>
  <si>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</si>
  <si>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</si>
  <si>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</si>
  <si>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</si>
  <si>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</si>
  <si>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</si>
  <si>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</si>
  <si>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</si>
  <si>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</si>
  <si>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</si>
  <si>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</si>
  <si>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</si>
  <si>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</si>
  <si>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</si>
  <si>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</si>
  <si>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</si>
  <si>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</si>
  <si>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</si>
  <si>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</si>
  <si>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</si>
  <si>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</si>
  <si>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</si>
  <si>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</si>
  <si>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</si>
  <si>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</si>
  <si>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</si>
  <si>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</si>
  <si>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</si>
  <si>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</si>
  <si>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</si>
  <si>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</si>
  <si>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</si>
  <si>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</si>
  <si>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</si>
  <si>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</si>
  <si>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</si>
  <si>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</si>
  <si>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</si>
  <si>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</si>
  <si>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</si>
  <si>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</si>
  <si>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</si>
  <si>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</si>
  <si>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</si>
  <si>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</si>
  <si>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</si>
  <si>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</si>
  <si>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</si>
  <si>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</si>
  <si>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</si>
  <si>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</si>
  <si>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</si>
  <si>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</si>
  <si>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</si>
  <si>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</si>
  <si>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</si>
  <si>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</si>
  <si>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</si>
  <si>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</si>
  <si>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</si>
  <si>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</si>
  <si>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</si>
  <si>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</si>
  <si>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</si>
  <si>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</si>
  <si>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</si>
  <si>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</si>
  <si>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</si>
  <si>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</si>
  <si>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</si>
  <si>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</si>
  <si>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</si>
  <si>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</si>
  <si>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</si>
  <si>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</si>
  <si>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</si>
  <si>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</si>
  <si>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</si>
  <si>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</si>
  <si>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</si>
  <si>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</si>
  <si>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</si>
  <si>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</si>
  <si>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</si>
  <si>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</si>
  <si>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</si>
  <si>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</si>
  <si>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</si>
  <si>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</si>
  <si>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</si>
  <si>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</si>
  <si>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</si>
  <si>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</si>
  <si>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</si>
  <si>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</si>
  <si>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</si>
  <si>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</si>
  <si>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</si>
  <si>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</si>
  <si>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</si>
  <si>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</si>
  <si>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</si>
  <si>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</si>
  <si>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</si>
  <si>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</si>
  <si>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</si>
  <si>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</si>
  <si>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</si>
  <si>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</si>
  <si>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</si>
  <si>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</si>
  <si>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</si>
  <si>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</si>
  <si>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</si>
  <si>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</si>
  <si>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</si>
  <si>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</si>
  <si>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</si>
  <si>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</si>
  <si>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</si>
  <si>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</si>
  <si>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</si>
  <si>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</si>
  <si>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</si>
  <si>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</si>
  <si>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</si>
  <si>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</si>
  <si>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</si>
  <si>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</si>
  <si>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</si>
  <si>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</si>
  <si>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</si>
  <si>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</si>
  <si>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</si>
  <si>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</si>
  <si>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</si>
  <si>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</si>
  <si>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</si>
  <si>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</si>
  <si>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</si>
  <si>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</si>
  <si>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</si>
  <si>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</si>
  <si>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</si>
  <si>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</si>
  <si>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</si>
  <si>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</si>
  <si>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</si>
  <si>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</si>
  <si>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</si>
  <si>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</si>
  <si>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</si>
  <si>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</si>
  <si>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</si>
  <si>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</si>
  <si>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</si>
  <si>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</si>
  <si>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</si>
  <si>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</si>
  <si>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</si>
  <si>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</si>
  <si>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</si>
  <si>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</si>
  <si>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</si>
  <si>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</si>
  <si>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</si>
  <si>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</si>
  <si>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</si>
  <si>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</si>
  <si>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</si>
  <si>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</si>
  <si>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</si>
  <si>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</si>
  <si>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</si>
  <si>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</si>
  <si>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</si>
  <si>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</si>
  <si>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</si>
  <si>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</si>
  <si>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</si>
  <si>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</si>
  <si>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</si>
  <si>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</si>
  <si>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</si>
  <si>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</si>
  <si>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</si>
  <si>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</si>
  <si>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</si>
  <si>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</si>
  <si>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</si>
  <si>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</si>
  <si>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</si>
  <si>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</si>
  <si>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</si>
  <si>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</si>
  <si>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</si>
  <si>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</si>
  <si>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</si>
  <si>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</si>
  <si>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</si>
  <si>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</si>
  <si>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</si>
  <si>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</si>
  <si>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</si>
  <si>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</si>
  <si>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</si>
  <si>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</si>
  <si>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</si>
  <si>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</si>
  <si>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</si>
  <si>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</si>
  <si>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</si>
  <si>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</si>
  <si>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</si>
  <si>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</si>
  <si>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</si>
  <si>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</si>
  <si>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</si>
  <si>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</si>
  <si>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</si>
  <si>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</si>
  <si>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</si>
  <si>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</si>
  <si>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</si>
  <si>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</si>
  <si>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</si>
  <si>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</si>
  <si>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</si>
  <si>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</si>
  <si>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</si>
  <si>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</si>
  <si>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</si>
  <si>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</si>
  <si>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</si>
  <si>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</si>
  <si>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</si>
  <si>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</si>
  <si>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</si>
  <si>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</si>
  <si>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</si>
  <si>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</si>
  <si>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</si>
  <si>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</si>
  <si>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</si>
  <si>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</si>
  <si>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</si>
  <si>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</si>
  <si>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</si>
  <si>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</si>
  <si>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</si>
  <si>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</si>
  <si>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</si>
  <si>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</si>
  <si>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</si>
  <si>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</si>
  <si>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</si>
  <si>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</si>
  <si>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</si>
  <si>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</si>
  <si>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</si>
  <si>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</si>
  <si>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</si>
  <si>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</si>
  <si>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</si>
  <si>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</si>
  <si>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</si>
  <si>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</si>
  <si>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</si>
  <si>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</si>
  <si>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</si>
  <si>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</si>
  <si>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</si>
  <si>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</si>
  <si>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</si>
  <si>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</si>
  <si>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</si>
  <si>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</si>
  <si>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</si>
  <si>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</si>
  <si>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</si>
  <si>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</si>
  <si>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</si>
  <si>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</si>
  <si>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</si>
  <si>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</si>
  <si>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</si>
  <si>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</si>
  <si>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</si>
  <si>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</si>
  <si>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</si>
  <si>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</si>
  <si>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</si>
  <si>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</si>
  <si>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</si>
  <si>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</si>
  <si>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</si>
  <si>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</si>
  <si>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</si>
  <si>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</si>
  <si>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</si>
  <si>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</si>
  <si>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</si>
  <si>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</si>
  <si>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</si>
  <si>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</si>
  <si>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</si>
  <si>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</si>
  <si>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</si>
  <si>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</si>
  <si>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</si>
  <si>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</si>
  <si>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</si>
  <si>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</si>
  <si>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</si>
  <si>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</si>
  <si>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</si>
  <si>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</si>
  <si>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</si>
  <si>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</si>
  <si>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</si>
  <si>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</si>
  <si>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</si>
  <si>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</si>
  <si>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</si>
  <si>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</si>
  <si>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</si>
  <si>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</si>
  <si>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</si>
  <si>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</si>
  <si>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</si>
  <si>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</si>
  <si>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</si>
  <si>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</si>
  <si>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</si>
  <si>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</si>
  <si>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</si>
  <si>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</si>
  <si>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</si>
  <si>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</si>
  <si>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</si>
  <si>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</si>
  <si>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</si>
  <si>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</si>
  <si>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</si>
  <si>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</si>
  <si>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</si>
  <si>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</si>
  <si>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</si>
  <si>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</si>
  <si>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</si>
  <si>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</si>
  <si>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</si>
  <si>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</si>
  <si>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</si>
  <si>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</si>
  <si>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</si>
  <si>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</si>
  <si>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</si>
  <si>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</si>
  <si>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</si>
  <si>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</si>
  <si>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</si>
  <si>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</si>
  <si>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</si>
  <si>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</si>
  <si>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</si>
  <si>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</si>
  <si>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</si>
  <si>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</si>
  <si>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</si>
  <si>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</si>
  <si>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</si>
  <si>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</si>
  <si>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</si>
  <si>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</si>
  <si>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</si>
  <si>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</si>
  <si>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</si>
  <si>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</si>
  <si>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</si>
  <si>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</si>
  <si>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</si>
  <si>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</si>
  <si>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</si>
  <si>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</si>
  <si>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</si>
  <si>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</si>
  <si>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</si>
  <si>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</si>
  <si>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</si>
  <si>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</si>
  <si>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</si>
  <si>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</si>
  <si>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</si>
  <si>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</si>
  <si>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</si>
  <si>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</si>
  <si>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</si>
  <si>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</si>
  <si>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</si>
  <si>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</si>
  <si>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</si>
  <si>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</si>
  <si>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</si>
  <si>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</si>
  <si>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</si>
  <si>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</si>
  <si>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</si>
  <si>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</si>
  <si>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</si>
  <si>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</si>
  <si>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</si>
  <si>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</si>
  <si>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</si>
  <si>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</si>
  <si>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</si>
  <si>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</si>
  <si>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</si>
  <si>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</si>
  <si>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</si>
  <si>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</si>
  <si>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</si>
  <si>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</si>
  <si>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</si>
  <si>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</si>
  <si>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</si>
  <si>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</si>
  <si>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</si>
  <si>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</si>
  <si>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</si>
  <si>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</si>
  <si>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</si>
  <si>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</si>
  <si>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</si>
  <si>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</si>
  <si>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</si>
  <si>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</si>
  <si>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</si>
  <si>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</si>
  <si>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</si>
  <si>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</si>
  <si>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</si>
  <si>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</si>
  <si>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</si>
  <si>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</si>
  <si>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</si>
  <si>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</si>
  <si>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</si>
  <si>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</si>
  <si>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</si>
  <si>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</si>
  <si>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</si>
  <si>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</si>
  <si>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</si>
  <si>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</si>
  <si>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</si>
  <si>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</si>
  <si>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</si>
  <si>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</si>
  <si>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</si>
  <si>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</si>
  <si>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</si>
  <si>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</si>
  <si>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</si>
  <si>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</si>
  <si>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</si>
  <si>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</si>
  <si>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</si>
  <si>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</si>
  <si>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</si>
  <si>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</si>
  <si>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</si>
  <si>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</si>
  <si>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</si>
  <si>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</si>
  <si>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</si>
  <si>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</si>
  <si>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</si>
  <si>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</si>
  <si>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</si>
  <si>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</si>
  <si>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</si>
  <si>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</si>
  <si>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</si>
  <si>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</si>
  <si>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</si>
  <si>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</si>
  <si>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</si>
  <si>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</si>
  <si>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</si>
  <si>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</si>
  <si>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</si>
  <si>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</si>
  <si>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</si>
  <si>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</si>
  <si>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</si>
  <si>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</si>
  <si>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</si>
  <si>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</si>
  <si>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</si>
  <si>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</si>
  <si>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</si>
  <si>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</si>
  <si>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</si>
  <si>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</si>
  <si>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</si>
  <si>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</si>
  <si>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</si>
  <si>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</si>
  <si>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</si>
  <si>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</si>
  <si>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</si>
  <si>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</si>
  <si>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</si>
  <si>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</si>
  <si>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</si>
  <si>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</si>
  <si>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</si>
  <si>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</si>
  <si>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</si>
  <si>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</si>
  <si>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</si>
  <si>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</si>
  <si>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</si>
  <si>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</si>
  <si>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</si>
  <si>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</si>
  <si>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</si>
  <si>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</si>
  <si>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</si>
  <si>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</si>
  <si>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</si>
  <si>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</si>
  <si>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</si>
  <si>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</si>
  <si>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</si>
  <si>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</si>
  <si>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</si>
  <si>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</si>
  <si>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</si>
  <si>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</si>
  <si>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</si>
  <si>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</si>
  <si>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</si>
  <si>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</si>
  <si>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</si>
  <si>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</si>
  <si>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</si>
  <si>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</si>
  <si>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</si>
  <si>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</si>
  <si>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</si>
  <si>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</si>
  <si>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</si>
  <si>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</si>
  <si>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</si>
  <si>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</si>
  <si>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</si>
  <si>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</si>
  <si>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</si>
  <si>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</si>
  <si>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</si>
  <si>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</si>
  <si>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</si>
  <si>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</si>
  <si>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</si>
  <si>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</si>
  <si>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</si>
  <si>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</si>
  <si>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</si>
  <si>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</si>
  <si>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</si>
  <si>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</si>
  <si>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</si>
  <si>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</si>
  <si>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</si>
  <si>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</si>
  <si>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</si>
  <si>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</si>
  <si>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</si>
  <si>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</si>
  <si>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</si>
  <si>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</si>
  <si>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</si>
  <si>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</si>
  <si>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</si>
  <si>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</si>
  <si>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</si>
  <si>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</si>
  <si>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</si>
  <si>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</si>
  <si>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</si>
  <si>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</si>
  <si>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</si>
  <si>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</si>
  <si>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</si>
  <si>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</si>
  <si>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</si>
  <si>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</si>
  <si>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</si>
  <si>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</si>
  <si>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</si>
  <si>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</si>
  <si>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</si>
  <si>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</si>
  <si>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</si>
  <si>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</si>
  <si>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</si>
  <si>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</si>
  <si>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</si>
  <si>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</si>
  <si>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</si>
  <si>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</si>
  <si>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</si>
  <si>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</si>
  <si>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</si>
  <si>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</si>
  <si>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</si>
  <si>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</si>
  <si>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</si>
  <si>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</si>
  <si>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</si>
  <si>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</si>
  <si>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</si>
  <si>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</si>
  <si>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</si>
  <si>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</si>
  <si>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</si>
  <si>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</si>
  <si>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</si>
  <si>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</si>
  <si>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</si>
  <si>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</si>
  <si>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</si>
  <si>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</si>
  <si>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</si>
  <si>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</si>
  <si>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</si>
  <si>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</si>
  <si>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</si>
  <si>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</si>
  <si>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</si>
  <si>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</si>
  <si>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</si>
  <si>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</si>
  <si>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</si>
  <si>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</si>
  <si>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</si>
  <si>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</si>
  <si>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</si>
  <si>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</si>
  <si>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</si>
  <si>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</si>
  <si>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</si>
  <si>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</si>
  <si>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</si>
  <si>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</si>
  <si>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</si>
  <si>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</si>
  <si>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</si>
  <si>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</si>
  <si>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</si>
  <si>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</si>
  <si>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</si>
  <si>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</si>
  <si>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</si>
  <si>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</si>
  <si>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</si>
  <si>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</si>
  <si>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</si>
  <si>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</si>
  <si>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</si>
  <si>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</si>
  <si>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</si>
  <si>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</si>
  <si>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</si>
  <si>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</si>
  <si>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</si>
  <si>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</si>
  <si>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</si>
  <si>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</si>
  <si>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</si>
  <si>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</si>
  <si>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</si>
  <si>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</si>
  <si>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</si>
  <si>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</si>
  <si>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</si>
  <si>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</si>
  <si>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</si>
  <si>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</si>
  <si>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</si>
  <si>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</si>
  <si>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</si>
  <si>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</si>
  <si>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</si>
  <si>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</si>
  <si>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</si>
  <si>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</si>
  <si>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</si>
  <si>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</si>
  <si>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</si>
  <si>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</si>
  <si>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</si>
  <si>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</si>
  <si>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</si>
  <si>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</si>
  <si>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</si>
  <si>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</si>
  <si>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</si>
  <si>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</si>
  <si>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</si>
  <si>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</si>
  <si>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</si>
  <si>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</si>
  <si>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</si>
  <si>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</si>
  <si>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</si>
  <si>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</si>
  <si>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</si>
  <si>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</si>
  <si>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</si>
  <si>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</si>
  <si>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</si>
  <si>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</si>
  <si>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</si>
  <si>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</si>
  <si>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</si>
  <si>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</si>
  <si>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</si>
  <si>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</si>
  <si>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</si>
  <si>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</si>
  <si>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</si>
  <si>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</si>
  <si>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</si>
  <si>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</si>
  <si>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</si>
  <si>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</si>
  <si>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</si>
  <si>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</si>
  <si>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</si>
  <si>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</si>
  <si>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</si>
  <si>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</si>
  <si>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</si>
  <si>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</si>
  <si>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</si>
  <si>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</si>
  <si>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</si>
  <si>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</si>
  <si>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</si>
  <si>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</si>
  <si>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</si>
  <si>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</si>
  <si>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</si>
  <si>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</si>
  <si>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</si>
  <si>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</si>
  <si>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</si>
  <si>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</si>
  <si>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</si>
  <si>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</si>
  <si>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</si>
  <si>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</si>
  <si>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</si>
  <si>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</si>
  <si>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</si>
  <si>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</si>
  <si>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</si>
  <si>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</si>
  <si>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</si>
  <si>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</si>
  <si>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</si>
  <si>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</si>
  <si>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</si>
  <si>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</si>
  <si>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</si>
  <si>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</si>
  <si>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</si>
  <si>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</si>
  <si>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</si>
  <si>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</si>
  <si>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</si>
  <si>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</si>
  <si>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</si>
  <si>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</si>
  <si>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</si>
  <si>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</si>
  <si>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</si>
  <si>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</si>
  <si>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</si>
  <si>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</si>
  <si>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</si>
  <si>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</si>
  <si>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</si>
  <si>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</si>
  <si>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</si>
  <si>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</si>
  <si>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</si>
  <si>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</si>
  <si>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</si>
  <si>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</si>
  <si>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</si>
  <si>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</si>
  <si>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</si>
  <si>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</si>
  <si>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</si>
  <si>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</si>
  <si>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</si>
  <si>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</si>
  <si>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</si>
  <si>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</si>
  <si>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</si>
  <si>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</si>
  <si>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</si>
  <si>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</si>
  <si>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</si>
  <si>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</si>
  <si>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</si>
  <si>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</si>
  <si>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</si>
  <si>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</si>
  <si>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</si>
  <si>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</si>
  <si>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</si>
  <si>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</si>
  <si>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</si>
  <si>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</si>
  <si>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</si>
  <si>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</si>
  <si>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</si>
  <si>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</si>
  <si>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</si>
  <si>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</si>
  <si>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</si>
  <si>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</si>
  <si>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</si>
  <si>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</si>
  <si>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</si>
  <si>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</si>
  <si>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</si>
  <si>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</si>
  <si>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</si>
  <si>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</si>
  <si>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</si>
  <si>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</si>
  <si>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</si>
  <si>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</si>
  <si>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</si>
  <si>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</si>
  <si>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</si>
  <si>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</si>
  <si>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</si>
  <si>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</si>
  <si>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</si>
  <si>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</si>
  <si>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</si>
  <si>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</si>
  <si>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</si>
  <si>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</si>
  <si>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</si>
  <si>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</si>
  <si>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</si>
  <si>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</si>
  <si>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</si>
  <si>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</si>
  <si>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</si>
  <si>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</si>
  <si>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</si>
  <si>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</si>
  <si>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</si>
  <si>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</si>
  <si>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</si>
  <si>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</si>
  <si>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</si>
  <si>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</si>
  <si>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</si>
  <si>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</si>
  <si>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</si>
  <si>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</si>
  <si>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</si>
  <si>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</si>
  <si>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</si>
  <si>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</si>
  <si>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</si>
  <si>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</si>
  <si>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</si>
  <si>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</si>
  <si>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</si>
  <si>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</si>
  <si>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</si>
  <si>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</si>
  <si>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</si>
  <si>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</si>
  <si>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</si>
  <si>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</si>
  <si>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</si>
  <si>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</si>
  <si>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</si>
  <si>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</si>
  <si>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</si>
  <si>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</si>
  <si>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</si>
  <si>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</si>
  <si>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</si>
  <si>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</si>
  <si>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</si>
  <si>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</si>
  <si>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</si>
  <si>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</si>
  <si>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</si>
  <si>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</si>
  <si>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</si>
  <si>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</si>
  <si>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</si>
  <si>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</si>
  <si>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</si>
  <si>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</si>
  <si>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</si>
  <si>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</si>
  <si>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</si>
  <si>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</si>
  <si>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</si>
  <si>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</si>
  <si>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</si>
  <si>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</si>
  <si>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</si>
  <si>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</si>
  <si>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</si>
  <si>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</si>
  <si>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</si>
  <si>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</si>
  <si>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</si>
  <si>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</si>
  <si>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</si>
  <si>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</si>
  <si>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</si>
  <si>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</si>
  <si>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</si>
  <si>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</si>
  <si>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</si>
  <si>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</si>
  <si>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</si>
  <si>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</si>
  <si>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</si>
  <si>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</si>
  <si>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</si>
  <si>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</si>
  <si>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</si>
  <si>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</si>
  <si>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</si>
  <si>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</si>
  <si>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</si>
  <si>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</si>
  <si>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</si>
  <si>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</si>
  <si>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</si>
  <si>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</si>
  <si>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</si>
  <si>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</si>
  <si>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</si>
  <si>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</si>
  <si>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</si>
  <si>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</si>
  <si>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</si>
  <si>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</si>
  <si>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</si>
  <si>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</si>
  <si>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</si>
  <si>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</si>
  <si>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</si>
  <si>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</si>
  <si>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</si>
  <si>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</si>
  <si>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</si>
  <si>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</si>
  <si>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</si>
  <si>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</si>
  <si>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</si>
  <si>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</si>
  <si>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</si>
  <si>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</si>
  <si>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</si>
  <si>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</si>
  <si>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</si>
  <si>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</si>
  <si>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</si>
  <si>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</si>
  <si>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</si>
  <si>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</si>
  <si>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</si>
  <si>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</si>
  <si>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</si>
  <si>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</si>
  <si>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</si>
  <si>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</si>
  <si>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</si>
  <si>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</si>
  <si>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</si>
  <si>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</si>
  <si>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</si>
  <si>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</si>
  <si>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</si>
  <si>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</si>
  <si>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</si>
  <si>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</si>
  <si>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</si>
  <si>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</si>
  <si>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</si>
  <si>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</si>
  <si>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</si>
  <si>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</si>
  <si>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</si>
  <si>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</si>
  <si>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</si>
  <si>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</si>
  <si>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</si>
  <si>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</si>
  <si>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</si>
  <si>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</si>
  <si>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</si>
  <si>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</si>
  <si>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</si>
  <si>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</si>
  <si>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</si>
  <si>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</si>
  <si>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</si>
  <si>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</si>
  <si>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</si>
  <si>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</si>
  <si>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</si>
  <si>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</si>
  <si>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</si>
  <si>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</si>
  <si>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</si>
  <si>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</si>
  <si>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</si>
  <si>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</si>
  <si>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</si>
  <si>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</si>
  <si>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</si>
  <si>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</si>
  <si>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</si>
  <si>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</si>
  <si>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</si>
  <si>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</si>
  <si>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</si>
  <si>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</si>
  <si>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</si>
  <si>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</si>
  <si>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</si>
  <si>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</si>
  <si>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</si>
  <si>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</si>
  <si>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</si>
  <si>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</si>
  <si>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</si>
  <si>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</si>
  <si>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</si>
  <si>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</si>
  <si>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</si>
  <si>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</si>
  <si>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</si>
  <si>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</si>
  <si>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</si>
  <si>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</si>
  <si>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</si>
  <si>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</si>
  <si>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</si>
  <si>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</si>
  <si>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</si>
  <si>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</si>
  <si>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</si>
  <si>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</si>
  <si>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</si>
  <si>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</si>
  <si>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</si>
  <si>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</si>
  <si>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</si>
  <si>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</si>
  <si>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</si>
  <si>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</si>
  <si>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</si>
  <si>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</si>
  <si>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</si>
  <si>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</si>
  <si>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</si>
  <si>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</si>
  <si>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</si>
  <si>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</si>
  <si>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</si>
  <si>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</si>
  <si>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</si>
  <si>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</si>
  <si>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</si>
  <si>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</si>
  <si>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</si>
  <si>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</si>
  <si>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</si>
  <si>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</si>
  <si>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</si>
  <si>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</si>
  <si>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</si>
  <si>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</si>
  <si>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</si>
  <si>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</si>
  <si>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</si>
  <si>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</si>
  <si>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Count of outcome</t>
  </si>
  <si>
    <t>Row Labels</t>
  </si>
  <si>
    <t>Grand Total</t>
  </si>
  <si>
    <t>Count of parent category</t>
  </si>
  <si>
    <t>(All)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</si>
  <si>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</si>
  <si>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</si>
  <si>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</si>
  <si>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</si>
  <si>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</si>
  <si>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</si>
  <si>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</si>
  <si>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</si>
  <si>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</si>
  <si>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</si>
  <si>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sub-category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</si>
  <si>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</si>
  <si>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</si>
  <si>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</si>
  <si>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</si>
  <si>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</si>
  <si>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</si>
  <si>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</si>
  <si>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</si>
  <si>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</si>
  <si>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</si>
  <si>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</si>
  <si>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</si>
  <si>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</si>
  <si>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</si>
  <si>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</si>
  <si>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</si>
  <si>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</si>
  <si>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</si>
  <si>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</si>
  <si>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</si>
  <si>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</si>
  <si>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</si>
  <si>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</si>
  <si>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</si>
  <si>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</si>
  <si>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</si>
  <si>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Goal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</si>
  <si>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</si>
  <si>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</si>
  <si>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</si>
  <si>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</si>
  <si>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</si>
  <si>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</si>
  <si>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</si>
  <si>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</si>
  <si>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</si>
  <si>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</si>
  <si>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</si>
  <si>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Less than 1000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</si>
  <si>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</si>
  <si>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</si>
  <si>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</si>
  <si>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</si>
  <si>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</si>
  <si>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</si>
  <si>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</si>
  <si>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</si>
  <si>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</si>
  <si>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</si>
  <si>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</si>
  <si>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</si>
  <si>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</si>
  <si>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</si>
  <si>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</si>
  <si>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</si>
  <si>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</si>
  <si>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</si>
  <si>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</si>
  <si>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</si>
  <si>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Successful</t>
  </si>
  <si>
    <t>Failed</t>
  </si>
  <si>
    <t>Mean</t>
  </si>
  <si>
    <t>Median</t>
  </si>
  <si>
    <t>Minimum</t>
  </si>
  <si>
    <t>Maximum</t>
  </si>
  <si>
    <t>Variance</t>
  </si>
  <si>
    <t>Std Dev</t>
  </si>
  <si>
    <t>* There's more variability with unsuccessful campaigns. This makes sense because some failed campaigns have 0 backers and others can still have many.</t>
  </si>
  <si>
    <t>* The Median better summarizes this data. The mean in skewed to the right due to some campaigns with unusually high backer counts.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</si>
</sst>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0" applyNumberFormat="1" applyFont="1" applyAlignment="1">
      <alignment horizontal="center" wrapText="1"/>
    </xf>
    <xf numFmtId="1" fontId="0" fillId="0" borderId="0" xfId="0" applyNumberFormat="1"/>
    <xf numFmtId="2" fontId="16" fillId="0" borderId="0" xfId="0" applyNumberFormat="1" applyFont="1" applyAlignment="1">
      <alignment horizontal="center" wrapText="1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 wrapText="1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0" fontId="16" fillId="0" borderId="0" xfId="0" applyFont="1" applyAlignment="1">
      <alignment wrapText="1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rgb="FFFFC7CE"/>
        </patternFill>
      </fill>
    </dxf>
    <dxf>
      <font>
        <b val="0"/>
        <i val="0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5" tint="-0.24994659260841701"/>
        </patternFill>
      </fill>
    </dxf>
    <dxf>
      <fill>
        <patternFill>
          <bgColor rgb="FFFFC7CE"/>
        </patternFill>
      </fill>
    </dxf>
    <dxf>
      <font>
        <b val="0"/>
        <i val="0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5" tint="-0.24994659260841701"/>
        </patternFill>
      </fill>
    </dxf>
    <dxf>
      <fill>
        <patternFill>
          <bgColor rgb="FFFFC7CE"/>
        </patternFill>
      </fill>
    </dxf>
    <dxf>
      <font>
        <b val="0"/>
        <i val="0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colors>
    <mruColors>
      <color rgb="FF7F2613"/>
      <color rgb="FFEEADB5"/>
      <color rgb="FFFF981F"/>
      <color rgb="FF000000"/>
      <color rgb="FF11B6FF"/>
      <color rgb="FF8100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JA.xlsx]Pivot 1 per Category!PivotTable1</c:name>
    <c:fmtId val="0"/>
  </c:pivotSource>
  <c:chart>
    <c:autoTitleDeleted val="0"/>
    <c:pivotFmts>
      <c:pivotFmt>
        <c:idx val="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EADB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 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 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8-1B46-9C4E-0064E01DED78}"/>
            </c:ext>
          </c:extLst>
        </c:ser>
        <c:ser>
          <c:idx val="1"/>
          <c:order val="1"/>
          <c:tx>
            <c:strRef>
              <c:f>'Pivot 1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EEADB5"/>
            </a:solidFill>
            <a:ln>
              <a:noFill/>
            </a:ln>
            <a:effectLst/>
          </c:spPr>
          <c:invertIfNegative val="0"/>
          <c:cat>
            <c:strRef>
              <c:f>'Pivot 1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 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8-1B46-9C4E-0064E01DED78}"/>
            </c:ext>
          </c:extLst>
        </c:ser>
        <c:ser>
          <c:idx val="2"/>
          <c:order val="2"/>
          <c:tx>
            <c:strRef>
              <c:f>'Pivot 1 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1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 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8-1B46-9C4E-0064E01DED78}"/>
            </c:ext>
          </c:extLst>
        </c:ser>
        <c:ser>
          <c:idx val="3"/>
          <c:order val="3"/>
          <c:tx>
            <c:strRef>
              <c:f>'Pivot 1 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'Pivot 1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 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8-1B46-9C4E-0064E01DE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924735"/>
        <c:axId val="196036543"/>
      </c:barChart>
      <c:catAx>
        <c:axId val="19592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36543"/>
        <c:crosses val="autoZero"/>
        <c:auto val="1"/>
        <c:lblAlgn val="ctr"/>
        <c:lblOffset val="100"/>
        <c:noMultiLvlLbl val="0"/>
      </c:catAx>
      <c:valAx>
        <c:axId val="19603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2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JA.xlsx]Pivot 2 per Sub-Category!PivotTable2</c:name>
    <c:fmtId val="0"/>
  </c:pivotSource>
  <c:chart>
    <c:autoTitleDeleted val="0"/>
    <c:pivotFmts>
      <c:pivotFmt>
        <c:idx val="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EADB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 per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2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 per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1-B74F-9C24-55988AEA686B}"/>
            </c:ext>
          </c:extLst>
        </c:ser>
        <c:ser>
          <c:idx val="1"/>
          <c:order val="1"/>
          <c:tx>
            <c:strRef>
              <c:f>'Pivot 2 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EEADB5"/>
            </a:solidFill>
            <a:ln>
              <a:noFill/>
            </a:ln>
            <a:effectLst/>
          </c:spPr>
          <c:invertIfNegative val="0"/>
          <c:cat>
            <c:strRef>
              <c:f>'Pivot 2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 per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961-B74F-9C24-55988AEA686B}"/>
            </c:ext>
          </c:extLst>
        </c:ser>
        <c:ser>
          <c:idx val="2"/>
          <c:order val="2"/>
          <c:tx>
            <c:strRef>
              <c:f>'Pivot 2 per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2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 per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961-B74F-9C24-55988AEA686B}"/>
            </c:ext>
          </c:extLst>
        </c:ser>
        <c:ser>
          <c:idx val="3"/>
          <c:order val="3"/>
          <c:tx>
            <c:strRef>
              <c:f>'Pivot 2 per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'Pivot 2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 per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961-B74F-9C24-55988AEA6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6360063"/>
        <c:axId val="216361791"/>
      </c:barChart>
      <c:catAx>
        <c:axId val="21636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61791"/>
        <c:crosses val="autoZero"/>
        <c:auto val="1"/>
        <c:lblAlgn val="ctr"/>
        <c:lblOffset val="100"/>
        <c:noMultiLvlLbl val="0"/>
      </c:catAx>
      <c:valAx>
        <c:axId val="21636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6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779479399937391"/>
          <c:y val="0.38405817232463368"/>
          <c:w val="8.3030894074020561E-2"/>
          <c:h val="0.206378705849866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JA.xlsx]Pivot 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7F261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EEADB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F-4347-9244-A4D50DE4022C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FDF-4347-9244-A4D50DE4022C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FDF-4347-9244-A4D50DE40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9488879"/>
        <c:axId val="1069490607"/>
      </c:lineChart>
      <c:catAx>
        <c:axId val="106948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490607"/>
        <c:crosses val="autoZero"/>
        <c:auto val="1"/>
        <c:lblAlgn val="ctr"/>
        <c:lblOffset val="100"/>
        <c:noMultiLvlLbl val="0"/>
      </c:catAx>
      <c:valAx>
        <c:axId val="106949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48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39-834B-9906-8A85E529D7C0}"/>
            </c:ext>
          </c:extLst>
        </c:ser>
        <c:ser>
          <c:idx val="5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39-834B-9906-8A85E529D7C0}"/>
            </c:ext>
          </c:extLst>
        </c:ser>
        <c:ser>
          <c:idx val="6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39-834B-9906-8A85E529D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145392"/>
        <c:axId val="1426147120"/>
      </c:lineChart>
      <c:catAx>
        <c:axId val="142614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147120"/>
        <c:crosses val="autoZero"/>
        <c:auto val="1"/>
        <c:lblAlgn val="ctr"/>
        <c:lblOffset val="100"/>
        <c:noMultiLvlLbl val="0"/>
      </c:catAx>
      <c:valAx>
        <c:axId val="142614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14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15</xdr:row>
      <xdr:rowOff>190500</xdr:rowOff>
    </xdr:from>
    <xdr:to>
      <xdr:col>7</xdr:col>
      <xdr:colOff>1574800</xdr:colOff>
      <xdr:row>36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40C5FB-289B-D708-0B22-70A1EB4F2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127000</xdr:rowOff>
    </xdr:from>
    <xdr:to>
      <xdr:col>12</xdr:col>
      <xdr:colOff>533400</xdr:colOff>
      <xdr:row>32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27A842-B9F1-2B9D-5778-D88B69474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107950</xdr:colOff>
      <xdr:row>0</xdr:row>
      <xdr:rowOff>50800</xdr:rowOff>
    </xdr:from>
    <xdr:to>
      <xdr:col>10</xdr:col>
      <xdr:colOff>901700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1902A3-6DBB-7201-38DE-478172202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86591</xdr:colOff>
      <xdr:row>13</xdr:row>
      <xdr:rowOff>71581</xdr:rowOff>
    </xdr:from>
    <xdr:to>
      <xdr:col>8</xdr:col>
      <xdr:colOff>0</xdr:colOff>
      <xdr:row>29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1F8C16-5CD0-5761-A5B9-593C4A58B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nifer Alfson" refreshedDate="44991.448824884261" createdVersion="8" refreshedVersion="8" minRefreshableVersion="3" recordCount="1001" xr:uid="{A44E0247-CD43-0941-818B-EA4F6FD02C0E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" numFmtId="2">
      <sharedItems containsBlank="1" containsMixedTypes="1" containsNumber="1" minValue="0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nifer Alfson" refreshedDate="44991.711769444446" createdVersion="8" refreshedVersion="8" minRefreshableVersion="3" recordCount="1000" xr:uid="{1C10F66F-3ABA-4048-B198-79D4ABAB959A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2">
      <sharedItems containsMixedTypes="1" containsNumber="1" minValue="0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SemiMixedTypes="0" containsString="0" containsNumber="1" minValue="40187.25" maxValue="43871.25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92.151898734177209"/>
    <n v="158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00.01614035087719"/>
    <n v="1425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103.20833333333333"/>
    <n v="24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99.339622641509436"/>
    <n v="53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75.833333333333329"/>
    <n v="174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60.555555555555557"/>
    <n v="18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64.93832599118943"/>
    <n v="227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30.997175141242938"/>
    <n v="70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72.909090909090907"/>
    <n v="44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62.9"/>
    <n v="220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112.22222222222223"/>
    <n v="27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102.34545454545454"/>
    <n v="5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105.05102040816327"/>
    <n v="98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94.144999999999996"/>
    <n v="200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84.986725663716811"/>
    <n v="452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10.41"/>
    <n v="100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07.96236989591674"/>
    <n v="1249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45.103703703703701"/>
    <n v="135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45.001483679525222"/>
    <n v="674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05.97134670487107"/>
    <n v="1396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69.055555555555557"/>
    <n v="558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5.044943820224717"/>
    <n v="890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05.22535211267606"/>
    <n v="142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39.003741114852225"/>
    <n v="2673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73.030674846625772"/>
    <n v="16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35.009459459459457"/>
    <n v="1480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06.6"/>
    <n v="15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61.997747747747745"/>
    <n v="2220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94.000622665006233"/>
    <n v="1606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12.05426356589147"/>
    <n v="129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48.008849557522126"/>
    <n v="2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38.004334633723452"/>
    <n v="2307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35.000184535892231"/>
    <n v="5419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85"/>
    <n v="16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95.993893129770996"/>
    <n v="1965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68.8125"/>
    <n v="16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5.97196261682242"/>
    <n v="10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75.261194029850742"/>
    <n v="134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57.125"/>
    <n v="88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75.141414141414145"/>
    <n v="198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07.42342342342343"/>
    <n v="111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35.995495495495497"/>
    <n v="222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26.998873148744366"/>
    <n v="6212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107.56122448979592"/>
    <n v="98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94.375"/>
    <n v="4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46.163043478260867"/>
    <n v="92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47.845637583892618"/>
    <n v="149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53.007815713698065"/>
    <n v="243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45.059405940594061"/>
    <n v="303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2"/>
    <n v="1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99.006816632583508"/>
    <n v="1467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32.786666666666669"/>
    <n v="75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59.119617224880386"/>
    <n v="209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44.93333333333333"/>
    <n v="120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89.664122137404576"/>
    <n v="131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70.079268292682926"/>
    <n v="164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31.059701492537314"/>
    <n v="201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9.061611374407583"/>
    <n v="211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30.0859375"/>
    <n v="128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84.998125000000002"/>
    <n v="1600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82.001775410563695"/>
    <n v="2253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58.040160642570278"/>
    <n v="249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111.4"/>
    <n v="5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71.94736842105263"/>
    <n v="38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61.038135593220339"/>
    <n v="236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08.91666666666667"/>
    <n v="1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29.001722017220171"/>
    <n v="4065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58.975609756097562"/>
    <n v="246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11.82352941176471"/>
    <n v="17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63.995555555555555"/>
    <n v="247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85.315789473684205"/>
    <n v="76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74.481481481481481"/>
    <n v="54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105.14772727272727"/>
    <n v="88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56.188235294117646"/>
    <n v="85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85.917647058823533"/>
    <n v="170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57.00296912114014"/>
    <n v="168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79.642857142857139"/>
    <n v="56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41.018181818181816"/>
    <n v="330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48.004773269689736"/>
    <n v="83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55.212598425196852"/>
    <n v="127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92.109489051094897"/>
    <n v="4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83.183333333333337"/>
    <n v="180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39.996000000000002"/>
    <n v="100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111.1336898395722"/>
    <n v="374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90.563380281690144"/>
    <n v="71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61.108374384236456"/>
    <n v="203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83.022941970310384"/>
    <n v="148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0.76106194690266"/>
    <n v="113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89.458333333333329"/>
    <n v="9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57.849056603773583"/>
    <n v="106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109.99705449189985"/>
    <n v="679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103.96586345381526"/>
    <n v="498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107.99508196721311"/>
    <n v="610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48.927777777777777"/>
    <n v="180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37.666666666666664"/>
    <n v="2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64.999141999141997"/>
    <n v="2331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06.61061946902655"/>
    <n v="113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27.009016393442622"/>
    <n v="1220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91.16463414634147"/>
    <n v="164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56.054878048780488"/>
    <n v="164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1.017857142857142"/>
    <n v="336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66.513513513513516"/>
    <n v="37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89.005216484089729"/>
    <n v="1917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103.46315789473684"/>
    <n v="95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95.278911564625844"/>
    <n v="147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75.895348837209298"/>
    <n v="8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107.57831325301204"/>
    <n v="83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51.31666666666667"/>
    <n v="60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71.983108108108112"/>
    <n v="296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108.95414201183432"/>
    <n v="676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5"/>
    <n v="361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94.938931297709928"/>
    <n v="131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09.65079365079364"/>
    <n v="126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44.001815980629537"/>
    <n v="330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86.794520547945211"/>
    <n v="73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30.992727272727272"/>
    <n v="275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94.791044776119406"/>
    <n v="67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69.79220779220779"/>
    <n v="154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63.003367003367003"/>
    <n v="1782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110.0343300110742"/>
    <n v="9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25.997933274284026"/>
    <n v="3387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49.987915407854985"/>
    <n v="662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101.72340425531915"/>
    <n v="94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47.083333333333336"/>
    <n v="180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89.944444444444443"/>
    <n v="77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78.96875"/>
    <n v="672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80.067669172932327"/>
    <n v="532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86.472727272727269"/>
    <n v="55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28.001876172607879"/>
    <n v="533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67.996725337699544"/>
    <n v="2443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43.078651685393261"/>
    <n v="89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87.95597484276729"/>
    <n v="15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.987234042553197"/>
    <n v="940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46.905982905982903"/>
    <n v="117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46.913793103448278"/>
    <n v="5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94.24"/>
    <n v="50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80.139130434782615"/>
    <n v="1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59.036809815950917"/>
    <n v="326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65.989247311827953"/>
    <n v="186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60.992530345471522"/>
    <n v="1071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98.307692307692307"/>
    <n v="11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104.6"/>
    <n v="70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86.066666666666663"/>
    <n v="135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.989583333333329"/>
    <n v="768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29.764705882352942"/>
    <n v="51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46.91959798994975"/>
    <n v="199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5.18691588785046"/>
    <n v="107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69.907692307692301"/>
    <n v="195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60.011588275391958"/>
    <n v="1467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52.006220379146917"/>
    <n v="3376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31.000176025347649"/>
    <n v="568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95.042492917847028"/>
    <n v="1059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75.968174204355108"/>
    <n v="1194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71.013192612137203"/>
    <n v="379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73.733333333333334"/>
    <n v="30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113.17073170731707"/>
    <n v="41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05.00933552992861"/>
    <n v="182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79.176829268292678"/>
    <n v="164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57.333333333333336"/>
    <n v="75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58.178343949044589"/>
    <n v="157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36.032520325203251"/>
    <n v="246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07.99068767908309"/>
    <n v="1396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44.005985634477256"/>
    <n v="250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55.077868852459019"/>
    <n v="244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74"/>
    <n v="146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41.996858638743454"/>
    <n v="955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77.988161010260455"/>
    <n v="1267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82.507462686567166"/>
    <n v="67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104.2"/>
    <n v="5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5.5"/>
    <n v="26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00.98334401024984"/>
    <n v="1561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111.83333333333333"/>
    <n v="48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41.999115044247787"/>
    <n v="1130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110.05115089514067"/>
    <n v="782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58.997079225994888"/>
    <n v="273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32.985714285714288"/>
    <n v="210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45.005654509471306"/>
    <n v="3537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81.98196487897485"/>
    <n v="2107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39.080882352941174"/>
    <n v="136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58.996383363471971"/>
    <n v="3318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40.988372093023258"/>
    <n v="86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1.029411764705884"/>
    <n v="340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37.789473684210527"/>
    <n v="1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32.006772009029348"/>
    <n v="886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95.966712898751737"/>
    <n v="1442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75"/>
    <n v="3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102.0498866213152"/>
    <n v="441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105.75"/>
    <n v="24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37.069767441860463"/>
    <n v="86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35.049382716049379"/>
    <n v="243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46.338461538461537"/>
    <n v="65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69.174603174603178"/>
    <n v="126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109.07824427480917"/>
    <n v="524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51.78"/>
    <n v="100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82.010055304172951"/>
    <n v="1989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35.958333333333336"/>
    <n v="168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74.461538461538467"/>
    <n v="13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2"/>
    <n v="1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91.114649681528661"/>
    <n v="157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79.792682926829272"/>
    <n v="8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2.999777678968428"/>
    <n v="449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63.225000000000001"/>
    <n v="40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70.174999999999997"/>
    <n v="80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61.333333333333336"/>
    <n v="57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99"/>
    <n v="43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96.984900146127615"/>
    <n v="2053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51.004950495049506"/>
    <n v="808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8.044247787610619"/>
    <n v="226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60.984615384615381"/>
    <n v="1625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73.214285714285708"/>
    <n v="16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39.997435299603637"/>
    <n v="4289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86.812121212121212"/>
    <n v="165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42.125874125874127"/>
    <n v="14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03.97851239669421"/>
    <n v="1815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62.003211991434689"/>
    <n v="934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1.005037783375315"/>
    <n v="397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89.991552956465242"/>
    <n v="153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39.235294117647058"/>
    <n v="17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54.993116108306566"/>
    <n v="217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47.992753623188406"/>
    <n v="138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87.966702470461868"/>
    <n v="931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51.999165275459099"/>
    <n v="3594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29.999659863945578"/>
    <n v="588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98.205357142857139"/>
    <n v="112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108.96182396606575"/>
    <n v="943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66.998379254457049"/>
    <n v="2468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64.99333594668758"/>
    <n v="2551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99.841584158415841"/>
    <n v="10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82.432835820895519"/>
    <n v="67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63.293478260869563"/>
    <n v="92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96.774193548387103"/>
    <n v="62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54.906040268456373"/>
    <n v="149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39.010869565217391"/>
    <n v="92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75.84210526315789"/>
    <n v="57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45.051671732522799"/>
    <n v="32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104.51546391752578"/>
    <n v="97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76.268292682926827"/>
    <n v="41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69.015695067264573"/>
    <n v="1784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01.97684085510689"/>
    <n v="1684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42.915999999999997"/>
    <n v="250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43.025210084033617"/>
    <n v="238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75.245283018867923"/>
    <n v="5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69.023364485981304"/>
    <n v="21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65.986486486486484"/>
    <n v="222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98.013800424628457"/>
    <n v="1884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60.105504587155963"/>
    <n v="218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26.000773395204948"/>
    <n v="6465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3"/>
    <n v="1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38.019801980198018"/>
    <n v="101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106.15254237288136"/>
    <n v="59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81.019475655430711"/>
    <n v="1335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96.647727272727266"/>
    <n v="88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57.003535651149086"/>
    <n v="169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63.93333333333333"/>
    <n v="15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0.456521739130437"/>
    <n v="92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72.172043010752688"/>
    <n v="186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77.934782608695656"/>
    <n v="138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38.065134099616856"/>
    <n v="261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57.936123348017624"/>
    <n v="45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49.794392523364486"/>
    <n v="107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54.050251256281406"/>
    <n v="199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30.002721335268504"/>
    <n v="5512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70.127906976744185"/>
    <n v="86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26.996228786926462"/>
    <n v="318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51.990606936416185"/>
    <n v="2768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56.416666666666664"/>
    <n v="48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101.63218390804597"/>
    <n v="8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25.005291005291006"/>
    <n v="1890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32.016393442622949"/>
    <n v="61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82.021647307286173"/>
    <n v="1894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37.957446808510639"/>
    <n v="282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51.533333333333331"/>
    <n v="15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81.198275862068968"/>
    <n v="116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40.030075187969928"/>
    <n v="13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9.939759036144579"/>
    <n v="83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6.692307692307693"/>
    <n v="91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25.010989010989011"/>
    <n v="546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6.987277353689571"/>
    <n v="393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73.012609117361791"/>
    <n v="2062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68.240601503759393"/>
    <n v="13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52.310344827586206"/>
    <n v="29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61.765151515151516"/>
    <n v="132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.027559055118111"/>
    <n v="254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06.28804347826087"/>
    <n v="184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75.07386363636364"/>
    <n v="176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39.970802919708028"/>
    <n v="13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9.982195845697326"/>
    <n v="33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101.01541850220265"/>
    <n v="908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76.813084112149539"/>
    <n v="107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71.7"/>
    <n v="10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3.28125"/>
    <n v="32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43.923497267759565"/>
    <n v="183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36.004712041884815"/>
    <n v="1910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88.21052631578948"/>
    <n v="3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65.240384615384613"/>
    <n v="104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69.958333333333329"/>
    <n v="72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39.877551020408163"/>
    <n v="49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5"/>
    <n v="1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41.023728813559323"/>
    <n v="295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98.914285714285711"/>
    <n v="245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87.78125"/>
    <n v="32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80.767605633802816"/>
    <n v="142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94.28235294117647"/>
    <n v="85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3.428571428571431"/>
    <n v="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.968133535660087"/>
    <n v="659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109.04109589041096"/>
    <n v="803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41.16"/>
    <n v="75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99.125"/>
    <n v="16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05.88429752066116"/>
    <n v="121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48.996525921966864"/>
    <n v="3742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39"/>
    <n v="223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31.022556390977442"/>
    <n v="133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103.87096774193549"/>
    <n v="31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59.268518518518519"/>
    <n v="108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42.3"/>
    <n v="30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53.117647058823529"/>
    <n v="17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50.796875"/>
    <n v="64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101.15"/>
    <n v="80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65.000810372771468"/>
    <n v="2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37.998645510835914"/>
    <n v="516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82.615384615384613"/>
    <n v="26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7.941368078175898"/>
    <n v="307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80.780821917808225"/>
    <n v="73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25.984375"/>
    <n v="12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0.363636363636363"/>
    <n v="3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54.004916018025398"/>
    <n v="2441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101.78672985781991"/>
    <n v="21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45.003610108303249"/>
    <n v="138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77.068421052631578"/>
    <n v="190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88.076595744680844"/>
    <n v="470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47.035573122529641"/>
    <n v="253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0.99550763701707"/>
    <n v="1113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87.003066141042481"/>
    <n v="2283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63.994402985074629"/>
    <n v="1072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5.9945205479452"/>
    <n v="1095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73.989349112426041"/>
    <n v="1690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84.02004626060139"/>
    <n v="1297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88.966921119592882"/>
    <n v="393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76.990453460620529"/>
    <n v="1257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97.146341463414629"/>
    <n v="328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33.013605442176868"/>
    <n v="147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99.950602409638549"/>
    <n v="830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69.966767371601208"/>
    <n v="331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110.32"/>
    <n v="25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66.005235602094245"/>
    <n v="191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41.005742176284812"/>
    <n v="3483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103.96316359696641"/>
    <n v="923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5"/>
    <n v="1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47.009935419771487"/>
    <n v="2013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29.606060606060606"/>
    <n v="33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81.010569583088667"/>
    <n v="1703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94.35"/>
    <n v="80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26.058139534883722"/>
    <n v="8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85.775000000000006"/>
    <n v="40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103.73170731707317"/>
    <n v="41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49.826086956521742"/>
    <n v="2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63.893048128342244"/>
    <n v="187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47.002434782608695"/>
    <n v="287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108.47727272727273"/>
    <n v="8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72.015706806282722"/>
    <n v="191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59.928057553956833"/>
    <n v="139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78.209677419354833"/>
    <n v="186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04.77678571428571"/>
    <n v="112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5.52475247524752"/>
    <n v="101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24.933333333333334"/>
    <n v="75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69.873786407766985"/>
    <n v="206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95.733766233766232"/>
    <n v="154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29.997485752598056"/>
    <n v="596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59.011948529411768"/>
    <n v="2176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84.757396449704146"/>
    <n v="169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78.010921177587846"/>
    <n v="210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50.05215419501134"/>
    <n v="441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59.16"/>
    <n v="25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93.702290076335885"/>
    <n v="131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40.14173228346457"/>
    <n v="12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70.090140845070422"/>
    <n v="355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66.181818181818187"/>
    <n v="44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47.714285714285715"/>
    <n v="84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62.896774193548389"/>
    <n v="155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86.611940298507463"/>
    <n v="67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75.126984126984127"/>
    <n v="189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1.004167534903104"/>
    <n v="4799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50.007915567282325"/>
    <n v="1137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96.960674157303373"/>
    <n v="1068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100.93160377358491"/>
    <n v="424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89.227586206896547"/>
    <n v="145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87.979166666666671"/>
    <n v="1152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89.54"/>
    <n v="50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29.09271523178808"/>
    <n v="151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42.006218905472636"/>
    <n v="1608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47.004903563255965"/>
    <n v="3059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110.44117647058823"/>
    <n v="3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41.990909090909092"/>
    <n v="220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48.012468827930178"/>
    <n v="1604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31.019823788546255"/>
    <n v="454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99.203252032520325"/>
    <n v="123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66.022316684378325"/>
    <n v="941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2"/>
    <n v="1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46.060200668896321"/>
    <n v="299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73.650000000000006"/>
    <n v="40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55.99336650082919"/>
    <n v="3015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68.985695127402778"/>
    <n v="2237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60.981609195402299"/>
    <n v="435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110.98139534883721"/>
    <n v="645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25"/>
    <n v="484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78.759740259740255"/>
    <n v="154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87.960784313725483"/>
    <n v="714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49.987398739873989"/>
    <n v="1111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99.524390243902445"/>
    <n v="8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04.82089552238806"/>
    <n v="134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.01469237832875"/>
    <n v="1089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28.998544660724033"/>
    <n v="5497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30.028708133971293"/>
    <n v="418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41.005559416261292"/>
    <n v="1439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62.866666666666667"/>
    <n v="15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47.005002501250623"/>
    <n v="1999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26.997693638285604"/>
    <n v="5203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68.329787234042556"/>
    <n v="94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50.974576271186443"/>
    <n v="118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54.024390243902438"/>
    <n v="205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97.055555555555557"/>
    <n v="162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24.867469879518072"/>
    <n v="83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84.423913043478265"/>
    <n v="9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47.091324200913242"/>
    <n v="21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77.996041171813147"/>
    <n v="2526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62.967871485943775"/>
    <n v="74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81.006080449017773"/>
    <n v="2138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65.321428571428569"/>
    <n v="84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104.43617021276596"/>
    <n v="9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69.989010989010993"/>
    <n v="91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83.023989898989896"/>
    <n v="79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90.3"/>
    <n v="10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03.98131932282546"/>
    <n v="1713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54.931726907630519"/>
    <n v="24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51.921875"/>
    <n v="1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60.02834008097166"/>
    <n v="247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44.003488879197555"/>
    <n v="2293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53.003513254551258"/>
    <n v="3131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54.5"/>
    <n v="32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75.04195804195804"/>
    <n v="143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35.911111111111111"/>
    <n v="90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36.952702702702702"/>
    <n v="296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63.170588235294119"/>
    <n v="170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29.99462365591398"/>
    <n v="186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86"/>
    <n v="439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75.014876033057845"/>
    <n v="6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101.19767441860465"/>
    <n v="86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4"/>
    <n v="1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29.001272669424118"/>
    <n v="6286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98.225806451612897"/>
    <n v="31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87.001693480101608"/>
    <n v="1181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45.205128205128204"/>
    <n v="39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.001341561577675"/>
    <n v="372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94.976947040498445"/>
    <n v="160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28.956521739130434"/>
    <n v="4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55.993396226415094"/>
    <n v="2120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54.038095238095238"/>
    <n v="105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82.38"/>
    <n v="50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66.997115384615384"/>
    <n v="2080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107.91401869158878"/>
    <n v="535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69.009501187648453"/>
    <n v="21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39.006568144499177"/>
    <n v="2436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110.3625"/>
    <n v="80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94.857142857142861"/>
    <n v="42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57.935251798561154"/>
    <n v="139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01.25"/>
    <n v="16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64.95597484276729"/>
    <n v="15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27.00524934383202"/>
    <n v="38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50.97422680412371"/>
    <n v="194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104.94260869565217"/>
    <n v="575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84.028301886792448"/>
    <n v="106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02.85915492957747"/>
    <n v="142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39.962085308056871"/>
    <n v="21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51.001785714285717"/>
    <n v="1120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40.823008849557525"/>
    <n v="113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58.999637155297535"/>
    <n v="2756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71.156069364161851"/>
    <n v="173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99.494252873563212"/>
    <n v="87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03.98634590377114"/>
    <n v="1538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76.555555555555557"/>
    <n v="9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87.068592057761734"/>
    <n v="55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48.99554707379135"/>
    <n v="1572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42.969135802469133"/>
    <n v="648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33.428571428571431"/>
    <n v="2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83.982949701619773"/>
    <n v="2346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01.41739130434783"/>
    <n v="115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109.87058823529412"/>
    <n v="85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31.916666666666668"/>
    <n v="144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70.993450675399103"/>
    <n v="244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77.026890756302521"/>
    <n v="595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101.78125"/>
    <n v="64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51.059701492537314"/>
    <n v="268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68.02051282051282"/>
    <n v="195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30.87037037037037"/>
    <n v="54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27.908333333333335"/>
    <n v="120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79.994818652849744"/>
    <n v="579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38.003378378378379"/>
    <n v="2072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e v="#DIV/0!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59.990534521158132"/>
    <n v="1796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37.037634408602152"/>
    <n v="186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99.963043478260872"/>
    <n v="460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111.6774193548387"/>
    <n v="62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6.014409221902014"/>
    <n v="347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66.010284810126578"/>
    <n v="252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44.05263157894737"/>
    <n v="19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52.999726551818434"/>
    <n v="3657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95"/>
    <n v="1258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70.908396946564892"/>
    <n v="13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98.060773480662988"/>
    <n v="362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53.046025104602514"/>
    <n v="239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93.142857142857139"/>
    <n v="35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8.945075757575758"/>
    <n v="52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36.067669172932334"/>
    <n v="133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63.030732860520096"/>
    <n v="84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84.717948717948715"/>
    <n v="78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62.2"/>
    <n v="10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01.97518330513255"/>
    <n v="1773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106.4375"/>
    <n v="32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29.975609756097562"/>
    <n v="369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85.806282722513089"/>
    <n v="19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70.82022471910112"/>
    <n v="89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40.998484082870135"/>
    <n v="1979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28.063492063492063"/>
    <n v="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88.054421768707485"/>
    <n v="147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31"/>
    <n v="6080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90.337500000000006"/>
    <n v="80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63.777777777777779"/>
    <n v="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53.995515695067262"/>
    <n v="178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48.993956043956047"/>
    <n v="3640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63.857142857142854"/>
    <n v="12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82.996393146979258"/>
    <n v="221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55.08230452674897"/>
    <n v="243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62.044554455445542"/>
    <n v="20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04.97857142857143"/>
    <n v="140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94.044676806083643"/>
    <n v="1052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44.007716049382715"/>
    <n v="1296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92.467532467532465"/>
    <n v="7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57.072874493927124"/>
    <n v="24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109.07848101265823"/>
    <n v="395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39.387755102040813"/>
    <n v="4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77.022222222222226"/>
    <n v="180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92.166666666666671"/>
    <n v="84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61.007063197026021"/>
    <n v="2690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78.068181818181813"/>
    <n v="88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80.75"/>
    <n v="156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59.991289782244557"/>
    <n v="2985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110.03018372703411"/>
    <n v="762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4"/>
    <n v="1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37.99856063332134"/>
    <n v="2779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6.369565217391298"/>
    <n v="92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72.978599221789878"/>
    <n v="102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26.007220216606498"/>
    <n v="554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04.36296296296297"/>
    <n v="135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02.18852459016394"/>
    <n v="122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54.117647058823529"/>
    <n v="221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63.222222222222221"/>
    <n v="126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4.03228962818004"/>
    <n v="1022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49.994334277620396"/>
    <n v="3177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56.015151515151516"/>
    <n v="198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48.807692307692307"/>
    <n v="26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60.082352941176474"/>
    <n v="85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78.990502793296088"/>
    <n v="1790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53.99499443826474"/>
    <n v="3596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111.45945945945945"/>
    <n v="37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60.922131147540981"/>
    <n v="244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26.0015444015444"/>
    <n v="5180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80.993208828522924"/>
    <n v="589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34.995963302752294"/>
    <n v="272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94.142857142857139"/>
    <n v="35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52.085106382978722"/>
    <n v="94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24.986666666666668"/>
    <n v="300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69.215277777777771"/>
    <n v="144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93.944444444444443"/>
    <n v="558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98.40625"/>
    <n v="64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41.783783783783782"/>
    <n v="37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65.991836734693877"/>
    <n v="24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72.05747126436782"/>
    <n v="87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48.003209242618745"/>
    <n v="3116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54.098591549295776"/>
    <n v="7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107.88095238095238"/>
    <n v="42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67.034103410341032"/>
    <n v="909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64.01425914445133"/>
    <n v="161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96.066176470588232"/>
    <n v="136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51.184615384615384"/>
    <n v="130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43.92307692307692"/>
    <n v="156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91.021198830409361"/>
    <n v="1368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50.127450980392155"/>
    <n v="102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67.720930232558146"/>
    <n v="8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61.03921568627451"/>
    <n v="102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80.011857707509876"/>
    <n v="253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7.001497753369947"/>
    <n v="4006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71.127388535031841"/>
    <n v="157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89.99079189686924"/>
    <n v="162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43.032786885245905"/>
    <n v="18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67.997714808043881"/>
    <n v="218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73.004566210045667"/>
    <n v="2409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62.341463414634148"/>
    <n v="82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5"/>
    <n v="1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67.103092783505161"/>
    <n v="1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79.978947368421046"/>
    <n v="1140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62.176470588235297"/>
    <n v="102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53.005950297514879"/>
    <n v="2857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57.738317757009348"/>
    <n v="107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40.03125"/>
    <n v="160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81.016591928251117"/>
    <n v="2230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5.047468354430379"/>
    <n v="316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02.92307692307692"/>
    <n v="117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27.998126756166094"/>
    <n v="6406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75.733333333333334"/>
    <n v="15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45.026041666666664"/>
    <n v="192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73.615384615384613"/>
    <n v="26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56.991701244813278"/>
    <n v="723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85.223529411764702"/>
    <n v="170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50.962184873949582"/>
    <n v="238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63.563636363636363"/>
    <n v="55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80.999165275459092"/>
    <n v="1198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86.044753086419746"/>
    <n v="648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90.0390625"/>
    <n v="128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74.006063432835816"/>
    <n v="2144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92.4375"/>
    <n v="6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55.999257333828446"/>
    <n v="2693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32.983796296296298"/>
    <n v="432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93.596774193548384"/>
    <n v="62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69.867724867724874"/>
    <n v="189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72.129870129870127"/>
    <n v="154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30.041666666666668"/>
    <n v="96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3.968000000000004"/>
    <n v="750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68.65517241379311"/>
    <n v="87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59.992164544564154"/>
    <n v="3063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111.15827338129496"/>
    <n v="278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53.038095238095238"/>
    <n v="105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55.985524728588658"/>
    <n v="1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69.986760812003524"/>
    <n v="2266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48.998079877112133"/>
    <n v="2604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103.84615384615384"/>
    <n v="6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9.127659574468083"/>
    <n v="94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107.37777777777778"/>
    <n v="45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76.922178988326849"/>
    <n v="257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58.128865979381445"/>
    <n v="194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03.73643410852713"/>
    <n v="129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87.962666666666664"/>
    <n v="375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8"/>
    <n v="29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37.999361294443261"/>
    <n v="4697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.999313893653515"/>
    <n v="29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03.5"/>
    <n v="18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85.994467496542185"/>
    <n v="723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98.011627906976742"/>
    <n v="60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2"/>
    <n v="1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44.994570837642193"/>
    <n v="3868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31.012224938875306"/>
    <n v="409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59.970085470085472"/>
    <n v="234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58.9973474801061"/>
    <n v="3016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50.045454545454547"/>
    <n v="264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98.966269841269835"/>
    <n v="504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58.857142857142854"/>
    <n v="1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81.010256410256417"/>
    <n v="390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6.013333333333335"/>
    <n v="750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96.597402597402592"/>
    <n v="77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6.957446808510639"/>
    <n v="752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67.984732824427482"/>
    <n v="131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8.781609195402297"/>
    <n v="8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24.99623706491063"/>
    <n v="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44.922794117647058"/>
    <n v="27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79.400000000000006"/>
    <n v="25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29.009546539379475"/>
    <n v="419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3.59210526315789"/>
    <n v="76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07.97038864898211"/>
    <n v="162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68.987284287011803"/>
    <n v="1101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11.02236719478098"/>
    <n v="1073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24.997515808491418"/>
    <n v="442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42.155172413793103"/>
    <n v="58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47.003284072249592"/>
    <n v="1218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6.0392749244713"/>
    <n v="331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01.03760683760684"/>
    <n v="1170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39.927927927927925"/>
    <n v="111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83.158139534883716"/>
    <n v="215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9.97520661157025"/>
    <n v="363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47.993908629441627"/>
    <n v="2955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95.978877489438744"/>
    <n v="1657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78.728155339805824"/>
    <n v="10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56.081632653061227"/>
    <n v="14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69.090909090909093"/>
    <n v="110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102.05291576673866"/>
    <n v="92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07.32089552238806"/>
    <n v="134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51.970260223048328"/>
    <n v="269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71.137142857142862"/>
    <n v="175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106.49275362318841"/>
    <n v="6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42.93684210526316"/>
    <n v="190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30.037974683544302"/>
    <n v="237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0.623376623376629"/>
    <n v="77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66.016018306636155"/>
    <n v="1748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96.911392405063296"/>
    <n v="79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62.867346938775512"/>
    <n v="196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108.98537682789652"/>
    <n v="88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26.999314599040439"/>
    <n v="7295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65.004147943311438"/>
    <n v="2893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111.51785714285714"/>
    <n v="56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3"/>
    <n v="1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110.99268292682927"/>
    <n v="820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56.746987951807228"/>
    <n v="83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97.020608439646708"/>
    <n v="203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92.08620689655173"/>
    <n v="116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82.986666666666665"/>
    <n v="202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03.03791821561339"/>
    <n v="1345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68.922619047619051"/>
    <n v="168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87.737226277372258"/>
    <n v="137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75.021505376344081"/>
    <n v="186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50.863999999999997"/>
    <n v="125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90"/>
    <n v="14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72.896039603960389"/>
    <n v="202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8.48543689320388"/>
    <n v="103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01.98095238095237"/>
    <n v="1785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44.009146341463413"/>
    <n v="656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65.942675159235662"/>
    <n v="157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24.987387387387386"/>
    <n v="555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8.003367003367003"/>
    <n v="297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85.829268292682926"/>
    <n v="12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84.921052631578945"/>
    <n v="38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90.483333333333334"/>
    <n v="60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25.00197628458498"/>
    <n v="3036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92.013888888888886"/>
    <n v="144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93.066115702479337"/>
    <n v="121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61.008145363408524"/>
    <n v="1596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92.036259541984734"/>
    <n v="52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81.132596685082873"/>
    <n v="181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73.5"/>
    <n v="10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85.221311475409834"/>
    <n v="1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10.96825396825396"/>
    <n v="1071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32.968036529680369"/>
    <n v="21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96.005352363960753"/>
    <n v="112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84.96632653061225"/>
    <n v="980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25.007462686567163"/>
    <n v="536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65.998995479658461"/>
    <n v="199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87.34482758620689"/>
    <n v="2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27.933333333333334"/>
    <n v="180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03.8"/>
    <n v="15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31.937172774869111"/>
    <n v="19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99.5"/>
    <n v="16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08.84615384615384"/>
    <n v="130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10.76229508196721"/>
    <n v="122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29.647058823529413"/>
    <n v="17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01.71428571428571"/>
    <n v="140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61.5"/>
    <n v="34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5"/>
    <n v="3388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40.049999999999997"/>
    <n v="280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110.97231270358306"/>
    <n v="614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.959016393442624"/>
    <n v="36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30.974074074074075"/>
    <n v="270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47.035087719298247"/>
    <n v="11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88.065693430656935"/>
    <n v="13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7.005616224648989"/>
    <n v="3205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6.027777777777779"/>
    <n v="288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67.817567567567565"/>
    <n v="148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49.964912280701753"/>
    <n v="114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10.01646903820817"/>
    <n v="1518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89.964678178963894"/>
    <n v="127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79.009523809523813"/>
    <n v="210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86.867469879518069"/>
    <n v="166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62.04"/>
    <n v="100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6.970212765957445"/>
    <n v="23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54.121621621621621"/>
    <n v="148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41.035353535353536"/>
    <n v="198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55.052419354838712"/>
    <n v="248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107.93762183235867"/>
    <n v="513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73.92"/>
    <n v="150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1.995894428152493"/>
    <n v="3410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53.898148148148145"/>
    <n v="216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106.5"/>
    <n v="26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32.999805409612762"/>
    <n v="5139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43.00254993625159"/>
    <n v="235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86.858974358974365"/>
    <n v="78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96.8"/>
    <n v="10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32.995456610631528"/>
    <n v="2201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8.028106508875737"/>
    <n v="676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58.867816091954026"/>
    <n v="174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105.04572803850782"/>
    <n v="831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33.054878048780488"/>
    <n v="164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78.821428571428569"/>
    <n v="56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68.204968944099377"/>
    <n v="161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75.731884057971016"/>
    <n v="138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0.996070133010882"/>
    <n v="3308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01.88188976377953"/>
    <n v="127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52.879227053140099"/>
    <n v="207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71.005820721769496"/>
    <n v="859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102.38709677419355"/>
    <n v="31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74.466666666666669"/>
    <n v="45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51.009883198562441"/>
    <n v="1113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90"/>
    <n v="6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97.142857142857139"/>
    <n v="7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72.071823204419886"/>
    <n v="181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75.236363636363635"/>
    <n v="110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2.967741935483872"/>
    <n v="31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54.807692307692307"/>
    <n v="78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45.037837837837834"/>
    <n v="185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52.958677685950413"/>
    <n v="121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60.017959183673469"/>
    <n v="1225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44.028301886792455"/>
    <n v="106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86.028169014084511"/>
    <n v="142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8.012875536480685"/>
    <n v="233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32.050458715596328"/>
    <n v="21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73.611940298507463"/>
    <n v="67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108.71052631578948"/>
    <n v="76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2.97674418604651"/>
    <n v="43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83.315789473684205"/>
    <n v="19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42"/>
    <n v="2108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55.927601809954751"/>
    <n v="22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105.03681885125184"/>
    <n v="679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48"/>
    <n v="2805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112.66176470588235"/>
    <n v="68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81.944444444444443"/>
    <n v="36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64.049180327868854"/>
    <n v="183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06.39097744360902"/>
    <n v="133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76.011249497790274"/>
    <n v="2489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111.07246376811594"/>
    <n v="69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95.936170212765958"/>
    <n v="47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43.043010752688176"/>
    <n v="279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67.966666666666669"/>
    <n v="210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89.991428571428571"/>
    <n v="2100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58.095238095238095"/>
    <n v="252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83.996875000000003"/>
    <n v="1280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88.853503184713375"/>
    <n v="157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65.963917525773198"/>
    <n v="1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74.804878048780495"/>
    <n v="82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69.98571428571428"/>
    <n v="70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32.006493506493506"/>
    <n v="154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64.727272727272734"/>
    <n v="22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24.998110087408456"/>
    <n v="4233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04.97764070932922"/>
    <n v="1297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64.987878787878785"/>
    <n v="16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94.352941176470594"/>
    <n v="119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44.001706484641637"/>
    <n v="1758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64.744680851063833"/>
    <n v="94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84.00667779632721"/>
    <n v="1797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34.061302681992338"/>
    <n v="261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93.273885350318466"/>
    <n v="15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2.998301726577978"/>
    <n v="35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83.812903225806451"/>
    <n v="155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63.992424242424242"/>
    <n v="13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81.909090909090907"/>
    <n v="33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3.053191489361708"/>
    <n v="94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01.98449039881831"/>
    <n v="1354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105.9375"/>
    <n v="48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01.58181818181818"/>
    <n v="110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62.970930232558139"/>
    <n v="172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29.045602605863191"/>
    <n v="307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77.924999999999997"/>
    <n v="160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80.806451612903231"/>
    <n v="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76.006816632583508"/>
    <n v="1467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72.993613824192337"/>
    <n v="2662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53"/>
    <n v="452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54.164556962025316"/>
    <n v="158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32.946666666666665"/>
    <n v="22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79.371428571428567"/>
    <n v="35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41.174603174603178"/>
    <n v="63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77.430769230769229"/>
    <n v="65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57.159509202453989"/>
    <n v="163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77.17647058823529"/>
    <n v="85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4.953917050691246"/>
    <n v="217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97.18"/>
    <n v="150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46.000916870415651"/>
    <n v="3272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8.023385300668153"/>
    <n v="898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25.99"/>
    <n v="300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02.69047619047619"/>
    <n v="126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72.958174904942965"/>
    <n v="526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57.190082644628099"/>
    <n v="121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84.013793103448279"/>
    <n v="2320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98.666666666666671"/>
    <n v="8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42.007419183889773"/>
    <n v="1887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32.002753556677376"/>
    <n v="4358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81.567164179104481"/>
    <n v="67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37.035087719298247"/>
    <n v="5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03.033360455655"/>
    <n v="1229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84.333333333333329"/>
    <n v="12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102.60377358490567"/>
    <n v="53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79.992129246064621"/>
    <n v="2414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70.055309734513273"/>
    <n v="452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37"/>
    <n v="80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41.911917098445599"/>
    <n v="193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57.992576882290564"/>
    <n v="1886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40.942307692307693"/>
    <n v="52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69.9972602739726"/>
    <n v="1825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73.838709677419359"/>
    <n v="31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41.979310344827589"/>
    <n v="290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77.93442622950819"/>
    <n v="122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06.01972789115646"/>
    <n v="1470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47.018181818181816"/>
    <n v="165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76.016483516483518"/>
    <n v="18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54.120603015075375"/>
    <n v="199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7.285714285714285"/>
    <n v="56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3.81308411214954"/>
    <n v="107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05.02602739726028"/>
    <n v="1460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90.259259259259252"/>
    <n v="27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76.978705978705975"/>
    <n v="1221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02.60162601626017"/>
    <n v="123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2"/>
    <n v="1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55.0062893081761"/>
    <n v="159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32.127272727272725"/>
    <n v="110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50.642857142857146"/>
    <n v="1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49.6875"/>
    <n v="16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54.894067796610166"/>
    <n v="23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46.931937172774866"/>
    <n v="191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4.951219512195124"/>
    <n v="41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0.99898322318251"/>
    <n v="3934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107.7625"/>
    <n v="80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102.07770270270271"/>
    <n v="296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24.976190476190474"/>
    <n v="462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79.944134078212286"/>
    <n v="179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67.946462715105156"/>
    <n v="523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26.070921985815602"/>
    <n v="141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05.0032154340836"/>
    <n v="186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25.826923076923077"/>
    <n v="52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77.666666666666671"/>
    <n v="2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57.82692307692308"/>
    <n v="156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92.955555555555549"/>
    <n v="225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37.945098039215686"/>
    <n v="255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1.842105263157894"/>
    <n v="38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40"/>
    <n v="2261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101.1"/>
    <n v="40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84.006989951944078"/>
    <n v="2289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103.41538461538461"/>
    <n v="65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05.13333333333334"/>
    <n v="15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89.21621621621621"/>
    <n v="37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51.995234312946785"/>
    <n v="3777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64.956521739130437"/>
    <n v="18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46.235294117647058"/>
    <n v="85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51.151785714285715"/>
    <n v="112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33.909722222222221"/>
    <n v="144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92.016298633017882"/>
    <n v="19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7.42857142857143"/>
    <n v="105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75.848484848484844"/>
    <n v="132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80.476190476190482"/>
    <n v="21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86.978483606557376"/>
    <n v="9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105.13541666666667"/>
    <n v="96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57.298507462686565"/>
    <n v="67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93.348484848484844"/>
    <n v="66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1.987179487179489"/>
    <n v="78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92.611940298507463"/>
    <n v="67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04.99122807017544"/>
    <n v="11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30.958174904942965"/>
    <n v="263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33.001182732111175"/>
    <n v="1691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84.187845303867405"/>
    <n v="181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73.92307692307692"/>
    <n v="13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36.987499999999997"/>
    <n v="160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46.896551724137929"/>
    <n v="203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5"/>
    <n v="1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02.02437459910199"/>
    <n v="155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45.007502206531335"/>
    <n v="2266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94.285714285714292"/>
    <n v="21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01.02325581395348"/>
    <n v="15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97.037499999999994"/>
    <n v="80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43.00963855421687"/>
    <n v="830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94.916030534351151"/>
    <n v="13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72.151785714285708"/>
    <n v="112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51.007692307692309"/>
    <n v="130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85.054545454545448"/>
    <n v="5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43.87096774193548"/>
    <n v="155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40.063909774436091"/>
    <n v="26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43.833333333333336"/>
    <n v="114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84.92903225806451"/>
    <n v="155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41.067632850241544"/>
    <n v="2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54.971428571428568"/>
    <n v="245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77.010807374443743"/>
    <n v="157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71.201754385964918"/>
    <n v="114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1.935483870967744"/>
    <n v="93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97.069023569023571"/>
    <n v="594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58.916666666666664"/>
    <n v="2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58.015466983938133"/>
    <n v="1681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103.87301587301587"/>
    <n v="252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93.46875"/>
    <n v="32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61.970370370370368"/>
    <n v="135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92.042857142857144"/>
    <n v="140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77.268656716417908"/>
    <n v="6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3.923913043478265"/>
    <n v="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84.969458128078813"/>
    <n v="1015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105.97035040431267"/>
    <n v="742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6.969040247678016"/>
    <n v="323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81.533333333333331"/>
    <n v="75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80.999140154772135"/>
    <n v="2326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26.010498687664043"/>
    <n v="38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25.998410896708286"/>
    <n v="4405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34.173913043478258"/>
    <n v="92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28.002083333333335"/>
    <n v="480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76.546875"/>
    <n v="64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53.053097345132741"/>
    <n v="226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106.859375"/>
    <n v="64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46.020746887966808"/>
    <n v="241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00.17424242424242"/>
    <n v="13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101.44"/>
    <n v="75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7.972684085510693"/>
    <n v="842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74.995594713656388"/>
    <n v="2043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42.982142857142854"/>
    <n v="112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33.115107913669064"/>
    <n v="139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101.13101604278074"/>
    <n v="3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55.98841354723708"/>
    <n v="1122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x v="0"/>
    <n v="1450159200"/>
    <x v="0"/>
    <n v="42353.25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92.151898734177209"/>
    <n v="158"/>
    <s v="US"/>
    <s v="USD"/>
    <x v="1"/>
    <n v="1408597200"/>
    <x v="1"/>
    <n v="41872.208333333336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00.01614035087719"/>
    <n v="1425"/>
    <s v="AU"/>
    <s v="AUD"/>
    <x v="2"/>
    <n v="1384840800"/>
    <x v="2"/>
    <n v="41597.25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103.20833333333333"/>
    <n v="24"/>
    <s v="US"/>
    <s v="USD"/>
    <x v="3"/>
    <n v="1568955600"/>
    <x v="3"/>
    <n v="43728.208333333328"/>
    <b v="0"/>
    <b v="0"/>
    <s v="music/rock"/>
    <x v="1"/>
    <s v="rock"/>
  </r>
  <r>
    <n v="4"/>
    <s v="Larson-Little"/>
    <s v="Proactive foreground core"/>
    <n v="7600"/>
    <n v="5265"/>
    <n v="69.276315789473685"/>
    <x v="0"/>
    <n v="99.339622641509436"/>
    <n v="53"/>
    <s v="US"/>
    <s v="USD"/>
    <x v="4"/>
    <n v="1548309600"/>
    <x v="4"/>
    <n v="43489.25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75.833333333333329"/>
    <n v="174"/>
    <s v="DK"/>
    <s v="DKK"/>
    <x v="5"/>
    <n v="1347080400"/>
    <x v="5"/>
    <n v="41160.208333333336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60.555555555555557"/>
    <n v="18"/>
    <s v="GB"/>
    <s v="GBP"/>
    <x v="6"/>
    <n v="1505365200"/>
    <x v="6"/>
    <n v="42992.208333333328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64.93832599118943"/>
    <n v="227"/>
    <s v="DK"/>
    <s v="DKK"/>
    <x v="7"/>
    <n v="1439614800"/>
    <x v="7"/>
    <n v="42231.208333333328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30.997175141242938"/>
    <n v="708"/>
    <s v="DK"/>
    <s v="DKK"/>
    <x v="8"/>
    <n v="1281502800"/>
    <x v="8"/>
    <n v="40401.208333333336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72.909090909090907"/>
    <n v="44"/>
    <s v="US"/>
    <s v="USD"/>
    <x v="9"/>
    <n v="1383804000"/>
    <x v="9"/>
    <n v="41585.25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62.9"/>
    <n v="220"/>
    <s v="US"/>
    <s v="USD"/>
    <x v="10"/>
    <n v="1285909200"/>
    <x v="10"/>
    <n v="40452.208333333336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112.22222222222223"/>
    <n v="27"/>
    <s v="US"/>
    <s v="USD"/>
    <x v="11"/>
    <n v="1285563600"/>
    <x v="11"/>
    <n v="40448.208333333336"/>
    <b v="0"/>
    <b v="1"/>
    <s v="theater/plays"/>
    <x v="3"/>
    <s v="plays"/>
  </r>
  <r>
    <n v="12"/>
    <s v="Kim Ltd"/>
    <s v="Assimilated hybrid intranet"/>
    <n v="6300"/>
    <n v="5629"/>
    <n v="89.349206349206341"/>
    <x v="0"/>
    <n v="102.34545454545454"/>
    <n v="55"/>
    <s v="US"/>
    <s v="USD"/>
    <x v="12"/>
    <n v="1572411600"/>
    <x v="12"/>
    <n v="43768.208333333328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105.05102040816327"/>
    <n v="98"/>
    <s v="US"/>
    <s v="USD"/>
    <x v="13"/>
    <n v="1466658000"/>
    <x v="13"/>
    <n v="42544.208333333328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94.144999999999996"/>
    <n v="200"/>
    <s v="US"/>
    <s v="USD"/>
    <x v="14"/>
    <n v="1333342800"/>
    <x v="14"/>
    <n v="41001.208333333336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84.986725663716811"/>
    <n v="452"/>
    <s v="US"/>
    <s v="USD"/>
    <x v="15"/>
    <n v="1576303200"/>
    <x v="15"/>
    <n v="43813.25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10.41"/>
    <n v="100"/>
    <s v="US"/>
    <s v="USD"/>
    <x v="16"/>
    <n v="1392271200"/>
    <x v="16"/>
    <n v="41683.25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07.96236989591674"/>
    <n v="1249"/>
    <s v="US"/>
    <s v="USD"/>
    <x v="17"/>
    <n v="1294898400"/>
    <x v="17"/>
    <n v="40556.25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45.103703703703701"/>
    <n v="135"/>
    <s v="US"/>
    <s v="USD"/>
    <x v="18"/>
    <n v="1537074000"/>
    <x v="18"/>
    <n v="43359.208333333328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45.001483679525222"/>
    <n v="674"/>
    <s v="US"/>
    <s v="USD"/>
    <x v="19"/>
    <n v="1553490000"/>
    <x v="19"/>
    <n v="43549.208333333328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05.97134670487107"/>
    <n v="1396"/>
    <s v="US"/>
    <s v="USD"/>
    <x v="20"/>
    <n v="1406523600"/>
    <x v="20"/>
    <n v="41848.208333333336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69.055555555555557"/>
    <n v="558"/>
    <s v="US"/>
    <s v="USD"/>
    <x v="21"/>
    <n v="1316322000"/>
    <x v="21"/>
    <n v="40804.208333333336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5.044943820224717"/>
    <n v="890"/>
    <s v="US"/>
    <s v="USD"/>
    <x v="22"/>
    <n v="1524027600"/>
    <x v="22"/>
    <n v="43208.208333333328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05.22535211267606"/>
    <n v="142"/>
    <s v="GB"/>
    <s v="GBP"/>
    <x v="23"/>
    <n v="1554699600"/>
    <x v="23"/>
    <n v="43563.208333333328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39.003741114852225"/>
    <n v="2673"/>
    <s v="US"/>
    <s v="USD"/>
    <x v="24"/>
    <n v="1403499600"/>
    <x v="24"/>
    <n v="41813.208333333336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73.030674846625772"/>
    <n v="163"/>
    <s v="US"/>
    <s v="USD"/>
    <x v="25"/>
    <n v="1307422800"/>
    <x v="25"/>
    <n v="40701.208333333336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35.009459459459457"/>
    <n v="1480"/>
    <s v="US"/>
    <s v="USD"/>
    <x v="26"/>
    <n v="1535346000"/>
    <x v="26"/>
    <n v="43339.208333333328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06.6"/>
    <n v="15"/>
    <s v="US"/>
    <s v="USD"/>
    <x v="27"/>
    <n v="1444539600"/>
    <x v="27"/>
    <n v="42288.208333333328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61.997747747747745"/>
    <n v="2220"/>
    <s v="US"/>
    <s v="USD"/>
    <x v="28"/>
    <n v="1267682400"/>
    <x v="28"/>
    <n v="40241.25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94.000622665006233"/>
    <n v="1606"/>
    <s v="CH"/>
    <s v="CHF"/>
    <x v="29"/>
    <n v="1535518800"/>
    <x v="29"/>
    <n v="43341.208333333328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12.05426356589147"/>
    <n v="129"/>
    <s v="US"/>
    <s v="USD"/>
    <x v="30"/>
    <n v="1559106000"/>
    <x v="30"/>
    <n v="43614.208333333328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48.008849557522126"/>
    <n v="226"/>
    <s v="GB"/>
    <s v="GBP"/>
    <x v="31"/>
    <n v="1454392800"/>
    <x v="31"/>
    <n v="42402.25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38.004334633723452"/>
    <n v="2307"/>
    <s v="IT"/>
    <s v="EUR"/>
    <x v="32"/>
    <n v="1517896800"/>
    <x v="32"/>
    <n v="43137.25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35.000184535892231"/>
    <n v="5419"/>
    <s v="US"/>
    <s v="USD"/>
    <x v="33"/>
    <n v="1415685600"/>
    <x v="33"/>
    <n v="41954.25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85"/>
    <n v="165"/>
    <s v="US"/>
    <s v="USD"/>
    <x v="34"/>
    <n v="1490677200"/>
    <x v="34"/>
    <n v="42822.208333333328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95.993893129770996"/>
    <n v="1965"/>
    <s v="DK"/>
    <s v="DKK"/>
    <x v="35"/>
    <n v="1551506400"/>
    <x v="35"/>
    <n v="43526.25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68.8125"/>
    <n v="16"/>
    <s v="US"/>
    <s v="USD"/>
    <x v="36"/>
    <n v="1300856400"/>
    <x v="36"/>
    <n v="40625.208333333336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5.97196261682242"/>
    <n v="107"/>
    <s v="US"/>
    <s v="USD"/>
    <x v="37"/>
    <n v="1573192800"/>
    <x v="37"/>
    <n v="43777.25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75.261194029850742"/>
    <n v="134"/>
    <s v="US"/>
    <s v="USD"/>
    <x v="38"/>
    <n v="1287810000"/>
    <x v="38"/>
    <n v="40474.208333333336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57.125"/>
    <n v="88"/>
    <s v="DK"/>
    <s v="DKK"/>
    <x v="39"/>
    <n v="1362978000"/>
    <x v="39"/>
    <n v="41344.208333333336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75.141414141414145"/>
    <n v="198"/>
    <s v="US"/>
    <s v="USD"/>
    <x v="40"/>
    <n v="1277355600"/>
    <x v="40"/>
    <n v="40353.208333333336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07.42342342342343"/>
    <n v="111"/>
    <s v="IT"/>
    <s v="EUR"/>
    <x v="41"/>
    <n v="1348981200"/>
    <x v="41"/>
    <n v="41182.208333333336"/>
    <b v="0"/>
    <b v="1"/>
    <s v="music/rock"/>
    <x v="1"/>
    <s v="rock"/>
  </r>
  <r>
    <n v="42"/>
    <s v="Werner-Bryant"/>
    <s v="Virtual uniform frame"/>
    <n v="1800"/>
    <n v="7991"/>
    <n v="443.94444444444446"/>
    <x v="1"/>
    <n v="35.995495495495497"/>
    <n v="222"/>
    <s v="US"/>
    <s v="USD"/>
    <x v="42"/>
    <n v="1310533200"/>
    <x v="42"/>
    <n v="40737.208333333336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26.998873148744366"/>
    <n v="6212"/>
    <s v="US"/>
    <s v="USD"/>
    <x v="43"/>
    <n v="1407560400"/>
    <x v="43"/>
    <n v="41860.208333333336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107.56122448979592"/>
    <n v="98"/>
    <s v="DK"/>
    <s v="DKK"/>
    <x v="44"/>
    <n v="1552885200"/>
    <x v="44"/>
    <n v="43542.208333333328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94.375"/>
    <n v="48"/>
    <s v="US"/>
    <s v="USD"/>
    <x v="45"/>
    <n v="1479362400"/>
    <x v="45"/>
    <n v="42691.25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46.163043478260867"/>
    <n v="92"/>
    <s v="US"/>
    <s v="USD"/>
    <x v="46"/>
    <n v="1280552400"/>
    <x v="46"/>
    <n v="40390.208333333336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47.845637583892618"/>
    <n v="149"/>
    <s v="US"/>
    <s v="USD"/>
    <x v="47"/>
    <n v="1398661200"/>
    <x v="47"/>
    <n v="41757.208333333336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53.007815713698065"/>
    <n v="2431"/>
    <s v="US"/>
    <s v="USD"/>
    <x v="48"/>
    <n v="1436245200"/>
    <x v="48"/>
    <n v="42192.208333333328"/>
    <b v="0"/>
    <b v="0"/>
    <s v="theater/plays"/>
    <x v="3"/>
    <s v="plays"/>
  </r>
  <r>
    <n v="49"/>
    <s v="Casey-Kelly"/>
    <s v="Sharable holistic interface"/>
    <n v="7200"/>
    <n v="13653"/>
    <n v="189.625"/>
    <x v="1"/>
    <n v="45.059405940594061"/>
    <n v="303"/>
    <s v="US"/>
    <s v="USD"/>
    <x v="49"/>
    <n v="1575439200"/>
    <x v="49"/>
    <n v="43803.25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2"/>
    <n v="1"/>
    <s v="IT"/>
    <s v="EUR"/>
    <x v="50"/>
    <n v="1377752400"/>
    <x v="50"/>
    <n v="41515.208333333336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99.006816632583508"/>
    <n v="1467"/>
    <s v="GB"/>
    <s v="GBP"/>
    <x v="51"/>
    <n v="1334206800"/>
    <x v="51"/>
    <n v="41011.208333333336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32.786666666666669"/>
    <n v="75"/>
    <s v="US"/>
    <s v="USD"/>
    <x v="52"/>
    <n v="1284872400"/>
    <x v="52"/>
    <n v="40440.208333333336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59.119617224880386"/>
    <n v="209"/>
    <s v="US"/>
    <s v="USD"/>
    <x v="53"/>
    <n v="1403931600"/>
    <x v="53"/>
    <n v="41818.208333333336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44.93333333333333"/>
    <n v="120"/>
    <s v="US"/>
    <s v="USD"/>
    <x v="54"/>
    <n v="1521262800"/>
    <x v="54"/>
    <n v="43176.208333333328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89.664122137404576"/>
    <n v="131"/>
    <s v="US"/>
    <s v="USD"/>
    <x v="55"/>
    <n v="1533358800"/>
    <x v="55"/>
    <n v="43316.208333333328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70.079268292682926"/>
    <n v="164"/>
    <s v="US"/>
    <s v="USD"/>
    <x v="56"/>
    <n v="1421474400"/>
    <x v="56"/>
    <n v="42021.25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31.059701492537314"/>
    <n v="201"/>
    <s v="US"/>
    <s v="USD"/>
    <x v="57"/>
    <n v="1505278800"/>
    <x v="57"/>
    <n v="42991.208333333328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9.061611374407583"/>
    <n v="211"/>
    <s v="US"/>
    <s v="USD"/>
    <x v="58"/>
    <n v="1443934800"/>
    <x v="58"/>
    <n v="42281.208333333328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30.0859375"/>
    <n v="128"/>
    <s v="US"/>
    <s v="USD"/>
    <x v="59"/>
    <n v="1498539600"/>
    <x v="59"/>
    <n v="42913.208333333328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84.998125000000002"/>
    <n v="1600"/>
    <s v="CA"/>
    <s v="CAD"/>
    <x v="60"/>
    <n v="1342760400"/>
    <x v="60"/>
    <n v="41110.208333333336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82.001775410563695"/>
    <n v="2253"/>
    <s v="CA"/>
    <s v="CAD"/>
    <x v="61"/>
    <n v="1301720400"/>
    <x v="61"/>
    <n v="40635.208333333336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58.040160642570278"/>
    <n v="249"/>
    <s v="US"/>
    <s v="USD"/>
    <x v="62"/>
    <n v="1433566800"/>
    <x v="62"/>
    <n v="42161.208333333328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111.4"/>
    <n v="5"/>
    <s v="US"/>
    <s v="USD"/>
    <x v="63"/>
    <n v="1493874000"/>
    <x v="63"/>
    <n v="42859.208333333328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71.94736842105263"/>
    <n v="38"/>
    <s v="US"/>
    <s v="USD"/>
    <x v="64"/>
    <n v="1531803600"/>
    <x v="64"/>
    <n v="43298.208333333328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61.038135593220339"/>
    <n v="236"/>
    <s v="US"/>
    <s v="USD"/>
    <x v="65"/>
    <n v="1296712800"/>
    <x v="65"/>
    <n v="40577.25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08.91666666666667"/>
    <n v="12"/>
    <s v="US"/>
    <s v="USD"/>
    <x v="66"/>
    <n v="1428901200"/>
    <x v="66"/>
    <n v="42107.208333333328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29.001722017220171"/>
    <n v="4065"/>
    <s v="GB"/>
    <s v="GBP"/>
    <x v="67"/>
    <n v="1264831200"/>
    <x v="67"/>
    <n v="40208.25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58.975609756097562"/>
    <n v="246"/>
    <s v="IT"/>
    <s v="EUR"/>
    <x v="68"/>
    <n v="1505192400"/>
    <x v="68"/>
    <n v="42990.208333333328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11.82352941176471"/>
    <n v="17"/>
    <s v="US"/>
    <s v="USD"/>
    <x v="69"/>
    <n v="1295676000"/>
    <x v="69"/>
    <n v="40565.25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63.995555555555555"/>
    <n v="2475"/>
    <s v="IT"/>
    <s v="EUR"/>
    <x v="70"/>
    <n v="1292911200"/>
    <x v="70"/>
    <n v="40533.25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85.315789473684205"/>
    <n v="76"/>
    <s v="US"/>
    <s v="USD"/>
    <x v="71"/>
    <n v="1575439200"/>
    <x v="71"/>
    <n v="43803.25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74.481481481481481"/>
    <n v="54"/>
    <s v="US"/>
    <s v="USD"/>
    <x v="72"/>
    <n v="1438837200"/>
    <x v="72"/>
    <n v="42222.208333333328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105.14772727272727"/>
    <n v="88"/>
    <s v="US"/>
    <s v="USD"/>
    <x v="73"/>
    <n v="1480485600"/>
    <x v="73"/>
    <n v="42704.25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56.188235294117646"/>
    <n v="85"/>
    <s v="GB"/>
    <s v="GBP"/>
    <x v="74"/>
    <n v="1459141200"/>
    <x v="74"/>
    <n v="42457.208333333328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85.917647058823533"/>
    <n v="170"/>
    <s v="US"/>
    <s v="USD"/>
    <x v="75"/>
    <n v="1532322000"/>
    <x v="75"/>
    <n v="43304.208333333328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57.00296912114014"/>
    <n v="1684"/>
    <s v="US"/>
    <s v="USD"/>
    <x v="76"/>
    <n v="1426222800"/>
    <x v="76"/>
    <n v="42076.208333333328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79.642857142857139"/>
    <n v="56"/>
    <s v="US"/>
    <s v="USD"/>
    <x v="77"/>
    <n v="1286773200"/>
    <x v="77"/>
    <n v="40462.208333333336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41.018181818181816"/>
    <n v="330"/>
    <s v="US"/>
    <s v="USD"/>
    <x v="78"/>
    <n v="1523941200"/>
    <x v="78"/>
    <n v="43207.208333333328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48.004773269689736"/>
    <n v="838"/>
    <s v="US"/>
    <s v="USD"/>
    <x v="79"/>
    <n v="1529557200"/>
    <x v="79"/>
    <n v="43272.208333333328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55.212598425196852"/>
    <n v="127"/>
    <s v="US"/>
    <s v="USD"/>
    <x v="80"/>
    <n v="1506574800"/>
    <x v="80"/>
    <n v="43006.208333333328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92.109489051094897"/>
    <n v="411"/>
    <s v="US"/>
    <s v="USD"/>
    <x v="81"/>
    <n v="1513576800"/>
    <x v="81"/>
    <n v="43087.25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83.183333333333337"/>
    <n v="180"/>
    <s v="GB"/>
    <s v="GBP"/>
    <x v="82"/>
    <n v="1548309600"/>
    <x v="82"/>
    <n v="43489.25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39.996000000000002"/>
    <n v="1000"/>
    <s v="US"/>
    <s v="USD"/>
    <x v="83"/>
    <n v="1471582800"/>
    <x v="83"/>
    <n v="42601.208333333328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111.1336898395722"/>
    <n v="374"/>
    <s v="US"/>
    <s v="USD"/>
    <x v="84"/>
    <n v="1344315600"/>
    <x v="84"/>
    <n v="41128.208333333336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90.563380281690144"/>
    <n v="71"/>
    <s v="AU"/>
    <s v="AUD"/>
    <x v="85"/>
    <n v="1316408400"/>
    <x v="85"/>
    <n v="40805.208333333336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61.108374384236456"/>
    <n v="203"/>
    <s v="US"/>
    <s v="USD"/>
    <x v="86"/>
    <n v="1431838800"/>
    <x v="86"/>
    <n v="42141.208333333328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83.022941970310384"/>
    <n v="1482"/>
    <s v="AU"/>
    <s v="AUD"/>
    <x v="87"/>
    <n v="1300510800"/>
    <x v="87"/>
    <n v="40621.208333333336"/>
    <b v="0"/>
    <b v="1"/>
    <s v="music/rock"/>
    <x v="1"/>
    <s v="rock"/>
  </r>
  <r>
    <n v="88"/>
    <s v="Clark Group"/>
    <s v="Grass-roots fault-tolerant policy"/>
    <n v="4800"/>
    <n v="12516"/>
    <n v="260.75"/>
    <x v="1"/>
    <n v="110.76106194690266"/>
    <n v="113"/>
    <s v="US"/>
    <s v="USD"/>
    <x v="88"/>
    <n v="1431061200"/>
    <x v="88"/>
    <n v="42132.208333333328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89.458333333333329"/>
    <n v="96"/>
    <s v="US"/>
    <s v="USD"/>
    <x v="89"/>
    <n v="1271480400"/>
    <x v="89"/>
    <n v="40285.208333333336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57.849056603773583"/>
    <n v="106"/>
    <s v="US"/>
    <s v="USD"/>
    <x v="90"/>
    <n v="1456380000"/>
    <x v="90"/>
    <n v="42425.25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109.99705449189985"/>
    <n v="679"/>
    <s v="IT"/>
    <s v="EUR"/>
    <x v="91"/>
    <n v="1472878800"/>
    <x v="91"/>
    <n v="42616.208333333328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103.96586345381526"/>
    <n v="498"/>
    <s v="CH"/>
    <s v="CHF"/>
    <x v="92"/>
    <n v="1277355600"/>
    <x v="92"/>
    <n v="40353.208333333336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107.99508196721311"/>
    <n v="610"/>
    <s v="US"/>
    <s v="USD"/>
    <x v="93"/>
    <n v="1351054800"/>
    <x v="93"/>
    <n v="41206.208333333336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48.927777777777777"/>
    <n v="180"/>
    <s v="GB"/>
    <s v="GBP"/>
    <x v="94"/>
    <n v="1555563600"/>
    <x v="94"/>
    <n v="43573.208333333328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37.666666666666664"/>
    <n v="27"/>
    <s v="US"/>
    <s v="USD"/>
    <x v="95"/>
    <n v="1571634000"/>
    <x v="95"/>
    <n v="43759.208333333328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64.999141999141997"/>
    <n v="2331"/>
    <s v="US"/>
    <s v="USD"/>
    <x v="96"/>
    <n v="1300856400"/>
    <x v="96"/>
    <n v="40625.208333333336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06.61061946902655"/>
    <n v="113"/>
    <s v="US"/>
    <s v="USD"/>
    <x v="48"/>
    <n v="1439874000"/>
    <x v="48"/>
    <n v="42234.208333333328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27.009016393442622"/>
    <n v="1220"/>
    <s v="AU"/>
    <s v="AUD"/>
    <x v="97"/>
    <n v="1438318800"/>
    <x v="97"/>
    <n v="42216.208333333328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91.16463414634147"/>
    <n v="164"/>
    <s v="US"/>
    <s v="USD"/>
    <x v="98"/>
    <n v="1419400800"/>
    <x v="98"/>
    <n v="41997.25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x v="99"/>
    <n v="1320555600"/>
    <x v="99"/>
    <n v="40853.208333333336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56.054878048780488"/>
    <n v="164"/>
    <s v="US"/>
    <s v="USD"/>
    <x v="100"/>
    <n v="1425103200"/>
    <x v="100"/>
    <n v="42063.25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1.017857142857142"/>
    <n v="336"/>
    <s v="US"/>
    <s v="USD"/>
    <x v="101"/>
    <n v="1526878800"/>
    <x v="101"/>
    <n v="43241.208333333328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66.513513513513516"/>
    <n v="37"/>
    <s v="IT"/>
    <s v="EUR"/>
    <x v="102"/>
    <n v="1288674000"/>
    <x v="102"/>
    <n v="40484.208333333336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89.005216484089729"/>
    <n v="1917"/>
    <s v="US"/>
    <s v="USD"/>
    <x v="103"/>
    <n v="1495602000"/>
    <x v="103"/>
    <n v="42879.208333333328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103.46315789473684"/>
    <n v="95"/>
    <s v="US"/>
    <s v="USD"/>
    <x v="104"/>
    <n v="1366434000"/>
    <x v="104"/>
    <n v="41384.208333333336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95.278911564625844"/>
    <n v="147"/>
    <s v="US"/>
    <s v="USD"/>
    <x v="105"/>
    <n v="1568350800"/>
    <x v="105"/>
    <n v="43721.208333333328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75.895348837209298"/>
    <n v="86"/>
    <s v="US"/>
    <s v="USD"/>
    <x v="106"/>
    <n v="1525928400"/>
    <x v="106"/>
    <n v="43230.208333333328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107.57831325301204"/>
    <n v="83"/>
    <s v="US"/>
    <s v="USD"/>
    <x v="107"/>
    <n v="1336885200"/>
    <x v="107"/>
    <n v="41042.208333333336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51.31666666666667"/>
    <n v="60"/>
    <s v="US"/>
    <s v="USD"/>
    <x v="108"/>
    <n v="1389679200"/>
    <x v="108"/>
    <n v="41653.25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71.983108108108112"/>
    <n v="296"/>
    <s v="US"/>
    <s v="USD"/>
    <x v="109"/>
    <n v="1538283600"/>
    <x v="109"/>
    <n v="43373.208333333328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108.95414201183432"/>
    <n v="676"/>
    <s v="US"/>
    <s v="USD"/>
    <x v="110"/>
    <n v="1348808400"/>
    <x v="110"/>
    <n v="41180.208333333336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5"/>
    <n v="361"/>
    <s v="AU"/>
    <s v="AUD"/>
    <x v="111"/>
    <n v="1410152400"/>
    <x v="111"/>
    <n v="41890.208333333336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94.938931297709928"/>
    <n v="131"/>
    <s v="US"/>
    <s v="USD"/>
    <x v="112"/>
    <n v="1505797200"/>
    <x v="112"/>
    <n v="42997.208333333328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09.65079365079364"/>
    <n v="126"/>
    <s v="US"/>
    <s v="USD"/>
    <x v="113"/>
    <n v="1554872400"/>
    <x v="113"/>
    <n v="43565.208333333328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44.001815980629537"/>
    <n v="3304"/>
    <s v="IT"/>
    <s v="EUR"/>
    <x v="114"/>
    <n v="1513922400"/>
    <x v="114"/>
    <n v="43091.25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86.794520547945211"/>
    <n v="73"/>
    <s v="US"/>
    <s v="USD"/>
    <x v="115"/>
    <n v="1442638800"/>
    <x v="115"/>
    <n v="42266.208333333328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30.992727272727272"/>
    <n v="275"/>
    <s v="US"/>
    <s v="USD"/>
    <x v="116"/>
    <n v="1317186000"/>
    <x v="116"/>
    <n v="40814.208333333336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94.791044776119406"/>
    <n v="67"/>
    <s v="US"/>
    <s v="USD"/>
    <x v="117"/>
    <n v="1391234400"/>
    <x v="117"/>
    <n v="41671.25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69.79220779220779"/>
    <n v="154"/>
    <s v="US"/>
    <s v="USD"/>
    <x v="118"/>
    <n v="1404363600"/>
    <x v="118"/>
    <n v="41823.208333333336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63.003367003367003"/>
    <n v="1782"/>
    <s v="US"/>
    <s v="USD"/>
    <x v="119"/>
    <n v="1429592400"/>
    <x v="119"/>
    <n v="42115.208333333328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110.0343300110742"/>
    <n v="903"/>
    <s v="US"/>
    <s v="USD"/>
    <x v="33"/>
    <n v="1413608400"/>
    <x v="33"/>
    <n v="41930.208333333336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25.997933274284026"/>
    <n v="3387"/>
    <s v="US"/>
    <s v="USD"/>
    <x v="120"/>
    <n v="1419400800"/>
    <x v="120"/>
    <n v="41997.25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49.987915407854985"/>
    <n v="662"/>
    <s v="CA"/>
    <s v="CAD"/>
    <x v="121"/>
    <n v="1448604000"/>
    <x v="121"/>
    <n v="42335.25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101.72340425531915"/>
    <n v="94"/>
    <s v="IT"/>
    <s v="EUR"/>
    <x v="122"/>
    <n v="1562302800"/>
    <x v="122"/>
    <n v="43651.208333333328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47.083333333333336"/>
    <n v="180"/>
    <s v="US"/>
    <s v="USD"/>
    <x v="123"/>
    <n v="1537678800"/>
    <x v="123"/>
    <n v="43366.208333333328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89.944444444444443"/>
    <n v="774"/>
    <s v="US"/>
    <s v="USD"/>
    <x v="124"/>
    <n v="1473570000"/>
    <x v="124"/>
    <n v="42624.208333333328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78.96875"/>
    <n v="672"/>
    <s v="CA"/>
    <s v="CAD"/>
    <x v="125"/>
    <n v="1273899600"/>
    <x v="125"/>
    <n v="40313.208333333336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80.067669172932327"/>
    <n v="532"/>
    <s v="US"/>
    <s v="USD"/>
    <x v="126"/>
    <n v="1284008400"/>
    <x v="126"/>
    <n v="40430.208333333336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86.472727272727269"/>
    <n v="55"/>
    <s v="AU"/>
    <s v="AUD"/>
    <x v="127"/>
    <n v="1425103200"/>
    <x v="127"/>
    <n v="42063.25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28.001876172607879"/>
    <n v="533"/>
    <s v="DK"/>
    <s v="DKK"/>
    <x v="128"/>
    <n v="1320991200"/>
    <x v="128"/>
    <n v="40858.25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67.996725337699544"/>
    <n v="2443"/>
    <s v="GB"/>
    <s v="GBP"/>
    <x v="129"/>
    <n v="1386828000"/>
    <x v="129"/>
    <n v="41620.25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43.078651685393261"/>
    <n v="89"/>
    <s v="US"/>
    <s v="USD"/>
    <x v="130"/>
    <n v="1517119200"/>
    <x v="130"/>
    <n v="43128.25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87.95597484276729"/>
    <n v="159"/>
    <s v="US"/>
    <s v="USD"/>
    <x v="131"/>
    <n v="1315026000"/>
    <x v="131"/>
    <n v="40789.208333333336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.987234042553197"/>
    <n v="940"/>
    <s v="CH"/>
    <s v="CHF"/>
    <x v="132"/>
    <n v="1312693200"/>
    <x v="132"/>
    <n v="40762.208333333336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46.905982905982903"/>
    <n v="117"/>
    <s v="US"/>
    <s v="USD"/>
    <x v="133"/>
    <n v="1363064400"/>
    <x v="133"/>
    <n v="41345.208333333336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46.913793103448278"/>
    <n v="58"/>
    <s v="US"/>
    <s v="USD"/>
    <x v="134"/>
    <n v="1403154000"/>
    <x v="134"/>
    <n v="41809.208333333336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94.24"/>
    <n v="50"/>
    <s v="US"/>
    <s v="USD"/>
    <x v="135"/>
    <n v="1286859600"/>
    <x v="135"/>
    <n v="40463.208333333336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80.139130434782615"/>
    <n v="115"/>
    <s v="US"/>
    <s v="USD"/>
    <x v="136"/>
    <n v="1349326800"/>
    <x v="136"/>
    <n v="41186.208333333336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59.036809815950917"/>
    <n v="326"/>
    <s v="US"/>
    <s v="USD"/>
    <x v="137"/>
    <n v="1430974800"/>
    <x v="137"/>
    <n v="42131.208333333328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65.989247311827953"/>
    <n v="186"/>
    <s v="US"/>
    <s v="USD"/>
    <x v="138"/>
    <n v="1519970400"/>
    <x v="138"/>
    <n v="43161.25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60.992530345471522"/>
    <n v="1071"/>
    <s v="US"/>
    <s v="USD"/>
    <x v="139"/>
    <n v="1434603600"/>
    <x v="139"/>
    <n v="42173.208333333328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98.307692307692307"/>
    <n v="117"/>
    <s v="US"/>
    <s v="USD"/>
    <x v="107"/>
    <n v="1337230800"/>
    <x v="107"/>
    <n v="41046.208333333336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104.6"/>
    <n v="70"/>
    <s v="US"/>
    <s v="USD"/>
    <x v="140"/>
    <n v="1279429200"/>
    <x v="140"/>
    <n v="40377.208333333336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86.066666666666663"/>
    <n v="135"/>
    <s v="US"/>
    <s v="USD"/>
    <x v="141"/>
    <n v="1561438800"/>
    <x v="141"/>
    <n v="43641.208333333328"/>
    <b v="0"/>
    <b v="0"/>
    <s v="theater/plays"/>
    <x v="3"/>
    <s v="plays"/>
  </r>
  <r>
    <n v="145"/>
    <s v="Fields-Moore"/>
    <s v="Secured reciprocal array"/>
    <n v="25000"/>
    <n v="59128"/>
    <n v="236.512"/>
    <x v="1"/>
    <n v="76.989583333333329"/>
    <n v="768"/>
    <s v="CH"/>
    <s v="CHF"/>
    <x v="142"/>
    <n v="1410498000"/>
    <x v="142"/>
    <n v="41894.208333333336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29.764705882352942"/>
    <n v="51"/>
    <s v="US"/>
    <s v="USD"/>
    <x v="143"/>
    <n v="1322460000"/>
    <x v="143"/>
    <n v="40875.25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46.91959798994975"/>
    <n v="199"/>
    <s v="US"/>
    <s v="USD"/>
    <x v="144"/>
    <n v="1466312400"/>
    <x v="144"/>
    <n v="42540.208333333328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5.18691588785046"/>
    <n v="107"/>
    <s v="US"/>
    <s v="USD"/>
    <x v="145"/>
    <n v="1501736400"/>
    <x v="145"/>
    <n v="42950.208333333328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69.907692307692301"/>
    <n v="195"/>
    <s v="US"/>
    <s v="USD"/>
    <x v="146"/>
    <n v="1361512800"/>
    <x v="146"/>
    <n v="41327.25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x v="147"/>
    <n v="1545026400"/>
    <x v="147"/>
    <n v="43451.25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60.011588275391958"/>
    <n v="1467"/>
    <s v="US"/>
    <s v="USD"/>
    <x v="148"/>
    <n v="1406696400"/>
    <x v="148"/>
    <n v="41850.208333333336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52.006220379146917"/>
    <n v="3376"/>
    <s v="US"/>
    <s v="USD"/>
    <x v="149"/>
    <n v="1487916000"/>
    <x v="149"/>
    <n v="42790.25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31.000176025347649"/>
    <n v="5681"/>
    <s v="US"/>
    <s v="USD"/>
    <x v="150"/>
    <n v="1351141200"/>
    <x v="150"/>
    <n v="41207.208333333336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95.042492917847028"/>
    <n v="1059"/>
    <s v="US"/>
    <s v="USD"/>
    <x v="151"/>
    <n v="1465016400"/>
    <x v="151"/>
    <n v="42525.208333333328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75.968174204355108"/>
    <n v="1194"/>
    <s v="US"/>
    <s v="USD"/>
    <x v="152"/>
    <n v="1270789200"/>
    <x v="152"/>
    <n v="40277.208333333336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71.013192612137203"/>
    <n v="379"/>
    <s v="AU"/>
    <s v="AUD"/>
    <x v="153"/>
    <n v="1572325200"/>
    <x v="153"/>
    <n v="43767.208333333328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73.733333333333334"/>
    <n v="30"/>
    <s v="AU"/>
    <s v="AUD"/>
    <x v="154"/>
    <n v="1389420000"/>
    <x v="154"/>
    <n v="41650.25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113.17073170731707"/>
    <n v="41"/>
    <s v="US"/>
    <s v="USD"/>
    <x v="155"/>
    <n v="1449640800"/>
    <x v="155"/>
    <n v="42347.25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05.00933552992861"/>
    <n v="1821"/>
    <s v="US"/>
    <s v="USD"/>
    <x v="156"/>
    <n v="1555218000"/>
    <x v="156"/>
    <n v="43569.208333333328"/>
    <b v="0"/>
    <b v="1"/>
    <s v="theater/plays"/>
    <x v="3"/>
    <s v="plays"/>
  </r>
  <r>
    <n v="160"/>
    <s v="Evans Group"/>
    <s v="Stand-alone actuating support"/>
    <n v="8000"/>
    <n v="12985"/>
    <n v="162.3125"/>
    <x v="1"/>
    <n v="79.176829268292678"/>
    <n v="164"/>
    <s v="US"/>
    <s v="USD"/>
    <x v="157"/>
    <n v="1557723600"/>
    <x v="157"/>
    <n v="43598.208333333328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57.333333333333336"/>
    <n v="75"/>
    <s v="US"/>
    <s v="USD"/>
    <x v="158"/>
    <n v="1443502800"/>
    <x v="158"/>
    <n v="42276.208333333328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58.178343949044589"/>
    <n v="157"/>
    <s v="CH"/>
    <s v="CHF"/>
    <x v="159"/>
    <n v="1546840800"/>
    <x v="159"/>
    <n v="43472.25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36.032520325203251"/>
    <n v="246"/>
    <s v="US"/>
    <s v="USD"/>
    <x v="160"/>
    <n v="1512712800"/>
    <x v="160"/>
    <n v="43077.25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07.99068767908309"/>
    <n v="1396"/>
    <s v="US"/>
    <s v="USD"/>
    <x v="161"/>
    <n v="1507525200"/>
    <x v="161"/>
    <n v="43017.208333333328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44.005985634477256"/>
    <n v="2506"/>
    <s v="US"/>
    <s v="USD"/>
    <x v="162"/>
    <n v="1504328400"/>
    <x v="162"/>
    <n v="42980.208333333328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55.077868852459019"/>
    <n v="244"/>
    <s v="US"/>
    <s v="USD"/>
    <x v="163"/>
    <n v="1293343200"/>
    <x v="163"/>
    <n v="40538.25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74"/>
    <n v="146"/>
    <s v="AU"/>
    <s v="AUD"/>
    <x v="164"/>
    <n v="1371704400"/>
    <x v="164"/>
    <n v="41445.208333333336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41.996858638743454"/>
    <n v="955"/>
    <s v="DK"/>
    <s v="DKK"/>
    <x v="165"/>
    <n v="1552798800"/>
    <x v="165"/>
    <n v="43541.208333333328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77.988161010260455"/>
    <n v="1267"/>
    <s v="US"/>
    <s v="USD"/>
    <x v="166"/>
    <n v="1342328400"/>
    <x v="166"/>
    <n v="41105.208333333336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82.507462686567166"/>
    <n v="67"/>
    <s v="US"/>
    <s v="USD"/>
    <x v="167"/>
    <n v="1502341200"/>
    <x v="167"/>
    <n v="42957.208333333328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104.2"/>
    <n v="5"/>
    <s v="US"/>
    <s v="USD"/>
    <x v="168"/>
    <n v="1397192400"/>
    <x v="168"/>
    <n v="41740.208333333336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5.5"/>
    <n v="26"/>
    <s v="US"/>
    <s v="USD"/>
    <x v="169"/>
    <n v="1407042000"/>
    <x v="169"/>
    <n v="41854.208333333336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00.98334401024984"/>
    <n v="1561"/>
    <s v="US"/>
    <s v="USD"/>
    <x v="170"/>
    <n v="1369371600"/>
    <x v="170"/>
    <n v="41418.208333333336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111.83333333333333"/>
    <n v="48"/>
    <s v="US"/>
    <s v="USD"/>
    <x v="171"/>
    <n v="1444107600"/>
    <x v="171"/>
    <n v="42283.208333333328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41.999115044247787"/>
    <n v="1130"/>
    <s v="US"/>
    <s v="USD"/>
    <x v="172"/>
    <n v="1474261200"/>
    <x v="172"/>
    <n v="42632.208333333328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110.05115089514067"/>
    <n v="782"/>
    <s v="US"/>
    <s v="USD"/>
    <x v="173"/>
    <n v="1473656400"/>
    <x v="173"/>
    <n v="42625.208333333328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58.997079225994888"/>
    <n v="2739"/>
    <s v="US"/>
    <s v="USD"/>
    <x v="174"/>
    <n v="1291960800"/>
    <x v="174"/>
    <n v="40522.25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32.985714285714288"/>
    <n v="210"/>
    <s v="US"/>
    <s v="USD"/>
    <x v="175"/>
    <n v="1506747600"/>
    <x v="175"/>
    <n v="43008.208333333328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45.005654509471306"/>
    <n v="3537"/>
    <s v="CA"/>
    <s v="CAD"/>
    <x v="176"/>
    <n v="1363582800"/>
    <x v="176"/>
    <n v="41351.208333333336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81.98196487897485"/>
    <n v="2107"/>
    <s v="AU"/>
    <s v="AUD"/>
    <x v="177"/>
    <n v="1269666000"/>
    <x v="177"/>
    <n v="40264.208333333336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39.080882352941174"/>
    <n v="136"/>
    <s v="US"/>
    <s v="USD"/>
    <x v="178"/>
    <n v="1508648400"/>
    <x v="178"/>
    <n v="43030.208333333328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58.996383363471971"/>
    <n v="3318"/>
    <s v="DK"/>
    <s v="DKK"/>
    <x v="179"/>
    <n v="1561957200"/>
    <x v="179"/>
    <n v="43647.208333333328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40.988372093023258"/>
    <n v="86"/>
    <s v="CA"/>
    <s v="CAD"/>
    <x v="180"/>
    <n v="1285131600"/>
    <x v="180"/>
    <n v="40443.208333333336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1.029411764705884"/>
    <n v="340"/>
    <s v="US"/>
    <s v="USD"/>
    <x v="181"/>
    <n v="1556946000"/>
    <x v="181"/>
    <n v="43589.208333333328"/>
    <b v="0"/>
    <b v="0"/>
    <s v="theater/plays"/>
    <x v="3"/>
    <s v="plays"/>
  </r>
  <r>
    <n v="185"/>
    <s v="Bailey PLC"/>
    <s v="Innovative actuating conglomeration"/>
    <n v="1000"/>
    <n v="718"/>
    <n v="71.8"/>
    <x v="0"/>
    <n v="37.789473684210527"/>
    <n v="19"/>
    <s v="US"/>
    <s v="USD"/>
    <x v="182"/>
    <n v="1527138000"/>
    <x v="182"/>
    <n v="43244.208333333328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32.006772009029348"/>
    <n v="886"/>
    <s v="US"/>
    <s v="USD"/>
    <x v="183"/>
    <n v="1402117200"/>
    <x v="183"/>
    <n v="41797.208333333336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95.966712898751737"/>
    <n v="1442"/>
    <s v="CA"/>
    <s v="CAD"/>
    <x v="184"/>
    <n v="1364014800"/>
    <x v="184"/>
    <n v="41356.208333333336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75"/>
    <n v="35"/>
    <s v="IT"/>
    <s v="EUR"/>
    <x v="185"/>
    <n v="1417586400"/>
    <x v="185"/>
    <n v="41976.25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102.0498866213152"/>
    <n v="441"/>
    <s v="US"/>
    <s v="USD"/>
    <x v="186"/>
    <n v="1457071200"/>
    <x v="186"/>
    <n v="42433.25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105.75"/>
    <n v="24"/>
    <s v="US"/>
    <s v="USD"/>
    <x v="187"/>
    <n v="1370408400"/>
    <x v="187"/>
    <n v="41430.208333333336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37.069767441860463"/>
    <n v="86"/>
    <s v="IT"/>
    <s v="EUR"/>
    <x v="188"/>
    <n v="1552626000"/>
    <x v="188"/>
    <n v="43539.208333333328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35.049382716049379"/>
    <n v="243"/>
    <s v="US"/>
    <s v="USD"/>
    <x v="189"/>
    <n v="1404190800"/>
    <x v="189"/>
    <n v="41821.208333333336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46.338461538461537"/>
    <n v="65"/>
    <s v="US"/>
    <s v="USD"/>
    <x v="190"/>
    <n v="1523509200"/>
    <x v="190"/>
    <n v="43202.208333333328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69.174603174603178"/>
    <n v="126"/>
    <s v="US"/>
    <s v="USD"/>
    <x v="191"/>
    <n v="1443589200"/>
    <x v="191"/>
    <n v="42277.208333333328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109.07824427480917"/>
    <n v="524"/>
    <s v="US"/>
    <s v="USD"/>
    <x v="192"/>
    <n v="1533445200"/>
    <x v="192"/>
    <n v="43317.208333333328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51.78"/>
    <n v="100"/>
    <s v="DK"/>
    <s v="DKK"/>
    <x v="173"/>
    <n v="1474520400"/>
    <x v="173"/>
    <n v="42635.208333333328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82.010055304172951"/>
    <n v="1989"/>
    <s v="US"/>
    <s v="USD"/>
    <x v="193"/>
    <n v="1499403600"/>
    <x v="193"/>
    <n v="42923.208333333328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35.958333333333336"/>
    <n v="168"/>
    <s v="US"/>
    <s v="USD"/>
    <x v="194"/>
    <n v="1283576400"/>
    <x v="194"/>
    <n v="40425.208333333336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74.461538461538467"/>
    <n v="13"/>
    <s v="US"/>
    <s v="USD"/>
    <x v="195"/>
    <n v="1436590800"/>
    <x v="195"/>
    <n v="42196.208333333328"/>
    <b v="0"/>
    <b v="0"/>
    <s v="music/rock"/>
    <x v="1"/>
    <s v="rock"/>
  </r>
  <r>
    <n v="200"/>
    <s v="Becker, Rice and White"/>
    <s v="Reduced dedicated capability"/>
    <n v="100"/>
    <n v="2"/>
    <n v="2"/>
    <x v="0"/>
    <n v="2"/>
    <n v="1"/>
    <s v="CA"/>
    <s v="CAD"/>
    <x v="152"/>
    <n v="1270443600"/>
    <x v="152"/>
    <n v="40273.208333333336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91.114649681528661"/>
    <n v="157"/>
    <s v="US"/>
    <s v="USD"/>
    <x v="196"/>
    <n v="1407819600"/>
    <x v="196"/>
    <n v="41863.208333333336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79.792682926829272"/>
    <n v="82"/>
    <s v="US"/>
    <s v="USD"/>
    <x v="197"/>
    <n v="1317877200"/>
    <x v="197"/>
    <n v="40822.208333333336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2.999777678968428"/>
    <n v="4498"/>
    <s v="AU"/>
    <s v="AUD"/>
    <x v="198"/>
    <n v="1484805600"/>
    <x v="198"/>
    <n v="42754.25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63.225000000000001"/>
    <n v="40"/>
    <s v="US"/>
    <s v="USD"/>
    <x v="199"/>
    <n v="1302670800"/>
    <x v="199"/>
    <n v="40646.208333333336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70.174999999999997"/>
    <n v="80"/>
    <s v="US"/>
    <s v="USD"/>
    <x v="200"/>
    <n v="1540789200"/>
    <x v="200"/>
    <n v="43402.208333333328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61.333333333333336"/>
    <n v="57"/>
    <s v="US"/>
    <s v="USD"/>
    <x v="201"/>
    <n v="1268028000"/>
    <x v="201"/>
    <n v="40245.25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99"/>
    <n v="43"/>
    <s v="US"/>
    <s v="USD"/>
    <x v="202"/>
    <n v="1537160400"/>
    <x v="202"/>
    <n v="43360.208333333328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96.984900146127615"/>
    <n v="2053"/>
    <s v="US"/>
    <s v="USD"/>
    <x v="203"/>
    <n v="1512280800"/>
    <x v="203"/>
    <n v="43072.25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51.004950495049506"/>
    <n v="808"/>
    <s v="AU"/>
    <s v="AUD"/>
    <x v="204"/>
    <n v="1463115600"/>
    <x v="204"/>
    <n v="42503.208333333328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8.044247787610619"/>
    <n v="226"/>
    <s v="DK"/>
    <s v="DKK"/>
    <x v="205"/>
    <n v="1490850000"/>
    <x v="205"/>
    <n v="42824.208333333328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60.984615384615381"/>
    <n v="1625"/>
    <s v="US"/>
    <s v="USD"/>
    <x v="206"/>
    <n v="1379653200"/>
    <x v="206"/>
    <n v="41537.208333333336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73.214285714285708"/>
    <n v="168"/>
    <s v="US"/>
    <s v="USD"/>
    <x v="207"/>
    <n v="1580364000"/>
    <x v="207"/>
    <n v="43860.25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39.997435299603637"/>
    <n v="4289"/>
    <s v="US"/>
    <s v="USD"/>
    <x v="208"/>
    <n v="1289714400"/>
    <x v="208"/>
    <n v="40496.25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86.812121212121212"/>
    <n v="165"/>
    <s v="US"/>
    <s v="USD"/>
    <x v="209"/>
    <n v="1282712400"/>
    <x v="209"/>
    <n v="40415.208333333336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42.125874125874127"/>
    <n v="143"/>
    <s v="US"/>
    <s v="USD"/>
    <x v="210"/>
    <n v="1550210400"/>
    <x v="210"/>
    <n v="43511.25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03.97851239669421"/>
    <n v="1815"/>
    <s v="US"/>
    <s v="USD"/>
    <x v="211"/>
    <n v="1322114400"/>
    <x v="211"/>
    <n v="40871.25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62.003211991434689"/>
    <n v="934"/>
    <s v="US"/>
    <s v="USD"/>
    <x v="212"/>
    <n v="1557205200"/>
    <x v="212"/>
    <n v="43592.208333333328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1.005037783375315"/>
    <n v="397"/>
    <s v="GB"/>
    <s v="GBP"/>
    <x v="213"/>
    <n v="1323928800"/>
    <x v="213"/>
    <n v="40892.25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89.991552956465242"/>
    <n v="1539"/>
    <s v="US"/>
    <s v="USD"/>
    <x v="214"/>
    <n v="1346130000"/>
    <x v="214"/>
    <n v="41149.208333333336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39.235294117647058"/>
    <n v="17"/>
    <s v="US"/>
    <s v="USD"/>
    <x v="215"/>
    <n v="1311051600"/>
    <x v="215"/>
    <n v="40743.208333333336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54.993116108306566"/>
    <n v="2179"/>
    <s v="US"/>
    <s v="USD"/>
    <x v="216"/>
    <n v="1340427600"/>
    <x v="216"/>
    <n v="41083.208333333336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47.992753623188406"/>
    <n v="138"/>
    <s v="US"/>
    <s v="USD"/>
    <x v="217"/>
    <n v="1412312400"/>
    <x v="217"/>
    <n v="41915.208333333336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87.966702470461868"/>
    <n v="931"/>
    <s v="US"/>
    <s v="USD"/>
    <x v="218"/>
    <n v="1459314000"/>
    <x v="218"/>
    <n v="42459.208333333328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51.999165275459099"/>
    <n v="3594"/>
    <s v="US"/>
    <s v="USD"/>
    <x v="219"/>
    <n v="1415426400"/>
    <x v="219"/>
    <n v="41951.25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29.999659863945578"/>
    <n v="5880"/>
    <s v="US"/>
    <s v="USD"/>
    <x v="220"/>
    <n v="1399093200"/>
    <x v="220"/>
    <n v="41762.208333333336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98.205357142857139"/>
    <n v="112"/>
    <s v="US"/>
    <s v="USD"/>
    <x v="221"/>
    <n v="1273899600"/>
    <x v="221"/>
    <n v="40313.208333333336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108.96182396606575"/>
    <n v="943"/>
    <s v="US"/>
    <s v="USD"/>
    <x v="222"/>
    <n v="1432184400"/>
    <x v="222"/>
    <n v="42145.208333333328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66.998379254457049"/>
    <n v="2468"/>
    <s v="US"/>
    <s v="USD"/>
    <x v="172"/>
    <n v="1474779600"/>
    <x v="172"/>
    <n v="42638.208333333328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64.99333594668758"/>
    <n v="2551"/>
    <s v="US"/>
    <s v="USD"/>
    <x v="223"/>
    <n v="1500440400"/>
    <x v="223"/>
    <n v="42935.208333333328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99.841584158415841"/>
    <n v="101"/>
    <s v="US"/>
    <s v="USD"/>
    <x v="224"/>
    <n v="1575612000"/>
    <x v="224"/>
    <n v="43805.25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82.432835820895519"/>
    <n v="67"/>
    <s v="US"/>
    <s v="USD"/>
    <x v="225"/>
    <n v="1374123600"/>
    <x v="225"/>
    <n v="41473.208333333336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63.293478260869563"/>
    <n v="92"/>
    <s v="US"/>
    <s v="USD"/>
    <x v="226"/>
    <n v="1469509200"/>
    <x v="226"/>
    <n v="42577.208333333328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96.774193548387103"/>
    <n v="62"/>
    <s v="US"/>
    <s v="USD"/>
    <x v="227"/>
    <n v="1309237200"/>
    <x v="227"/>
    <n v="40722.208333333336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54.906040268456373"/>
    <n v="149"/>
    <s v="IT"/>
    <s v="EUR"/>
    <x v="228"/>
    <n v="1503982800"/>
    <x v="228"/>
    <n v="42976.208333333328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39.010869565217391"/>
    <n v="92"/>
    <s v="US"/>
    <s v="USD"/>
    <x v="229"/>
    <n v="1487397600"/>
    <x v="229"/>
    <n v="42784.25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75.84210526315789"/>
    <n v="57"/>
    <s v="AU"/>
    <s v="AUD"/>
    <x v="230"/>
    <n v="1562043600"/>
    <x v="230"/>
    <n v="43648.208333333328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45.051671732522799"/>
    <n v="329"/>
    <s v="US"/>
    <s v="USD"/>
    <x v="231"/>
    <n v="1398574800"/>
    <x v="231"/>
    <n v="41756.208333333336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104.51546391752578"/>
    <n v="97"/>
    <s v="DK"/>
    <s v="DKK"/>
    <x v="232"/>
    <n v="1515391200"/>
    <x v="232"/>
    <n v="43108.25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76.268292682926827"/>
    <n v="41"/>
    <s v="US"/>
    <s v="USD"/>
    <x v="233"/>
    <n v="1441170000"/>
    <x v="233"/>
    <n v="42249.208333333328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69.015695067264573"/>
    <n v="1784"/>
    <s v="US"/>
    <s v="USD"/>
    <x v="194"/>
    <n v="1281157200"/>
    <x v="194"/>
    <n v="40397.208333333336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01.97684085510689"/>
    <n v="1684"/>
    <s v="AU"/>
    <s v="AUD"/>
    <x v="234"/>
    <n v="1398229200"/>
    <x v="234"/>
    <n v="41752.208333333336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42.915999999999997"/>
    <n v="250"/>
    <s v="US"/>
    <s v="USD"/>
    <x v="235"/>
    <n v="1495256400"/>
    <x v="235"/>
    <n v="42875.208333333328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43.025210084033617"/>
    <n v="238"/>
    <s v="US"/>
    <s v="USD"/>
    <x v="236"/>
    <n v="1520402400"/>
    <x v="236"/>
    <n v="43166.25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75.245283018867923"/>
    <n v="53"/>
    <s v="US"/>
    <s v="USD"/>
    <x v="237"/>
    <n v="1409806800"/>
    <x v="237"/>
    <n v="41886.208333333336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69.023364485981304"/>
    <n v="214"/>
    <s v="US"/>
    <s v="USD"/>
    <x v="238"/>
    <n v="1396933200"/>
    <x v="238"/>
    <n v="41737.208333333336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65.986486486486484"/>
    <n v="222"/>
    <s v="US"/>
    <s v="USD"/>
    <x v="239"/>
    <n v="1376024400"/>
    <x v="239"/>
    <n v="41495.208333333336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98.013800424628457"/>
    <n v="1884"/>
    <s v="US"/>
    <s v="USD"/>
    <x v="240"/>
    <n v="1483682400"/>
    <x v="240"/>
    <n v="42741.25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60.105504587155963"/>
    <n v="218"/>
    <s v="AU"/>
    <s v="AUD"/>
    <x v="241"/>
    <n v="1420437600"/>
    <x v="241"/>
    <n v="42009.25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26.000773395204948"/>
    <n v="6465"/>
    <s v="US"/>
    <s v="USD"/>
    <x v="242"/>
    <n v="1420783200"/>
    <x v="242"/>
    <n v="42013.25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3"/>
    <n v="1"/>
    <s v="US"/>
    <s v="USD"/>
    <x v="67"/>
    <n v="1267423200"/>
    <x v="67"/>
    <n v="40238.25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38.019801980198018"/>
    <n v="101"/>
    <s v="US"/>
    <s v="USD"/>
    <x v="243"/>
    <n v="1355205600"/>
    <x v="243"/>
    <n v="41254.25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106.15254237288136"/>
    <n v="59"/>
    <s v="US"/>
    <s v="USD"/>
    <x v="244"/>
    <n v="1383109200"/>
    <x v="244"/>
    <n v="41577.208333333336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81.019475655430711"/>
    <n v="1335"/>
    <s v="CA"/>
    <s v="CAD"/>
    <x v="245"/>
    <n v="1303275600"/>
    <x v="245"/>
    <n v="40653.208333333336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96.647727272727266"/>
    <n v="88"/>
    <s v="US"/>
    <s v="USD"/>
    <x v="246"/>
    <n v="1487829600"/>
    <x v="246"/>
    <n v="42789.25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57.003535651149086"/>
    <n v="1697"/>
    <s v="US"/>
    <s v="USD"/>
    <x v="247"/>
    <n v="1298268000"/>
    <x v="247"/>
    <n v="40595.25"/>
    <b v="0"/>
    <b v="1"/>
    <s v="music/rock"/>
    <x v="1"/>
    <s v="rock"/>
  </r>
  <r>
    <n v="256"/>
    <s v="Smith-Reid"/>
    <s v="Optimized actuating toolset"/>
    <n v="4100"/>
    <n v="959"/>
    <n v="23.390243902439025"/>
    <x v="0"/>
    <n v="63.93333333333333"/>
    <n v="15"/>
    <s v="GB"/>
    <s v="GBP"/>
    <x v="248"/>
    <n v="1456812000"/>
    <x v="248"/>
    <n v="42430.25"/>
    <b v="0"/>
    <b v="0"/>
    <s v="music/rock"/>
    <x v="1"/>
    <s v="rock"/>
  </r>
  <r>
    <n v="257"/>
    <s v="Williams Inc"/>
    <s v="Decentralized exuding strategy"/>
    <n v="5700"/>
    <n v="8322"/>
    <n v="146"/>
    <x v="1"/>
    <n v="90.456521739130437"/>
    <n v="92"/>
    <s v="US"/>
    <s v="USD"/>
    <x v="249"/>
    <n v="1363669200"/>
    <x v="249"/>
    <n v="41352.208333333336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72.172043010752688"/>
    <n v="186"/>
    <s v="US"/>
    <s v="USD"/>
    <x v="250"/>
    <n v="1482904800"/>
    <x v="250"/>
    <n v="42732.25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77.934782608695656"/>
    <n v="138"/>
    <s v="US"/>
    <s v="USD"/>
    <x v="251"/>
    <n v="1356588000"/>
    <x v="251"/>
    <n v="41270.25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38.065134099616856"/>
    <n v="261"/>
    <s v="US"/>
    <s v="USD"/>
    <x v="136"/>
    <n v="1349845200"/>
    <x v="136"/>
    <n v="41192.208333333336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57.936123348017624"/>
    <n v="454"/>
    <s v="US"/>
    <s v="USD"/>
    <x v="252"/>
    <n v="1283058000"/>
    <x v="252"/>
    <n v="40419.208333333336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49.794392523364486"/>
    <n v="107"/>
    <s v="US"/>
    <s v="USD"/>
    <x v="253"/>
    <n v="1304226000"/>
    <x v="253"/>
    <n v="40664.208333333336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54.050251256281406"/>
    <n v="199"/>
    <s v="US"/>
    <s v="USD"/>
    <x v="254"/>
    <n v="1263016800"/>
    <x v="254"/>
    <n v="40187.25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30.002721335268504"/>
    <n v="5512"/>
    <s v="US"/>
    <s v="USD"/>
    <x v="255"/>
    <n v="1362031200"/>
    <x v="255"/>
    <n v="41333.25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70.127906976744185"/>
    <n v="86"/>
    <s v="US"/>
    <s v="USD"/>
    <x v="256"/>
    <n v="1455602400"/>
    <x v="256"/>
    <n v="42416.25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26.996228786926462"/>
    <n v="3182"/>
    <s v="IT"/>
    <s v="EUR"/>
    <x v="257"/>
    <n v="1418191200"/>
    <x v="257"/>
    <n v="41983.25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51.990606936416185"/>
    <n v="2768"/>
    <s v="AU"/>
    <s v="AUD"/>
    <x v="258"/>
    <n v="1352440800"/>
    <x v="258"/>
    <n v="41222.25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56.416666666666664"/>
    <n v="48"/>
    <s v="US"/>
    <s v="USD"/>
    <x v="259"/>
    <n v="1353304800"/>
    <x v="259"/>
    <n v="41232.25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101.63218390804597"/>
    <n v="87"/>
    <s v="US"/>
    <s v="USD"/>
    <x v="260"/>
    <n v="1550728800"/>
    <x v="260"/>
    <n v="43517.25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25.005291005291006"/>
    <n v="1890"/>
    <s v="US"/>
    <s v="USD"/>
    <x v="261"/>
    <n v="1291442400"/>
    <x v="261"/>
    <n v="40516.25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32.016393442622949"/>
    <n v="61"/>
    <s v="US"/>
    <s v="USD"/>
    <x v="262"/>
    <n v="1452146400"/>
    <x v="262"/>
    <n v="42376.25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82.021647307286173"/>
    <n v="1894"/>
    <s v="US"/>
    <s v="USD"/>
    <x v="263"/>
    <n v="1564894800"/>
    <x v="263"/>
    <n v="43681.208333333328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37.957446808510639"/>
    <n v="282"/>
    <s v="CA"/>
    <s v="CAD"/>
    <x v="264"/>
    <n v="1505883600"/>
    <x v="264"/>
    <n v="42998.208333333328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51.533333333333331"/>
    <n v="15"/>
    <s v="US"/>
    <s v="USD"/>
    <x v="265"/>
    <n v="1510380000"/>
    <x v="265"/>
    <n v="43050.25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81.198275862068968"/>
    <n v="116"/>
    <s v="US"/>
    <s v="USD"/>
    <x v="266"/>
    <n v="1555218000"/>
    <x v="266"/>
    <n v="43569.208333333328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40.030075187969928"/>
    <n v="133"/>
    <s v="US"/>
    <s v="USD"/>
    <x v="267"/>
    <n v="1335243600"/>
    <x v="267"/>
    <n v="41023.208333333336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9.939759036144579"/>
    <n v="83"/>
    <s v="US"/>
    <s v="USD"/>
    <x v="268"/>
    <n v="1279688400"/>
    <x v="268"/>
    <n v="40380.208333333336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6.692307692307693"/>
    <n v="91"/>
    <s v="US"/>
    <s v="USD"/>
    <x v="269"/>
    <n v="1356069600"/>
    <x v="269"/>
    <n v="41264.25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25.010989010989011"/>
    <n v="546"/>
    <s v="US"/>
    <s v="USD"/>
    <x v="270"/>
    <n v="1536210000"/>
    <x v="270"/>
    <n v="43349.208333333328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6.987277353689571"/>
    <n v="393"/>
    <s v="US"/>
    <s v="USD"/>
    <x v="271"/>
    <n v="1511762400"/>
    <x v="271"/>
    <n v="43066.25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73.012609117361791"/>
    <n v="2062"/>
    <s v="US"/>
    <s v="USD"/>
    <x v="272"/>
    <n v="1333256400"/>
    <x v="272"/>
    <n v="41000.208333333336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68.240601503759393"/>
    <n v="133"/>
    <s v="US"/>
    <s v="USD"/>
    <x v="73"/>
    <n v="1480744800"/>
    <x v="73"/>
    <n v="42707.25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52.310344827586206"/>
    <n v="29"/>
    <s v="DK"/>
    <s v="DKK"/>
    <x v="273"/>
    <n v="1465016400"/>
    <x v="273"/>
    <n v="42525.208333333328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61.765151515151516"/>
    <n v="132"/>
    <s v="US"/>
    <s v="USD"/>
    <x v="274"/>
    <n v="1336280400"/>
    <x v="274"/>
    <n v="41035.208333333336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.027559055118111"/>
    <n v="254"/>
    <s v="US"/>
    <s v="USD"/>
    <x v="275"/>
    <n v="1476766800"/>
    <x v="275"/>
    <n v="42661.208333333328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06.28804347826087"/>
    <n v="184"/>
    <s v="US"/>
    <s v="USD"/>
    <x v="276"/>
    <n v="1480485600"/>
    <x v="276"/>
    <n v="42704.25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75.07386363636364"/>
    <n v="176"/>
    <s v="US"/>
    <s v="USD"/>
    <x v="277"/>
    <n v="1430197200"/>
    <x v="277"/>
    <n v="42122.208333333328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39.970802919708028"/>
    <n v="137"/>
    <s v="DK"/>
    <s v="DKK"/>
    <x v="278"/>
    <n v="1331787600"/>
    <x v="278"/>
    <n v="40983.208333333336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9.982195845697326"/>
    <n v="337"/>
    <s v="CA"/>
    <s v="CAD"/>
    <x v="279"/>
    <n v="1438837200"/>
    <x v="279"/>
    <n v="42222.208333333328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101.01541850220265"/>
    <n v="908"/>
    <s v="US"/>
    <s v="USD"/>
    <x v="280"/>
    <n v="1370926800"/>
    <x v="280"/>
    <n v="41436.208333333336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76.813084112149539"/>
    <n v="107"/>
    <s v="US"/>
    <s v="USD"/>
    <x v="281"/>
    <n v="1319000400"/>
    <x v="281"/>
    <n v="40835.208333333336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71.7"/>
    <n v="10"/>
    <s v="US"/>
    <s v="USD"/>
    <x v="282"/>
    <n v="1333429200"/>
    <x v="282"/>
    <n v="41002.208333333336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3.28125"/>
    <n v="32"/>
    <s v="IT"/>
    <s v="EUR"/>
    <x v="283"/>
    <n v="1287032400"/>
    <x v="283"/>
    <n v="40465.208333333336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43.923497267759565"/>
    <n v="183"/>
    <s v="US"/>
    <s v="USD"/>
    <x v="284"/>
    <n v="1541570400"/>
    <x v="284"/>
    <n v="43411.25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36.004712041884815"/>
    <n v="1910"/>
    <s v="CH"/>
    <s v="CHF"/>
    <x v="285"/>
    <n v="1383976800"/>
    <x v="285"/>
    <n v="41587.25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88.21052631578948"/>
    <n v="38"/>
    <s v="AU"/>
    <s v="AUD"/>
    <x v="286"/>
    <n v="1550556000"/>
    <x v="286"/>
    <n v="43515.25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65.240384615384613"/>
    <n v="104"/>
    <s v="AU"/>
    <s v="AUD"/>
    <x v="287"/>
    <n v="1390456800"/>
    <x v="287"/>
    <n v="41662.25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69.958333333333329"/>
    <n v="72"/>
    <s v="US"/>
    <s v="USD"/>
    <x v="288"/>
    <n v="1458018000"/>
    <x v="288"/>
    <n v="42444.208333333328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39.877551020408163"/>
    <n v="49"/>
    <s v="US"/>
    <s v="USD"/>
    <x v="289"/>
    <n v="1461819600"/>
    <x v="289"/>
    <n v="42488.208333333328"/>
    <b v="0"/>
    <b v="0"/>
    <s v="food/food trucks"/>
    <x v="0"/>
    <s v="food trucks"/>
  </r>
  <r>
    <n v="300"/>
    <s v="Cooke PLC"/>
    <s v="Focused executive core"/>
    <n v="100"/>
    <n v="5"/>
    <n v="5"/>
    <x v="0"/>
    <n v="5"/>
    <n v="1"/>
    <s v="DK"/>
    <s v="DKK"/>
    <x v="290"/>
    <n v="1504155600"/>
    <x v="290"/>
    <n v="42978.208333333328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41.023728813559323"/>
    <n v="295"/>
    <s v="US"/>
    <s v="USD"/>
    <x v="291"/>
    <n v="1426395600"/>
    <x v="291"/>
    <n v="42078.208333333328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98.914285714285711"/>
    <n v="245"/>
    <s v="US"/>
    <s v="USD"/>
    <x v="292"/>
    <n v="1537074000"/>
    <x v="292"/>
    <n v="43359.208333333328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87.78125"/>
    <n v="32"/>
    <s v="US"/>
    <s v="USD"/>
    <x v="293"/>
    <n v="1452578400"/>
    <x v="293"/>
    <n v="42381.25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80.767605633802816"/>
    <n v="142"/>
    <s v="US"/>
    <s v="USD"/>
    <x v="294"/>
    <n v="1474088400"/>
    <x v="294"/>
    <n v="42630.208333333328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94.28235294117647"/>
    <n v="85"/>
    <s v="US"/>
    <s v="USD"/>
    <x v="295"/>
    <n v="1461906000"/>
    <x v="295"/>
    <n v="42489.208333333328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3.428571428571431"/>
    <n v="7"/>
    <s v="US"/>
    <s v="USD"/>
    <x v="296"/>
    <n v="1500267600"/>
    <x v="296"/>
    <n v="42933.208333333328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.968133535660087"/>
    <n v="659"/>
    <s v="DK"/>
    <s v="DKK"/>
    <x v="297"/>
    <n v="1340686800"/>
    <x v="297"/>
    <n v="41086.208333333336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109.04109589041096"/>
    <n v="803"/>
    <s v="US"/>
    <s v="USD"/>
    <x v="298"/>
    <n v="1303189200"/>
    <x v="298"/>
    <n v="40652.208333333336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41.16"/>
    <n v="75"/>
    <s v="US"/>
    <s v="USD"/>
    <x v="299"/>
    <n v="1318309200"/>
    <x v="299"/>
    <n v="40827.208333333336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99.125"/>
    <n v="16"/>
    <s v="US"/>
    <s v="USD"/>
    <x v="300"/>
    <n v="1272171600"/>
    <x v="300"/>
    <n v="40293.208333333336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05.88429752066116"/>
    <n v="121"/>
    <s v="US"/>
    <s v="USD"/>
    <x v="247"/>
    <n v="1298872800"/>
    <x v="247"/>
    <n v="40602.25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48.996525921966864"/>
    <n v="3742"/>
    <s v="US"/>
    <s v="USD"/>
    <x v="244"/>
    <n v="1383282000"/>
    <x v="244"/>
    <n v="41579.208333333336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39"/>
    <n v="223"/>
    <s v="US"/>
    <s v="USD"/>
    <x v="301"/>
    <n v="1330495200"/>
    <x v="301"/>
    <n v="40968.25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31.022556390977442"/>
    <n v="133"/>
    <s v="US"/>
    <s v="USD"/>
    <x v="188"/>
    <n v="1552798800"/>
    <x v="188"/>
    <n v="43541.208333333328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103.87096774193549"/>
    <n v="31"/>
    <s v="US"/>
    <s v="USD"/>
    <x v="302"/>
    <n v="1403413200"/>
    <x v="302"/>
    <n v="41812.208333333336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59.268518518518519"/>
    <n v="108"/>
    <s v="IT"/>
    <s v="EUR"/>
    <x v="303"/>
    <n v="1574229600"/>
    <x v="303"/>
    <n v="43789.25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42.3"/>
    <n v="30"/>
    <s v="US"/>
    <s v="USD"/>
    <x v="304"/>
    <n v="1495861200"/>
    <x v="304"/>
    <n v="42882.208333333328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53.117647058823529"/>
    <n v="17"/>
    <s v="US"/>
    <s v="USD"/>
    <x v="305"/>
    <n v="1392530400"/>
    <x v="305"/>
    <n v="41686.25"/>
    <b v="0"/>
    <b v="0"/>
    <s v="music/rock"/>
    <x v="1"/>
    <s v="rock"/>
  </r>
  <r>
    <n v="319"/>
    <s v="Mills Group"/>
    <s v="Advanced empowering matrix"/>
    <n v="8400"/>
    <n v="3251"/>
    <n v="38.702380952380956"/>
    <x v="3"/>
    <n v="50.796875"/>
    <n v="64"/>
    <s v="US"/>
    <s v="USD"/>
    <x v="306"/>
    <n v="1283662800"/>
    <x v="306"/>
    <n v="40426.208333333336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101.15"/>
    <n v="80"/>
    <s v="US"/>
    <s v="USD"/>
    <x v="307"/>
    <n v="1305781200"/>
    <x v="307"/>
    <n v="40682.208333333336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65.000810372771468"/>
    <n v="2468"/>
    <s v="US"/>
    <s v="USD"/>
    <x v="308"/>
    <n v="1302325200"/>
    <x v="308"/>
    <n v="40642.208333333336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37.998645510835914"/>
    <n v="5168"/>
    <s v="US"/>
    <s v="USD"/>
    <x v="309"/>
    <n v="1291788000"/>
    <x v="309"/>
    <n v="40520.25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82.615384615384613"/>
    <n v="26"/>
    <s v="GB"/>
    <s v="GBP"/>
    <x v="310"/>
    <n v="1396069200"/>
    <x v="310"/>
    <n v="41727.208333333336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7.941368078175898"/>
    <n v="307"/>
    <s v="US"/>
    <s v="USD"/>
    <x v="311"/>
    <n v="1435899600"/>
    <x v="311"/>
    <n v="42188.208333333328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80.780821917808225"/>
    <n v="73"/>
    <s v="US"/>
    <s v="USD"/>
    <x v="79"/>
    <n v="1531112400"/>
    <x v="79"/>
    <n v="43290.208333333328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25.984375"/>
    <n v="128"/>
    <s v="US"/>
    <s v="USD"/>
    <x v="312"/>
    <n v="1451628000"/>
    <x v="312"/>
    <n v="42370.25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0.363636363636363"/>
    <n v="33"/>
    <s v="US"/>
    <s v="USD"/>
    <x v="313"/>
    <n v="1567314000"/>
    <x v="313"/>
    <n v="43709.208333333328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54.004916018025398"/>
    <n v="2441"/>
    <s v="US"/>
    <s v="USD"/>
    <x v="314"/>
    <n v="1544508000"/>
    <x v="314"/>
    <n v="43445.25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101.78672985781991"/>
    <n v="211"/>
    <s v="US"/>
    <s v="USD"/>
    <x v="315"/>
    <n v="1482472800"/>
    <x v="315"/>
    <n v="42727.25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45.003610108303249"/>
    <n v="1385"/>
    <s v="GB"/>
    <s v="GBP"/>
    <x v="316"/>
    <n v="1512799200"/>
    <x v="316"/>
    <n v="43078.25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77.068421052631578"/>
    <n v="190"/>
    <s v="US"/>
    <s v="USD"/>
    <x v="317"/>
    <n v="1324360800"/>
    <x v="317"/>
    <n v="40897.25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88.076595744680844"/>
    <n v="470"/>
    <s v="US"/>
    <s v="USD"/>
    <x v="318"/>
    <n v="1364533200"/>
    <x v="318"/>
    <n v="41362.208333333336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47.035573122529641"/>
    <n v="253"/>
    <s v="US"/>
    <s v="USD"/>
    <x v="319"/>
    <n v="1545112800"/>
    <x v="319"/>
    <n v="43452.25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0.99550763701707"/>
    <n v="1113"/>
    <s v="US"/>
    <s v="USD"/>
    <x v="32"/>
    <n v="1516168800"/>
    <x v="32"/>
    <n v="43117.25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87.003066141042481"/>
    <n v="2283"/>
    <s v="US"/>
    <s v="USD"/>
    <x v="320"/>
    <n v="1574920800"/>
    <x v="320"/>
    <n v="43797.25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63.994402985074629"/>
    <n v="1072"/>
    <s v="US"/>
    <s v="USD"/>
    <x v="321"/>
    <n v="1292479200"/>
    <x v="321"/>
    <n v="40528.25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5.9945205479452"/>
    <n v="1095"/>
    <s v="US"/>
    <s v="USD"/>
    <x v="322"/>
    <n v="1573538400"/>
    <x v="322"/>
    <n v="43781.25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73.989349112426041"/>
    <n v="1690"/>
    <s v="US"/>
    <s v="USD"/>
    <x v="323"/>
    <n v="1320382800"/>
    <x v="323"/>
    <n v="40851.208333333336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84.02004626060139"/>
    <n v="1297"/>
    <s v="CA"/>
    <s v="CAD"/>
    <x v="324"/>
    <n v="1502859600"/>
    <x v="324"/>
    <n v="42963.208333333328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88.966921119592882"/>
    <n v="393"/>
    <s v="US"/>
    <s v="USD"/>
    <x v="325"/>
    <n v="1323756000"/>
    <x v="325"/>
    <n v="40890.25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76.990453460620529"/>
    <n v="1257"/>
    <s v="US"/>
    <s v="USD"/>
    <x v="326"/>
    <n v="1441342800"/>
    <x v="326"/>
    <n v="42251.208333333328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97.146341463414629"/>
    <n v="328"/>
    <s v="US"/>
    <s v="USD"/>
    <x v="327"/>
    <n v="1375333200"/>
    <x v="327"/>
    <n v="41487.208333333336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33.013605442176868"/>
    <n v="147"/>
    <s v="US"/>
    <s v="USD"/>
    <x v="328"/>
    <n v="1389420000"/>
    <x v="328"/>
    <n v="41650.25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99.950602409638549"/>
    <n v="830"/>
    <s v="US"/>
    <s v="USD"/>
    <x v="329"/>
    <n v="1520056800"/>
    <x v="329"/>
    <n v="43162.25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69.966767371601208"/>
    <n v="331"/>
    <s v="GB"/>
    <s v="GBP"/>
    <x v="330"/>
    <n v="1436504400"/>
    <x v="330"/>
    <n v="42195.208333333328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110.32"/>
    <n v="25"/>
    <s v="US"/>
    <s v="USD"/>
    <x v="331"/>
    <n v="1508302800"/>
    <x v="331"/>
    <n v="43026.208333333328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66.005235602094245"/>
    <n v="191"/>
    <s v="US"/>
    <s v="USD"/>
    <x v="332"/>
    <n v="1425708000"/>
    <x v="332"/>
    <n v="42070.25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41.005742176284812"/>
    <n v="3483"/>
    <s v="US"/>
    <s v="USD"/>
    <x v="333"/>
    <n v="1488348000"/>
    <x v="333"/>
    <n v="42795.25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103.96316359696641"/>
    <n v="923"/>
    <s v="US"/>
    <s v="USD"/>
    <x v="296"/>
    <n v="1502600400"/>
    <x v="296"/>
    <n v="42960.208333333328"/>
    <b v="0"/>
    <b v="0"/>
    <s v="theater/plays"/>
    <x v="3"/>
    <s v="plays"/>
  </r>
  <r>
    <n v="350"/>
    <s v="Shannon Ltd"/>
    <s v="Pre-emptive neutral capacity"/>
    <n v="100"/>
    <n v="5"/>
    <n v="5"/>
    <x v="0"/>
    <n v="5"/>
    <n v="1"/>
    <s v="US"/>
    <s v="USD"/>
    <x v="334"/>
    <n v="1433653200"/>
    <x v="334"/>
    <n v="42162.208333333328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47.009935419771487"/>
    <n v="2013"/>
    <s v="US"/>
    <s v="USD"/>
    <x v="335"/>
    <n v="1441602000"/>
    <x v="335"/>
    <n v="42254.208333333328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29.606060606060606"/>
    <n v="33"/>
    <s v="CA"/>
    <s v="CAD"/>
    <x v="336"/>
    <n v="1447567200"/>
    <x v="336"/>
    <n v="42323.25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81.010569583088667"/>
    <n v="1703"/>
    <s v="US"/>
    <s v="USD"/>
    <x v="337"/>
    <n v="1562389200"/>
    <x v="337"/>
    <n v="43652.208333333328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94.35"/>
    <n v="80"/>
    <s v="DK"/>
    <s v="DKK"/>
    <x v="338"/>
    <n v="1378789200"/>
    <x v="338"/>
    <n v="41527.208333333336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26.058139534883722"/>
    <n v="86"/>
    <s v="US"/>
    <s v="USD"/>
    <x v="339"/>
    <n v="1488520800"/>
    <x v="339"/>
    <n v="42797.25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85.775000000000006"/>
    <n v="40"/>
    <s v="IT"/>
    <s v="EUR"/>
    <x v="340"/>
    <n v="1327298400"/>
    <x v="340"/>
    <n v="40931.25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103.73170731707317"/>
    <n v="41"/>
    <s v="US"/>
    <s v="USD"/>
    <x v="341"/>
    <n v="1443416400"/>
    <x v="341"/>
    <n v="42275.208333333328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49.826086956521742"/>
    <n v="23"/>
    <s v="CA"/>
    <s v="CAD"/>
    <x v="342"/>
    <n v="1534136400"/>
    <x v="342"/>
    <n v="43325.208333333328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63.893048128342244"/>
    <n v="187"/>
    <s v="US"/>
    <s v="USD"/>
    <x v="343"/>
    <n v="1315026000"/>
    <x v="343"/>
    <n v="40789.208333333336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47.002434782608695"/>
    <n v="2875"/>
    <s v="GB"/>
    <s v="GBP"/>
    <x v="344"/>
    <n v="1295071200"/>
    <x v="344"/>
    <n v="40558.25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108.47727272727273"/>
    <n v="88"/>
    <s v="US"/>
    <s v="USD"/>
    <x v="345"/>
    <n v="1509426000"/>
    <x v="345"/>
    <n v="43039.208333333328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72.015706806282722"/>
    <n v="191"/>
    <s v="US"/>
    <s v="USD"/>
    <x v="65"/>
    <n v="1299391200"/>
    <x v="65"/>
    <n v="40608.25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59.928057553956833"/>
    <n v="139"/>
    <s v="US"/>
    <s v="USD"/>
    <x v="346"/>
    <n v="1325052000"/>
    <x v="346"/>
    <n v="40905.25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78.209677419354833"/>
    <n v="186"/>
    <s v="US"/>
    <s v="USD"/>
    <x v="347"/>
    <n v="1522818000"/>
    <x v="347"/>
    <n v="43194.208333333328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04.77678571428571"/>
    <n v="112"/>
    <s v="AU"/>
    <s v="AUD"/>
    <x v="348"/>
    <n v="1485324000"/>
    <x v="348"/>
    <n v="42760.25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5.52475247524752"/>
    <n v="101"/>
    <s v="US"/>
    <s v="USD"/>
    <x v="349"/>
    <n v="1294120800"/>
    <x v="349"/>
    <n v="40547.25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24.933333333333334"/>
    <n v="75"/>
    <s v="US"/>
    <s v="USD"/>
    <x v="350"/>
    <n v="1415685600"/>
    <x v="350"/>
    <n v="41954.25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69.873786407766985"/>
    <n v="206"/>
    <s v="GB"/>
    <s v="GBP"/>
    <x v="351"/>
    <n v="1288933200"/>
    <x v="351"/>
    <n v="40487.208333333336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95.733766233766232"/>
    <n v="154"/>
    <s v="US"/>
    <s v="USD"/>
    <x v="352"/>
    <n v="1363237200"/>
    <x v="352"/>
    <n v="41347.208333333336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29.997485752598056"/>
    <n v="5966"/>
    <s v="US"/>
    <s v="USD"/>
    <x v="353"/>
    <n v="1555822800"/>
    <x v="353"/>
    <n v="43576.208333333328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59.011948529411768"/>
    <n v="2176"/>
    <s v="US"/>
    <s v="USD"/>
    <x v="354"/>
    <n v="1427778000"/>
    <x v="354"/>
    <n v="42094.208333333328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84.757396449704146"/>
    <n v="169"/>
    <s v="US"/>
    <s v="USD"/>
    <x v="355"/>
    <n v="1422424800"/>
    <x v="355"/>
    <n v="42032.25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78.010921177587846"/>
    <n v="2106"/>
    <s v="US"/>
    <s v="USD"/>
    <x v="356"/>
    <n v="1503637200"/>
    <x v="356"/>
    <n v="42972.208333333328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50.05215419501134"/>
    <n v="441"/>
    <s v="US"/>
    <s v="USD"/>
    <x v="357"/>
    <n v="1547618400"/>
    <x v="357"/>
    <n v="43481.25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59.16"/>
    <n v="25"/>
    <s v="US"/>
    <s v="USD"/>
    <x v="358"/>
    <n v="1449900000"/>
    <x v="358"/>
    <n v="42350.25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93.702290076335885"/>
    <n v="131"/>
    <s v="US"/>
    <s v="USD"/>
    <x v="359"/>
    <n v="1405141200"/>
    <x v="359"/>
    <n v="41832.208333333336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40.14173228346457"/>
    <n v="127"/>
    <s v="US"/>
    <s v="USD"/>
    <x v="12"/>
    <n v="1572933600"/>
    <x v="12"/>
    <n v="43774.25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70.090140845070422"/>
    <n v="355"/>
    <s v="US"/>
    <s v="USD"/>
    <x v="360"/>
    <n v="1530162000"/>
    <x v="360"/>
    <n v="43279.208333333328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66.181818181818187"/>
    <n v="44"/>
    <s v="GB"/>
    <s v="GBP"/>
    <x v="361"/>
    <n v="1320904800"/>
    <x v="361"/>
    <n v="40857.25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47.714285714285715"/>
    <n v="84"/>
    <s v="US"/>
    <s v="USD"/>
    <x v="362"/>
    <n v="1372395600"/>
    <x v="362"/>
    <n v="41453.208333333336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62.896774193548389"/>
    <n v="155"/>
    <s v="US"/>
    <s v="USD"/>
    <x v="363"/>
    <n v="1437714000"/>
    <x v="363"/>
    <n v="42209.208333333328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86.611940298507463"/>
    <n v="67"/>
    <s v="US"/>
    <s v="USD"/>
    <x v="364"/>
    <n v="1509771600"/>
    <x v="364"/>
    <n v="43043.208333333328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75.126984126984127"/>
    <n v="189"/>
    <s v="US"/>
    <s v="USD"/>
    <x v="210"/>
    <n v="1550556000"/>
    <x v="210"/>
    <n v="43515.25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1.004167534903104"/>
    <n v="4799"/>
    <s v="US"/>
    <s v="USD"/>
    <x v="365"/>
    <n v="1489039200"/>
    <x v="365"/>
    <n v="42803.25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50.007915567282325"/>
    <n v="1137"/>
    <s v="US"/>
    <s v="USD"/>
    <x v="366"/>
    <n v="1556600400"/>
    <x v="366"/>
    <n v="43585.208333333328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96.960674157303373"/>
    <n v="1068"/>
    <s v="US"/>
    <s v="USD"/>
    <x v="367"/>
    <n v="1278565200"/>
    <x v="367"/>
    <n v="40367.208333333336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100.93160377358491"/>
    <n v="424"/>
    <s v="US"/>
    <s v="USD"/>
    <x v="368"/>
    <n v="1339909200"/>
    <x v="368"/>
    <n v="41077.208333333336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89.227586206896547"/>
    <n v="145"/>
    <s v="CH"/>
    <s v="CHF"/>
    <x v="369"/>
    <n v="1325829600"/>
    <x v="369"/>
    <n v="40914.25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87.979166666666671"/>
    <n v="1152"/>
    <s v="US"/>
    <s v="USD"/>
    <x v="370"/>
    <n v="1290578400"/>
    <x v="370"/>
    <n v="40506.25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89.54"/>
    <n v="50"/>
    <s v="US"/>
    <s v="USD"/>
    <x v="371"/>
    <n v="1380344400"/>
    <x v="371"/>
    <n v="41545.208333333336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29.09271523178808"/>
    <n v="151"/>
    <s v="US"/>
    <s v="USD"/>
    <x v="287"/>
    <n v="1389852000"/>
    <x v="287"/>
    <n v="41655.25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42.006218905472636"/>
    <n v="1608"/>
    <s v="US"/>
    <s v="USD"/>
    <x v="372"/>
    <n v="1294466400"/>
    <x v="372"/>
    <n v="40551.25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47.004903563255965"/>
    <n v="3059"/>
    <s v="CA"/>
    <s v="CAD"/>
    <x v="373"/>
    <n v="1500354000"/>
    <x v="373"/>
    <n v="42934.208333333328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110.44117647058823"/>
    <n v="34"/>
    <s v="US"/>
    <s v="USD"/>
    <x v="374"/>
    <n v="1375938000"/>
    <x v="374"/>
    <n v="41494.208333333336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41.990909090909092"/>
    <n v="220"/>
    <s v="US"/>
    <s v="USD"/>
    <x v="375"/>
    <n v="1323410400"/>
    <x v="375"/>
    <n v="40886.25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48.012468827930178"/>
    <n v="1604"/>
    <s v="AU"/>
    <s v="AUD"/>
    <x v="376"/>
    <n v="1539406800"/>
    <x v="376"/>
    <n v="43386.208333333328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31.019823788546255"/>
    <n v="454"/>
    <s v="US"/>
    <s v="USD"/>
    <x v="377"/>
    <n v="1369803600"/>
    <x v="377"/>
    <n v="41423.208333333336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99.203252032520325"/>
    <n v="123"/>
    <s v="IT"/>
    <s v="EUR"/>
    <x v="378"/>
    <n v="1525928400"/>
    <x v="378"/>
    <n v="43230.208333333328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66.022316684378325"/>
    <n v="941"/>
    <s v="US"/>
    <s v="USD"/>
    <x v="379"/>
    <n v="1297231200"/>
    <x v="379"/>
    <n v="40583.25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2"/>
    <n v="1"/>
    <s v="US"/>
    <s v="USD"/>
    <x v="380"/>
    <n v="1378530000"/>
    <x v="380"/>
    <n v="41524.208333333336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46.060200668896321"/>
    <n v="299"/>
    <s v="US"/>
    <s v="USD"/>
    <x v="381"/>
    <n v="1572152400"/>
    <x v="381"/>
    <n v="43765.208333333328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73.650000000000006"/>
    <n v="40"/>
    <s v="US"/>
    <s v="USD"/>
    <x v="382"/>
    <n v="1329890400"/>
    <x v="382"/>
    <n v="40961.25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55.99336650082919"/>
    <n v="3015"/>
    <s v="CA"/>
    <s v="CAD"/>
    <x v="125"/>
    <n v="1276750800"/>
    <x v="125"/>
    <n v="40346.208333333336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68.985695127402778"/>
    <n v="2237"/>
    <s v="US"/>
    <s v="USD"/>
    <x v="383"/>
    <n v="1510898400"/>
    <x v="383"/>
    <n v="43056.25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60.981609195402299"/>
    <n v="435"/>
    <s v="US"/>
    <s v="USD"/>
    <x v="384"/>
    <n v="1532408400"/>
    <x v="384"/>
    <n v="43305.208333333328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110.98139534883721"/>
    <n v="645"/>
    <s v="US"/>
    <s v="USD"/>
    <x v="385"/>
    <n v="1360562400"/>
    <x v="385"/>
    <n v="41316.25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25"/>
    <n v="484"/>
    <s v="DK"/>
    <s v="DKK"/>
    <x v="386"/>
    <n v="1571547600"/>
    <x v="386"/>
    <n v="43758.208333333328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78.759740259740255"/>
    <n v="154"/>
    <s v="CA"/>
    <s v="CAD"/>
    <x v="387"/>
    <n v="1468126800"/>
    <x v="387"/>
    <n v="42561.208333333328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87.960784313725483"/>
    <n v="714"/>
    <s v="US"/>
    <s v="USD"/>
    <x v="388"/>
    <n v="1492837200"/>
    <x v="388"/>
    <n v="42847.208333333328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49.987398739873989"/>
    <n v="1111"/>
    <s v="US"/>
    <s v="USD"/>
    <x v="277"/>
    <n v="1430197200"/>
    <x v="277"/>
    <n v="42122.208333333328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99.524390243902445"/>
    <n v="82"/>
    <s v="US"/>
    <s v="USD"/>
    <x v="389"/>
    <n v="1496206800"/>
    <x v="389"/>
    <n v="42886.208333333328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04.82089552238806"/>
    <n v="134"/>
    <s v="US"/>
    <s v="USD"/>
    <x v="390"/>
    <n v="1389592800"/>
    <x v="390"/>
    <n v="41652.25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.01469237832875"/>
    <n v="1089"/>
    <s v="US"/>
    <s v="USD"/>
    <x v="391"/>
    <n v="1545631200"/>
    <x v="391"/>
    <n v="43458.25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28.998544660724033"/>
    <n v="5497"/>
    <s v="US"/>
    <s v="USD"/>
    <x v="392"/>
    <n v="1272430800"/>
    <x v="392"/>
    <n v="40296.208333333336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30.028708133971293"/>
    <n v="418"/>
    <s v="US"/>
    <s v="USD"/>
    <x v="393"/>
    <n v="1327903200"/>
    <x v="393"/>
    <n v="40938.25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41.005559416261292"/>
    <n v="1439"/>
    <s v="US"/>
    <s v="USD"/>
    <x v="394"/>
    <n v="1296021600"/>
    <x v="394"/>
    <n v="40569.25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62.866666666666667"/>
    <n v="15"/>
    <s v="US"/>
    <s v="USD"/>
    <x v="395"/>
    <n v="1543298400"/>
    <x v="395"/>
    <n v="43431.25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47.005002501250623"/>
    <n v="1999"/>
    <s v="CA"/>
    <s v="CAD"/>
    <x v="396"/>
    <n v="1336366800"/>
    <x v="396"/>
    <n v="41036.208333333336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26.997693638285604"/>
    <n v="5203"/>
    <s v="US"/>
    <s v="USD"/>
    <x v="397"/>
    <n v="1325052000"/>
    <x v="397"/>
    <n v="40905.25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68.329787234042556"/>
    <n v="94"/>
    <s v="US"/>
    <s v="USD"/>
    <x v="398"/>
    <n v="1499576400"/>
    <x v="398"/>
    <n v="42925.208333333328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50.974576271186443"/>
    <n v="118"/>
    <s v="US"/>
    <s v="USD"/>
    <x v="399"/>
    <n v="1501304400"/>
    <x v="399"/>
    <n v="42945.208333333328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54.024390243902438"/>
    <n v="205"/>
    <s v="US"/>
    <s v="USD"/>
    <x v="400"/>
    <n v="1273208400"/>
    <x v="400"/>
    <n v="40305.208333333336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97.055555555555557"/>
    <n v="162"/>
    <s v="US"/>
    <s v="USD"/>
    <x v="116"/>
    <n v="1316840400"/>
    <x v="116"/>
    <n v="40810.208333333336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24.867469879518072"/>
    <n v="83"/>
    <s v="US"/>
    <s v="USD"/>
    <x v="401"/>
    <n v="1524546000"/>
    <x v="401"/>
    <n v="43214.208333333328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84.423913043478265"/>
    <n v="92"/>
    <s v="US"/>
    <s v="USD"/>
    <x v="402"/>
    <n v="1438578000"/>
    <x v="402"/>
    <n v="42219.208333333328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47.091324200913242"/>
    <n v="219"/>
    <s v="US"/>
    <s v="USD"/>
    <x v="403"/>
    <n v="1362549600"/>
    <x v="403"/>
    <n v="41339.25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77.996041171813147"/>
    <n v="2526"/>
    <s v="US"/>
    <s v="USD"/>
    <x v="404"/>
    <n v="1413349200"/>
    <x v="404"/>
    <n v="41927.208333333336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62.967871485943775"/>
    <n v="747"/>
    <s v="US"/>
    <s v="USD"/>
    <x v="405"/>
    <n v="1298008800"/>
    <x v="405"/>
    <n v="40592.25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81.006080449017773"/>
    <n v="2138"/>
    <s v="US"/>
    <s v="USD"/>
    <x v="406"/>
    <n v="1394427600"/>
    <x v="406"/>
    <n v="41708.208333333336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65.321428571428569"/>
    <n v="84"/>
    <s v="US"/>
    <s v="USD"/>
    <x v="407"/>
    <n v="1572670800"/>
    <x v="407"/>
    <n v="43771.208333333328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104.43617021276596"/>
    <n v="94"/>
    <s v="US"/>
    <s v="USD"/>
    <x v="408"/>
    <n v="1531112400"/>
    <x v="408"/>
    <n v="43290.208333333328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69.989010989010993"/>
    <n v="91"/>
    <s v="US"/>
    <s v="USD"/>
    <x v="409"/>
    <n v="1400734800"/>
    <x v="409"/>
    <n v="41781.208333333336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83.023989898989896"/>
    <n v="792"/>
    <s v="US"/>
    <s v="USD"/>
    <x v="410"/>
    <n v="1386741600"/>
    <x v="410"/>
    <n v="41619.25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90.3"/>
    <n v="10"/>
    <s v="CA"/>
    <s v="CAD"/>
    <x v="411"/>
    <n v="1481781600"/>
    <x v="411"/>
    <n v="42719.25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03.98131932282546"/>
    <n v="1713"/>
    <s v="IT"/>
    <s v="EUR"/>
    <x v="412"/>
    <n v="1419660000"/>
    <x v="412"/>
    <n v="42000.25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54.931726907630519"/>
    <n v="249"/>
    <s v="US"/>
    <s v="USD"/>
    <x v="413"/>
    <n v="1555822800"/>
    <x v="413"/>
    <n v="43576.208333333328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51.921875"/>
    <n v="192"/>
    <s v="US"/>
    <s v="USD"/>
    <x v="414"/>
    <n v="1442379600"/>
    <x v="414"/>
    <n v="42263.208333333328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60.02834008097166"/>
    <n v="247"/>
    <s v="US"/>
    <s v="USD"/>
    <x v="415"/>
    <n v="1364965200"/>
    <x v="415"/>
    <n v="41367.208333333336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44.003488879197555"/>
    <n v="2293"/>
    <s v="US"/>
    <s v="USD"/>
    <x v="416"/>
    <n v="1479016800"/>
    <x v="416"/>
    <n v="42687.25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53.003513254551258"/>
    <n v="3131"/>
    <s v="US"/>
    <s v="USD"/>
    <x v="417"/>
    <n v="1499662800"/>
    <x v="417"/>
    <n v="42926.208333333328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54.5"/>
    <n v="32"/>
    <s v="US"/>
    <s v="USD"/>
    <x v="418"/>
    <n v="1337835600"/>
    <x v="418"/>
    <n v="41053.208333333336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75.04195804195804"/>
    <n v="143"/>
    <s v="IT"/>
    <s v="EUR"/>
    <x v="419"/>
    <n v="1505710800"/>
    <x v="419"/>
    <n v="42996.208333333328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35.911111111111111"/>
    <n v="90"/>
    <s v="US"/>
    <s v="USD"/>
    <x v="420"/>
    <n v="1287464400"/>
    <x v="420"/>
    <n v="40470.208333333336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36.952702702702702"/>
    <n v="296"/>
    <s v="US"/>
    <s v="USD"/>
    <x v="421"/>
    <n v="1311656400"/>
    <x v="421"/>
    <n v="40750.208333333336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63.170588235294119"/>
    <n v="170"/>
    <s v="US"/>
    <s v="USD"/>
    <x v="422"/>
    <n v="1293170400"/>
    <x v="422"/>
    <n v="40536.25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29.99462365591398"/>
    <n v="186"/>
    <s v="US"/>
    <s v="USD"/>
    <x v="423"/>
    <n v="1355983200"/>
    <x v="423"/>
    <n v="41263.25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86"/>
    <n v="439"/>
    <s v="GB"/>
    <s v="GBP"/>
    <x v="424"/>
    <n v="1515045600"/>
    <x v="424"/>
    <n v="43104.25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75.014876033057845"/>
    <n v="605"/>
    <s v="US"/>
    <s v="USD"/>
    <x v="425"/>
    <n v="1366088400"/>
    <x v="425"/>
    <n v="41380.208333333336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101.19767441860465"/>
    <n v="86"/>
    <s v="DK"/>
    <s v="DKK"/>
    <x v="426"/>
    <n v="1553317200"/>
    <x v="426"/>
    <n v="43547.208333333328"/>
    <b v="0"/>
    <b v="0"/>
    <s v="games/video games"/>
    <x v="6"/>
    <s v="video games"/>
  </r>
  <r>
    <n v="450"/>
    <s v="Delgado-Hatfield"/>
    <s v="Up-sized composite success"/>
    <n v="100"/>
    <n v="4"/>
    <n v="4"/>
    <x v="0"/>
    <n v="4"/>
    <n v="1"/>
    <s v="CA"/>
    <s v="CAD"/>
    <x v="427"/>
    <n v="1542088800"/>
    <x v="427"/>
    <n v="43417.25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29.001272669424118"/>
    <n v="6286"/>
    <s v="US"/>
    <s v="USD"/>
    <x v="428"/>
    <n v="1503118800"/>
    <x v="428"/>
    <n v="42966.208333333328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98.225806451612897"/>
    <n v="31"/>
    <s v="US"/>
    <s v="USD"/>
    <x v="429"/>
    <n v="1278478800"/>
    <x v="429"/>
    <n v="40366.208333333336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87.001693480101608"/>
    <n v="1181"/>
    <s v="US"/>
    <s v="USD"/>
    <x v="411"/>
    <n v="1484114400"/>
    <x v="411"/>
    <n v="42746.25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45.205128205128204"/>
    <n v="39"/>
    <s v="US"/>
    <s v="USD"/>
    <x v="430"/>
    <n v="1385445600"/>
    <x v="430"/>
    <n v="41604.25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.001341561577675"/>
    <n v="3727"/>
    <s v="US"/>
    <s v="USD"/>
    <x v="431"/>
    <n v="1318741200"/>
    <x v="431"/>
    <n v="40832.208333333336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94.976947040498445"/>
    <n v="1605"/>
    <s v="US"/>
    <s v="USD"/>
    <x v="432"/>
    <n v="1518242400"/>
    <x v="432"/>
    <n v="43141.25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28.956521739130434"/>
    <n v="46"/>
    <s v="US"/>
    <s v="USD"/>
    <x v="433"/>
    <n v="1476594000"/>
    <x v="433"/>
    <n v="42659.208333333328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55.993396226415094"/>
    <n v="2120"/>
    <s v="US"/>
    <s v="USD"/>
    <x v="434"/>
    <n v="1273554000"/>
    <x v="434"/>
    <n v="40309.208333333336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54.038095238095238"/>
    <n v="105"/>
    <s v="US"/>
    <s v="USD"/>
    <x v="435"/>
    <n v="1421906400"/>
    <x v="435"/>
    <n v="42026.25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82.38"/>
    <n v="50"/>
    <s v="US"/>
    <s v="USD"/>
    <x v="8"/>
    <n v="1281589200"/>
    <x v="8"/>
    <n v="40402.208333333336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66.997115384615384"/>
    <n v="2080"/>
    <s v="US"/>
    <s v="USD"/>
    <x v="436"/>
    <n v="1400389200"/>
    <x v="436"/>
    <n v="41777.208333333336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107.91401869158878"/>
    <n v="535"/>
    <s v="US"/>
    <s v="USD"/>
    <x v="385"/>
    <n v="1362808800"/>
    <x v="385"/>
    <n v="41342.25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69.009501187648453"/>
    <n v="2105"/>
    <s v="US"/>
    <s v="USD"/>
    <x v="437"/>
    <n v="1388815200"/>
    <x v="437"/>
    <n v="41643.25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39.006568144499177"/>
    <n v="2436"/>
    <s v="US"/>
    <s v="USD"/>
    <x v="438"/>
    <n v="1519538400"/>
    <x v="438"/>
    <n v="43156.25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110.3625"/>
    <n v="80"/>
    <s v="US"/>
    <s v="USD"/>
    <x v="439"/>
    <n v="1517810400"/>
    <x v="439"/>
    <n v="43136.25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94.857142857142861"/>
    <n v="42"/>
    <s v="US"/>
    <s v="USD"/>
    <x v="440"/>
    <n v="1370581200"/>
    <x v="440"/>
    <n v="41432.208333333336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57.935251798561154"/>
    <n v="139"/>
    <s v="CA"/>
    <s v="CAD"/>
    <x v="441"/>
    <n v="1448863200"/>
    <x v="441"/>
    <n v="42338.25"/>
    <b v="0"/>
    <b v="1"/>
    <s v="technology/web"/>
    <x v="2"/>
    <s v="web"/>
  </r>
  <r>
    <n v="468"/>
    <s v="Hughes Inc"/>
    <s v="Streamlined neutral analyzer"/>
    <n v="4000"/>
    <n v="1620"/>
    <n v="40.5"/>
    <x v="0"/>
    <n v="101.25"/>
    <n v="16"/>
    <s v="US"/>
    <s v="USD"/>
    <x v="442"/>
    <n v="1556600400"/>
    <x v="442"/>
    <n v="43585.208333333328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64.95597484276729"/>
    <n v="159"/>
    <s v="US"/>
    <s v="USD"/>
    <x v="443"/>
    <n v="1432098000"/>
    <x v="443"/>
    <n v="42144.208333333328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27.00524934383202"/>
    <n v="381"/>
    <s v="US"/>
    <s v="USD"/>
    <x v="315"/>
    <n v="1482127200"/>
    <x v="315"/>
    <n v="42723.25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50.97422680412371"/>
    <n v="194"/>
    <s v="GB"/>
    <s v="GBP"/>
    <x v="444"/>
    <n v="1335934800"/>
    <x v="444"/>
    <n v="41031.208333333336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104.94260869565217"/>
    <n v="575"/>
    <s v="US"/>
    <s v="USD"/>
    <x v="445"/>
    <n v="1556946000"/>
    <x v="445"/>
    <n v="43589.208333333328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84.028301886792448"/>
    <n v="106"/>
    <s v="US"/>
    <s v="USD"/>
    <x v="446"/>
    <n v="1530075600"/>
    <x v="446"/>
    <n v="43278.208333333328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02.85915492957747"/>
    <n v="142"/>
    <s v="US"/>
    <s v="USD"/>
    <x v="447"/>
    <n v="1418796000"/>
    <x v="447"/>
    <n v="41990.25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39.962085308056871"/>
    <n v="211"/>
    <s v="US"/>
    <s v="USD"/>
    <x v="448"/>
    <n v="1372482000"/>
    <x v="448"/>
    <n v="41454.208333333336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51.001785714285717"/>
    <n v="1120"/>
    <s v="US"/>
    <s v="USD"/>
    <x v="342"/>
    <n v="1534395600"/>
    <x v="342"/>
    <n v="43328.208333333328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40.823008849557525"/>
    <n v="113"/>
    <s v="US"/>
    <s v="USD"/>
    <x v="449"/>
    <n v="1311397200"/>
    <x v="449"/>
    <n v="40747.208333333336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58.999637155297535"/>
    <n v="2756"/>
    <s v="US"/>
    <s v="USD"/>
    <x v="450"/>
    <n v="1426914000"/>
    <x v="450"/>
    <n v="42084.208333333328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71.156069364161851"/>
    <n v="173"/>
    <s v="GB"/>
    <s v="GBP"/>
    <x v="451"/>
    <n v="1501477200"/>
    <x v="451"/>
    <n v="42947.208333333328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99.494252873563212"/>
    <n v="87"/>
    <s v="US"/>
    <s v="USD"/>
    <x v="452"/>
    <n v="1269061200"/>
    <x v="452"/>
    <n v="40257.208333333336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03.98634590377114"/>
    <n v="1538"/>
    <s v="US"/>
    <s v="USD"/>
    <x v="453"/>
    <n v="1415772000"/>
    <x v="453"/>
    <n v="41955.25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76.555555555555557"/>
    <n v="9"/>
    <s v="US"/>
    <s v="USD"/>
    <x v="454"/>
    <n v="1331013600"/>
    <x v="454"/>
    <n v="40974.25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87.068592057761734"/>
    <n v="554"/>
    <s v="US"/>
    <s v="USD"/>
    <x v="455"/>
    <n v="1576735200"/>
    <x v="455"/>
    <n v="43818.25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48.99554707379135"/>
    <n v="1572"/>
    <s v="GB"/>
    <s v="GBP"/>
    <x v="456"/>
    <n v="1411362000"/>
    <x v="456"/>
    <n v="41904.208333333336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42.969135802469133"/>
    <n v="648"/>
    <s v="GB"/>
    <s v="GBP"/>
    <x v="457"/>
    <n v="1563685200"/>
    <x v="457"/>
    <n v="43667.208333333328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33.428571428571431"/>
    <n v="21"/>
    <s v="GB"/>
    <s v="GBP"/>
    <x v="458"/>
    <n v="1521867600"/>
    <x v="458"/>
    <n v="43183.208333333328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83.982949701619773"/>
    <n v="2346"/>
    <s v="US"/>
    <s v="USD"/>
    <x v="459"/>
    <n v="1495515600"/>
    <x v="459"/>
    <n v="42878.208333333328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01.41739130434783"/>
    <n v="115"/>
    <s v="US"/>
    <s v="USD"/>
    <x v="460"/>
    <n v="1455948000"/>
    <x v="460"/>
    <n v="42420.25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109.87058823529412"/>
    <n v="85"/>
    <s v="IT"/>
    <s v="EUR"/>
    <x v="461"/>
    <n v="1282366800"/>
    <x v="461"/>
    <n v="40411.208333333336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31.916666666666668"/>
    <n v="144"/>
    <s v="US"/>
    <s v="USD"/>
    <x v="462"/>
    <n v="1574575200"/>
    <x v="462"/>
    <n v="43793.25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70.993450675399103"/>
    <n v="2443"/>
    <s v="US"/>
    <s v="USD"/>
    <x v="463"/>
    <n v="1374901200"/>
    <x v="463"/>
    <n v="41482.208333333336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77.026890756302521"/>
    <n v="595"/>
    <s v="US"/>
    <s v="USD"/>
    <x v="464"/>
    <n v="1278910800"/>
    <x v="464"/>
    <n v="40371.208333333336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101.78125"/>
    <n v="64"/>
    <s v="US"/>
    <s v="USD"/>
    <x v="465"/>
    <n v="1562907600"/>
    <x v="465"/>
    <n v="43658.208333333328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51.059701492537314"/>
    <n v="268"/>
    <s v="US"/>
    <s v="USD"/>
    <x v="466"/>
    <n v="1332478800"/>
    <x v="466"/>
    <n v="40991.208333333336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68.02051282051282"/>
    <n v="195"/>
    <s v="DK"/>
    <s v="DKK"/>
    <x v="467"/>
    <n v="1402722000"/>
    <x v="467"/>
    <n v="41804.208333333336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30.87037037037037"/>
    <n v="54"/>
    <s v="US"/>
    <s v="USD"/>
    <x v="468"/>
    <n v="1496811600"/>
    <x v="468"/>
    <n v="42893.208333333328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27.908333333333335"/>
    <n v="120"/>
    <s v="US"/>
    <s v="USD"/>
    <x v="469"/>
    <n v="1482213600"/>
    <x v="469"/>
    <n v="42724.25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79.994818652849744"/>
    <n v="579"/>
    <s v="DK"/>
    <s v="DKK"/>
    <x v="470"/>
    <n v="1420264800"/>
    <x v="470"/>
    <n v="42007.25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38.003378378378379"/>
    <n v="2072"/>
    <s v="US"/>
    <s v="USD"/>
    <x v="471"/>
    <n v="1458450000"/>
    <x v="471"/>
    <n v="42449.208333333328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e v="#DIV/0!"/>
    <n v="0"/>
    <s v="US"/>
    <s v="USD"/>
    <x v="472"/>
    <n v="1369803600"/>
    <x v="472"/>
    <n v="41423.208333333336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59.990534521158132"/>
    <n v="1796"/>
    <s v="US"/>
    <s v="USD"/>
    <x v="473"/>
    <n v="1363237200"/>
    <x v="473"/>
    <n v="41347.208333333336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37.037634408602152"/>
    <n v="186"/>
    <s v="AU"/>
    <s v="AUD"/>
    <x v="474"/>
    <n v="1345870800"/>
    <x v="474"/>
    <n v="41146.208333333336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99.963043478260872"/>
    <n v="460"/>
    <s v="US"/>
    <s v="USD"/>
    <x v="72"/>
    <n v="1437454800"/>
    <x v="72"/>
    <n v="42206.208333333328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111.6774193548387"/>
    <n v="62"/>
    <s v="IT"/>
    <s v="EUR"/>
    <x v="443"/>
    <n v="1432011600"/>
    <x v="443"/>
    <n v="42143.208333333328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6.014409221902014"/>
    <n v="347"/>
    <s v="US"/>
    <s v="USD"/>
    <x v="475"/>
    <n v="1366347600"/>
    <x v="475"/>
    <n v="41383.208333333336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66.010284810126578"/>
    <n v="2528"/>
    <s v="US"/>
    <s v="USD"/>
    <x v="81"/>
    <n v="1512885600"/>
    <x v="81"/>
    <n v="43079.25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44.05263157894737"/>
    <n v="19"/>
    <s v="US"/>
    <s v="USD"/>
    <x v="476"/>
    <n v="1369717200"/>
    <x v="476"/>
    <n v="41422.208333333336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52.999726551818434"/>
    <n v="3657"/>
    <s v="US"/>
    <s v="USD"/>
    <x v="192"/>
    <n v="1534654800"/>
    <x v="192"/>
    <n v="43331.208333333328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95"/>
    <n v="1258"/>
    <s v="US"/>
    <s v="USD"/>
    <x v="477"/>
    <n v="1337058000"/>
    <x v="477"/>
    <n v="41044.208333333336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70.908396946564892"/>
    <n v="131"/>
    <s v="AU"/>
    <s v="AUD"/>
    <x v="478"/>
    <n v="1529816400"/>
    <x v="478"/>
    <n v="43275.208333333328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98.060773480662988"/>
    <n v="362"/>
    <s v="US"/>
    <s v="USD"/>
    <x v="479"/>
    <n v="1564894800"/>
    <x v="479"/>
    <n v="43681.208333333328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53.046025104602514"/>
    <n v="239"/>
    <s v="US"/>
    <s v="USD"/>
    <x v="480"/>
    <n v="1404622800"/>
    <x v="480"/>
    <n v="41826.208333333336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93.142857142857139"/>
    <n v="35"/>
    <s v="US"/>
    <s v="USD"/>
    <x v="180"/>
    <n v="1284181200"/>
    <x v="180"/>
    <n v="40432.208333333336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8.945075757575758"/>
    <n v="528"/>
    <s v="CH"/>
    <s v="CHF"/>
    <x v="481"/>
    <n v="1386741600"/>
    <x v="481"/>
    <n v="41619.25"/>
    <b v="0"/>
    <b v="1"/>
    <s v="music/rock"/>
    <x v="1"/>
    <s v="rock"/>
  </r>
  <r>
    <n v="515"/>
    <s v="Cox LLC"/>
    <s v="Phased 24hour flexibility"/>
    <n v="8600"/>
    <n v="4797"/>
    <n v="55.779069767441861"/>
    <x v="0"/>
    <n v="36.067669172932334"/>
    <n v="133"/>
    <s v="CA"/>
    <s v="CAD"/>
    <x v="482"/>
    <n v="1324792800"/>
    <x v="482"/>
    <n v="40902.25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63.030732860520096"/>
    <n v="846"/>
    <s v="US"/>
    <s v="USD"/>
    <x v="194"/>
    <n v="1284354000"/>
    <x v="194"/>
    <n v="40434.208333333336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84.717948717948715"/>
    <n v="78"/>
    <s v="US"/>
    <s v="USD"/>
    <x v="483"/>
    <n v="1494392400"/>
    <x v="483"/>
    <n v="42865.208333333328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62.2"/>
    <n v="10"/>
    <s v="US"/>
    <s v="USD"/>
    <x v="484"/>
    <n v="1519538400"/>
    <x v="484"/>
    <n v="43156.25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01.97518330513255"/>
    <n v="1773"/>
    <s v="US"/>
    <s v="USD"/>
    <x v="355"/>
    <n v="1421906400"/>
    <x v="355"/>
    <n v="42026.25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106.4375"/>
    <n v="32"/>
    <s v="US"/>
    <s v="USD"/>
    <x v="485"/>
    <n v="1555909200"/>
    <x v="485"/>
    <n v="43577.208333333328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29.975609756097562"/>
    <n v="369"/>
    <s v="US"/>
    <s v="USD"/>
    <x v="486"/>
    <n v="1472446800"/>
    <x v="486"/>
    <n v="42611.208333333328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85.806282722513089"/>
    <n v="191"/>
    <s v="US"/>
    <s v="USD"/>
    <x v="487"/>
    <n v="1342328400"/>
    <x v="487"/>
    <n v="41105.208333333336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70.82022471910112"/>
    <n v="89"/>
    <s v="US"/>
    <s v="USD"/>
    <x v="488"/>
    <n v="1268114400"/>
    <x v="488"/>
    <n v="40246.25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40.998484082870135"/>
    <n v="1979"/>
    <s v="US"/>
    <s v="USD"/>
    <x v="489"/>
    <n v="1273381200"/>
    <x v="489"/>
    <n v="40307.208333333336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28.063492063492063"/>
    <n v="63"/>
    <s v="US"/>
    <s v="USD"/>
    <x v="490"/>
    <n v="1290837600"/>
    <x v="490"/>
    <n v="40509.25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88.054421768707485"/>
    <n v="147"/>
    <s v="US"/>
    <s v="USD"/>
    <x v="312"/>
    <n v="1454306400"/>
    <x v="312"/>
    <n v="42401.25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31"/>
    <n v="6080"/>
    <s v="CA"/>
    <s v="CAD"/>
    <x v="491"/>
    <n v="1457762400"/>
    <x v="491"/>
    <n v="42441.25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90.337500000000006"/>
    <n v="80"/>
    <s v="GB"/>
    <s v="GBP"/>
    <x v="492"/>
    <n v="1389074400"/>
    <x v="492"/>
    <n v="41646.25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63.777777777777779"/>
    <n v="9"/>
    <s v="US"/>
    <s v="USD"/>
    <x v="493"/>
    <n v="1402117200"/>
    <x v="493"/>
    <n v="41797.208333333336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53.995515695067262"/>
    <n v="1784"/>
    <s v="US"/>
    <s v="USD"/>
    <x v="494"/>
    <n v="1284440400"/>
    <x v="494"/>
    <n v="40435.208333333336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48.993956043956047"/>
    <n v="3640"/>
    <s v="CH"/>
    <s v="CHF"/>
    <x v="495"/>
    <n v="1388988000"/>
    <x v="495"/>
    <n v="41645.25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63.857142857142854"/>
    <n v="126"/>
    <s v="CA"/>
    <s v="CAD"/>
    <x v="496"/>
    <n v="1516946400"/>
    <x v="496"/>
    <n v="43126.25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82.996393146979258"/>
    <n v="2218"/>
    <s v="GB"/>
    <s v="GBP"/>
    <x v="497"/>
    <n v="1377752400"/>
    <x v="497"/>
    <n v="41515.208333333336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55.08230452674897"/>
    <n v="243"/>
    <s v="US"/>
    <s v="USD"/>
    <x v="498"/>
    <n v="1534568400"/>
    <x v="498"/>
    <n v="43330.208333333328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62.044554455445542"/>
    <n v="202"/>
    <s v="IT"/>
    <s v="EUR"/>
    <x v="499"/>
    <n v="1528606800"/>
    <x v="499"/>
    <n v="43261.208333333328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04.97857142857143"/>
    <n v="140"/>
    <s v="IT"/>
    <s v="EUR"/>
    <x v="500"/>
    <n v="1284872400"/>
    <x v="500"/>
    <n v="40440.208333333336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94.044676806083643"/>
    <n v="1052"/>
    <s v="DK"/>
    <s v="DKK"/>
    <x v="501"/>
    <n v="1537592400"/>
    <x v="501"/>
    <n v="43365.208333333328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44.007716049382715"/>
    <n v="1296"/>
    <s v="US"/>
    <s v="USD"/>
    <x v="502"/>
    <n v="1381208400"/>
    <x v="502"/>
    <n v="41555.208333333336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92.467532467532465"/>
    <n v="77"/>
    <s v="US"/>
    <s v="USD"/>
    <x v="503"/>
    <n v="1562475600"/>
    <x v="503"/>
    <n v="43653.208333333328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57.072874493927124"/>
    <n v="247"/>
    <s v="US"/>
    <s v="USD"/>
    <x v="504"/>
    <n v="1527397200"/>
    <x v="504"/>
    <n v="43247.208333333328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109.07848101265823"/>
    <n v="395"/>
    <s v="IT"/>
    <s v="EUR"/>
    <x v="505"/>
    <n v="1436158800"/>
    <x v="505"/>
    <n v="42191.208333333328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39.387755102040813"/>
    <n v="49"/>
    <s v="GB"/>
    <s v="GBP"/>
    <x v="506"/>
    <n v="1456034400"/>
    <x v="506"/>
    <n v="42421.25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77.022222222222226"/>
    <n v="180"/>
    <s v="US"/>
    <s v="USD"/>
    <x v="507"/>
    <n v="1380171600"/>
    <x v="507"/>
    <n v="41543.208333333336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92.166666666666671"/>
    <n v="84"/>
    <s v="US"/>
    <s v="USD"/>
    <x v="508"/>
    <n v="1453356000"/>
    <x v="508"/>
    <n v="42390.25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61.007063197026021"/>
    <n v="2690"/>
    <s v="US"/>
    <s v="USD"/>
    <x v="509"/>
    <n v="1578981600"/>
    <x v="509"/>
    <n v="43844.25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78.068181818181813"/>
    <n v="88"/>
    <s v="US"/>
    <s v="USD"/>
    <x v="510"/>
    <n v="1537419600"/>
    <x v="510"/>
    <n v="43363.208333333328"/>
    <b v="0"/>
    <b v="1"/>
    <s v="theater/plays"/>
    <x v="3"/>
    <s v="plays"/>
  </r>
  <r>
    <n v="547"/>
    <s v="Hardin-Dixon"/>
    <s v="Focused solution-oriented matrix"/>
    <n v="1300"/>
    <n v="12597"/>
    <n v="969"/>
    <x v="1"/>
    <n v="80.75"/>
    <n v="156"/>
    <s v="US"/>
    <s v="USD"/>
    <x v="511"/>
    <n v="1423202400"/>
    <x v="511"/>
    <n v="42041.25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59.991289782244557"/>
    <n v="2985"/>
    <s v="US"/>
    <s v="USD"/>
    <x v="512"/>
    <n v="1460610000"/>
    <x v="512"/>
    <n v="42474.208333333328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110.03018372703411"/>
    <n v="762"/>
    <s v="US"/>
    <s v="USD"/>
    <x v="513"/>
    <n v="1370494800"/>
    <x v="513"/>
    <n v="41431.208333333336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4"/>
    <n v="1"/>
    <s v="CH"/>
    <s v="CHF"/>
    <x v="514"/>
    <n v="1332306000"/>
    <x v="514"/>
    <n v="40989.208333333336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37.99856063332134"/>
    <n v="2779"/>
    <s v="AU"/>
    <s v="AUD"/>
    <x v="515"/>
    <n v="1422511200"/>
    <x v="515"/>
    <n v="42033.25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6.369565217391298"/>
    <n v="92"/>
    <s v="US"/>
    <s v="USD"/>
    <x v="516"/>
    <n v="1480312800"/>
    <x v="516"/>
    <n v="42702.25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72.978599221789878"/>
    <n v="1028"/>
    <s v="US"/>
    <s v="USD"/>
    <x v="517"/>
    <n v="1294034400"/>
    <x v="517"/>
    <n v="40546.25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26.007220216606498"/>
    <n v="554"/>
    <s v="CA"/>
    <s v="CAD"/>
    <x v="518"/>
    <n v="1482645600"/>
    <x v="518"/>
    <n v="42729.25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04.36296296296297"/>
    <n v="135"/>
    <s v="DK"/>
    <s v="DKK"/>
    <x v="519"/>
    <n v="1399093200"/>
    <x v="519"/>
    <n v="41762.208333333336"/>
    <b v="0"/>
    <b v="0"/>
    <s v="music/rock"/>
    <x v="1"/>
    <s v="rock"/>
  </r>
  <r>
    <n v="556"/>
    <s v="Smith and Sons"/>
    <s v="Grass-roots 24/7 attitude"/>
    <n v="5200"/>
    <n v="12467"/>
    <n v="239.75"/>
    <x v="1"/>
    <n v="102.18852459016394"/>
    <n v="122"/>
    <s v="US"/>
    <s v="USD"/>
    <x v="520"/>
    <n v="1315890000"/>
    <x v="520"/>
    <n v="40799.208333333336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54.117647058823529"/>
    <n v="221"/>
    <s v="US"/>
    <s v="USD"/>
    <x v="521"/>
    <n v="1444021200"/>
    <x v="521"/>
    <n v="42282.208333333328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63.222222222222221"/>
    <n v="126"/>
    <s v="US"/>
    <s v="USD"/>
    <x v="522"/>
    <n v="1460005200"/>
    <x v="522"/>
    <n v="42467.208333333328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4.03228962818004"/>
    <n v="1022"/>
    <s v="US"/>
    <s v="USD"/>
    <x v="523"/>
    <n v="1470718800"/>
    <x v="523"/>
    <n v="42591.208333333328"/>
    <b v="0"/>
    <b v="0"/>
    <s v="theater/plays"/>
    <x v="3"/>
    <s v="plays"/>
  </r>
  <r>
    <n v="560"/>
    <s v="Hunt LLC"/>
    <s v="Re-engineered radical policy"/>
    <n v="20000"/>
    <n v="158832"/>
    <n v="794.16"/>
    <x v="1"/>
    <n v="49.994334277620396"/>
    <n v="3177"/>
    <s v="US"/>
    <s v="USD"/>
    <x v="524"/>
    <n v="1325052000"/>
    <x v="524"/>
    <n v="40905.25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56.015151515151516"/>
    <n v="198"/>
    <s v="CH"/>
    <s v="CHF"/>
    <x v="525"/>
    <n v="1319000400"/>
    <x v="525"/>
    <n v="40835.208333333336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48.807692307692307"/>
    <n v="26"/>
    <s v="CH"/>
    <s v="CHF"/>
    <x v="188"/>
    <n v="1552539600"/>
    <x v="188"/>
    <n v="43538.208333333328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60.082352941176474"/>
    <n v="85"/>
    <s v="AU"/>
    <s v="AUD"/>
    <x v="526"/>
    <n v="1543816800"/>
    <x v="526"/>
    <n v="43437.25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78.990502793296088"/>
    <n v="1790"/>
    <s v="US"/>
    <s v="USD"/>
    <x v="527"/>
    <n v="1427086800"/>
    <x v="527"/>
    <n v="42086.208333333328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53.99499443826474"/>
    <n v="3596"/>
    <s v="US"/>
    <s v="USD"/>
    <x v="528"/>
    <n v="1323064800"/>
    <x v="528"/>
    <n v="40882.25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111.45945945945945"/>
    <n v="37"/>
    <s v="US"/>
    <s v="USD"/>
    <x v="522"/>
    <n v="1458277200"/>
    <x v="522"/>
    <n v="42447.208333333328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60.922131147540981"/>
    <n v="244"/>
    <s v="US"/>
    <s v="USD"/>
    <x v="529"/>
    <n v="1405141200"/>
    <x v="529"/>
    <n v="41832.208333333336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26.0015444015444"/>
    <n v="5180"/>
    <s v="US"/>
    <s v="USD"/>
    <x v="530"/>
    <n v="1283058000"/>
    <x v="530"/>
    <n v="40419.208333333336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80.993208828522924"/>
    <n v="589"/>
    <s v="IT"/>
    <s v="EUR"/>
    <x v="531"/>
    <n v="1295762400"/>
    <x v="531"/>
    <n v="40566.25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34.995963302752294"/>
    <n v="2725"/>
    <s v="US"/>
    <s v="USD"/>
    <x v="515"/>
    <n v="1419573600"/>
    <x v="515"/>
    <n v="41999.25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94.142857142857139"/>
    <n v="35"/>
    <s v="IT"/>
    <s v="EUR"/>
    <x v="532"/>
    <n v="1438750800"/>
    <x v="532"/>
    <n v="42221.208333333328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52.085106382978722"/>
    <n v="94"/>
    <s v="US"/>
    <s v="USD"/>
    <x v="533"/>
    <n v="1444798800"/>
    <x v="533"/>
    <n v="42291.208333333328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24.986666666666668"/>
    <n v="300"/>
    <s v="US"/>
    <s v="USD"/>
    <x v="409"/>
    <n v="1399179600"/>
    <x v="409"/>
    <n v="41763.208333333336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69.215277777777771"/>
    <n v="144"/>
    <s v="US"/>
    <s v="USD"/>
    <x v="534"/>
    <n v="1576562400"/>
    <x v="534"/>
    <n v="43816.25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93.944444444444443"/>
    <n v="558"/>
    <s v="US"/>
    <s v="USD"/>
    <x v="53"/>
    <n v="1400821200"/>
    <x v="53"/>
    <n v="41782.208333333336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98.40625"/>
    <n v="64"/>
    <s v="US"/>
    <s v="USD"/>
    <x v="535"/>
    <n v="1510984800"/>
    <x v="535"/>
    <n v="43057.25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41.783783783783782"/>
    <n v="37"/>
    <s v="US"/>
    <s v="USD"/>
    <x v="536"/>
    <n v="1302066000"/>
    <x v="536"/>
    <n v="40639.208333333336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65.991836734693877"/>
    <n v="245"/>
    <s v="US"/>
    <s v="USD"/>
    <x v="537"/>
    <n v="1322978400"/>
    <x v="537"/>
    <n v="40881.25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72.05747126436782"/>
    <n v="87"/>
    <s v="US"/>
    <s v="USD"/>
    <x v="538"/>
    <n v="1313730000"/>
    <x v="538"/>
    <n v="40774.208333333336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48.003209242618745"/>
    <n v="3116"/>
    <s v="US"/>
    <s v="USD"/>
    <x v="539"/>
    <n v="1394085600"/>
    <x v="539"/>
    <n v="41704.25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54.098591549295776"/>
    <n v="71"/>
    <s v="US"/>
    <s v="USD"/>
    <x v="540"/>
    <n v="1305349200"/>
    <x v="540"/>
    <n v="40677.208333333336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107.88095238095238"/>
    <n v="42"/>
    <s v="US"/>
    <s v="USD"/>
    <x v="505"/>
    <n v="1434344400"/>
    <x v="505"/>
    <n v="42170.208333333328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67.034103410341032"/>
    <n v="909"/>
    <s v="US"/>
    <s v="USD"/>
    <x v="541"/>
    <n v="1331186400"/>
    <x v="541"/>
    <n v="40976.25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64.01425914445133"/>
    <n v="1613"/>
    <s v="US"/>
    <s v="USD"/>
    <x v="542"/>
    <n v="1336539600"/>
    <x v="542"/>
    <n v="41038.208333333336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96.066176470588232"/>
    <n v="136"/>
    <s v="US"/>
    <s v="USD"/>
    <x v="543"/>
    <n v="1269752400"/>
    <x v="543"/>
    <n v="40265.208333333336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51.184615384615384"/>
    <n v="130"/>
    <s v="US"/>
    <s v="USD"/>
    <x v="544"/>
    <n v="1291615200"/>
    <x v="544"/>
    <n v="40518.25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43.92307692307692"/>
    <n v="156"/>
    <s v="CA"/>
    <s v="CAD"/>
    <x v="35"/>
    <n v="1552366800"/>
    <x v="35"/>
    <n v="43536.208333333328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91.021198830409361"/>
    <n v="1368"/>
    <s v="GB"/>
    <s v="GBP"/>
    <x v="152"/>
    <n v="1272171600"/>
    <x v="152"/>
    <n v="40293.208333333336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50.127450980392155"/>
    <n v="102"/>
    <s v="US"/>
    <s v="USD"/>
    <x v="545"/>
    <n v="1436677200"/>
    <x v="545"/>
    <n v="42197.208333333328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67.720930232558146"/>
    <n v="86"/>
    <s v="AU"/>
    <s v="AUD"/>
    <x v="546"/>
    <n v="1420092000"/>
    <x v="546"/>
    <n v="42005.25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61.03921568627451"/>
    <n v="102"/>
    <s v="US"/>
    <s v="USD"/>
    <x v="547"/>
    <n v="1279947600"/>
    <x v="547"/>
    <n v="40383.208333333336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80.011857707509876"/>
    <n v="253"/>
    <s v="US"/>
    <s v="USD"/>
    <x v="548"/>
    <n v="1402203600"/>
    <x v="548"/>
    <n v="41798.208333333336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7.001497753369947"/>
    <n v="4006"/>
    <s v="US"/>
    <s v="USD"/>
    <x v="549"/>
    <n v="1396933200"/>
    <x v="549"/>
    <n v="41737.208333333336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71.127388535031841"/>
    <n v="157"/>
    <s v="US"/>
    <s v="USD"/>
    <x v="550"/>
    <n v="1467262800"/>
    <x v="550"/>
    <n v="42551.208333333328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89.99079189686924"/>
    <n v="1629"/>
    <s v="US"/>
    <s v="USD"/>
    <x v="551"/>
    <n v="1270530000"/>
    <x v="551"/>
    <n v="40274.208333333336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43.032786885245905"/>
    <n v="183"/>
    <s v="US"/>
    <s v="USD"/>
    <x v="552"/>
    <n v="1457762400"/>
    <x v="552"/>
    <n v="42441.25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67.997714808043881"/>
    <n v="2188"/>
    <s v="US"/>
    <s v="USD"/>
    <x v="462"/>
    <n v="1575525600"/>
    <x v="462"/>
    <n v="43804.25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73.004566210045667"/>
    <n v="2409"/>
    <s v="IT"/>
    <s v="EUR"/>
    <x v="553"/>
    <n v="1279083600"/>
    <x v="553"/>
    <n v="40373.208333333336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62.341463414634148"/>
    <n v="82"/>
    <s v="DK"/>
    <s v="DKK"/>
    <x v="554"/>
    <n v="1424412000"/>
    <x v="554"/>
    <n v="42055.25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5"/>
    <n v="1"/>
    <s v="GB"/>
    <s v="GBP"/>
    <x v="555"/>
    <n v="1376197200"/>
    <x v="555"/>
    <n v="41497.208333333336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67.103092783505161"/>
    <n v="194"/>
    <s v="US"/>
    <s v="USD"/>
    <x v="548"/>
    <n v="1402894800"/>
    <x v="548"/>
    <n v="41806.208333333336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79.978947368421046"/>
    <n v="1140"/>
    <s v="US"/>
    <s v="USD"/>
    <x v="62"/>
    <n v="1434430800"/>
    <x v="62"/>
    <n v="42171.208333333328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62.176470588235297"/>
    <n v="102"/>
    <s v="US"/>
    <s v="USD"/>
    <x v="556"/>
    <n v="1557896400"/>
    <x v="556"/>
    <n v="43600.208333333328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53.005950297514879"/>
    <n v="2857"/>
    <s v="US"/>
    <s v="USD"/>
    <x v="557"/>
    <n v="1297490400"/>
    <x v="557"/>
    <n v="40586.25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57.738317757009348"/>
    <n v="107"/>
    <s v="US"/>
    <s v="USD"/>
    <x v="27"/>
    <n v="1447394400"/>
    <x v="27"/>
    <n v="42321.25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40.03125"/>
    <n v="160"/>
    <s v="GB"/>
    <s v="GBP"/>
    <x v="558"/>
    <n v="1458277200"/>
    <x v="558"/>
    <n v="42447.208333333328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81.016591928251117"/>
    <n v="2230"/>
    <s v="US"/>
    <s v="USD"/>
    <x v="559"/>
    <n v="1395723600"/>
    <x v="559"/>
    <n v="41723.208333333336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5.047468354430379"/>
    <n v="316"/>
    <s v="US"/>
    <s v="USD"/>
    <x v="426"/>
    <n v="1552197600"/>
    <x v="426"/>
    <n v="43534.25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02.92307692307692"/>
    <n v="117"/>
    <s v="US"/>
    <s v="USD"/>
    <x v="560"/>
    <n v="1549087200"/>
    <x v="560"/>
    <n v="43498.25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27.998126756166094"/>
    <n v="6406"/>
    <s v="US"/>
    <s v="USD"/>
    <x v="561"/>
    <n v="1356847200"/>
    <x v="561"/>
    <n v="41273.25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75.733333333333334"/>
    <n v="15"/>
    <s v="US"/>
    <s v="USD"/>
    <x v="562"/>
    <n v="1375765200"/>
    <x v="562"/>
    <n v="41492.208333333336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45.026041666666664"/>
    <n v="192"/>
    <s v="US"/>
    <s v="USD"/>
    <x v="563"/>
    <n v="1289800800"/>
    <x v="563"/>
    <n v="40497.25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73.615384615384613"/>
    <n v="26"/>
    <s v="CA"/>
    <s v="CAD"/>
    <x v="564"/>
    <n v="1504501200"/>
    <x v="564"/>
    <n v="42982.208333333328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56.991701244813278"/>
    <n v="723"/>
    <s v="US"/>
    <s v="USD"/>
    <x v="565"/>
    <n v="1485669600"/>
    <x v="565"/>
    <n v="42764.25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85.223529411764702"/>
    <n v="170"/>
    <s v="IT"/>
    <s v="EUR"/>
    <x v="566"/>
    <n v="1462770000"/>
    <x v="566"/>
    <n v="42499.208333333328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50.962184873949582"/>
    <n v="238"/>
    <s v="GB"/>
    <s v="GBP"/>
    <x v="567"/>
    <n v="1379739600"/>
    <x v="567"/>
    <n v="41538.208333333336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63.563636363636363"/>
    <n v="55"/>
    <s v="US"/>
    <s v="USD"/>
    <x v="568"/>
    <n v="1402722000"/>
    <x v="568"/>
    <n v="41804.208333333336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80.999165275459092"/>
    <n v="1198"/>
    <s v="US"/>
    <s v="USD"/>
    <x v="569"/>
    <n v="1369285200"/>
    <x v="569"/>
    <n v="41417.208333333336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86.044753086419746"/>
    <n v="648"/>
    <s v="US"/>
    <s v="USD"/>
    <x v="570"/>
    <n v="1304744400"/>
    <x v="570"/>
    <n v="40670.208333333336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90.0390625"/>
    <n v="128"/>
    <s v="AU"/>
    <s v="AUD"/>
    <x v="571"/>
    <n v="1468299600"/>
    <x v="571"/>
    <n v="42563.208333333328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74.006063432835816"/>
    <n v="2144"/>
    <s v="US"/>
    <s v="USD"/>
    <x v="572"/>
    <n v="1474174800"/>
    <x v="572"/>
    <n v="42631.208333333328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92.4375"/>
    <n v="64"/>
    <s v="US"/>
    <s v="USD"/>
    <x v="573"/>
    <n v="1526014800"/>
    <x v="573"/>
    <n v="43231.208333333328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55.999257333828446"/>
    <n v="2693"/>
    <s v="GB"/>
    <s v="GBP"/>
    <x v="574"/>
    <n v="1437454800"/>
    <x v="574"/>
    <n v="42206.208333333328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32.983796296296298"/>
    <n v="432"/>
    <s v="US"/>
    <s v="USD"/>
    <x v="511"/>
    <n v="1422684000"/>
    <x v="511"/>
    <n v="42035.25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93.596774193548384"/>
    <n v="62"/>
    <s v="US"/>
    <s v="USD"/>
    <x v="575"/>
    <n v="1581314400"/>
    <x v="575"/>
    <n v="43871.25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69.867724867724874"/>
    <n v="189"/>
    <s v="US"/>
    <s v="USD"/>
    <x v="576"/>
    <n v="1286427600"/>
    <x v="576"/>
    <n v="40458.208333333336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72.129870129870127"/>
    <n v="154"/>
    <s v="GB"/>
    <s v="GBP"/>
    <x v="577"/>
    <n v="1278738000"/>
    <x v="577"/>
    <n v="40369.208333333336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30.041666666666668"/>
    <n v="96"/>
    <s v="US"/>
    <s v="USD"/>
    <x v="578"/>
    <n v="1286427600"/>
    <x v="578"/>
    <n v="40458.208333333336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3.968000000000004"/>
    <n v="750"/>
    <s v="US"/>
    <s v="USD"/>
    <x v="579"/>
    <n v="1467954000"/>
    <x v="579"/>
    <n v="42559.208333333328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68.65517241379311"/>
    <n v="87"/>
    <s v="US"/>
    <s v="USD"/>
    <x v="580"/>
    <n v="1557637200"/>
    <x v="580"/>
    <n v="43597.208333333328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59.992164544564154"/>
    <n v="3063"/>
    <s v="US"/>
    <s v="USD"/>
    <x v="581"/>
    <n v="1553922000"/>
    <x v="581"/>
    <n v="43554.208333333328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111.15827338129496"/>
    <n v="278"/>
    <s v="US"/>
    <s v="USD"/>
    <x v="582"/>
    <n v="1416463200"/>
    <x v="582"/>
    <n v="41963.25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53.038095238095238"/>
    <n v="105"/>
    <s v="US"/>
    <s v="USD"/>
    <x v="336"/>
    <n v="1447221600"/>
    <x v="336"/>
    <n v="42319.25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55.985524728588658"/>
    <n v="1658"/>
    <s v="US"/>
    <s v="USD"/>
    <x v="583"/>
    <n v="1491627600"/>
    <x v="583"/>
    <n v="42833.208333333328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69.986760812003524"/>
    <n v="2266"/>
    <s v="US"/>
    <s v="USD"/>
    <x v="584"/>
    <n v="1363150800"/>
    <x v="584"/>
    <n v="41346.208333333336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48.998079877112133"/>
    <n v="2604"/>
    <s v="DK"/>
    <s v="DKK"/>
    <x v="585"/>
    <n v="1330754400"/>
    <x v="585"/>
    <n v="40971.25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103.84615384615384"/>
    <n v="65"/>
    <s v="US"/>
    <s v="USD"/>
    <x v="586"/>
    <n v="1479794400"/>
    <x v="586"/>
    <n v="42696.25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9.127659574468083"/>
    <n v="94"/>
    <s v="US"/>
    <s v="USD"/>
    <x v="587"/>
    <n v="1281243600"/>
    <x v="587"/>
    <n v="40398.208333333336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107.37777777777778"/>
    <n v="45"/>
    <s v="US"/>
    <s v="USD"/>
    <x v="588"/>
    <n v="1532754000"/>
    <x v="588"/>
    <n v="43309.208333333328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76.922178988326849"/>
    <n v="257"/>
    <s v="US"/>
    <s v="USD"/>
    <x v="589"/>
    <n v="1453356000"/>
    <x v="589"/>
    <n v="42390.25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58.128865979381445"/>
    <n v="194"/>
    <s v="CH"/>
    <s v="CHF"/>
    <x v="590"/>
    <n v="1489986000"/>
    <x v="590"/>
    <n v="42814.208333333328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03.73643410852713"/>
    <n v="129"/>
    <s v="CA"/>
    <s v="CAD"/>
    <x v="591"/>
    <n v="1545804000"/>
    <x v="591"/>
    <n v="43460.25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87.962666666666664"/>
    <n v="375"/>
    <s v="US"/>
    <s v="USD"/>
    <x v="592"/>
    <n v="1489899600"/>
    <x v="592"/>
    <n v="42813.208333333328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8"/>
    <n v="2928"/>
    <s v="CA"/>
    <s v="CAD"/>
    <x v="593"/>
    <n v="1546495200"/>
    <x v="593"/>
    <n v="43468.25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37.999361294443261"/>
    <n v="4697"/>
    <s v="US"/>
    <s v="USD"/>
    <x v="594"/>
    <n v="1539752400"/>
    <x v="594"/>
    <n v="43390.208333333328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.999313893653515"/>
    <n v="2915"/>
    <s v="US"/>
    <s v="USD"/>
    <x v="595"/>
    <n v="1364101200"/>
    <x v="595"/>
    <n v="41357.208333333336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03.5"/>
    <n v="18"/>
    <s v="US"/>
    <s v="USD"/>
    <x v="596"/>
    <n v="1525323600"/>
    <x v="596"/>
    <n v="43223.208333333328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85.994467496542185"/>
    <n v="723"/>
    <s v="US"/>
    <s v="USD"/>
    <x v="597"/>
    <n v="1500872400"/>
    <x v="597"/>
    <n v="42940.208333333328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98.011627906976742"/>
    <n v="602"/>
    <s v="CH"/>
    <s v="CHF"/>
    <x v="598"/>
    <n v="1288501200"/>
    <x v="598"/>
    <n v="40482.208333333336"/>
    <b v="1"/>
    <b v="1"/>
    <s v="theater/plays"/>
    <x v="3"/>
    <s v="plays"/>
  </r>
  <r>
    <n v="650"/>
    <s v="Wilson, Wilson and Mathis"/>
    <s v="Optional asymmetric success"/>
    <n v="100"/>
    <n v="2"/>
    <n v="2"/>
    <x v="0"/>
    <n v="2"/>
    <n v="1"/>
    <s v="US"/>
    <s v="USD"/>
    <x v="599"/>
    <n v="1407128400"/>
    <x v="599"/>
    <n v="41855.208333333336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44.994570837642193"/>
    <n v="3868"/>
    <s v="IT"/>
    <s v="EUR"/>
    <x v="600"/>
    <n v="1394344800"/>
    <x v="600"/>
    <n v="41707.25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31.012224938875306"/>
    <n v="409"/>
    <s v="US"/>
    <s v="USD"/>
    <x v="601"/>
    <n v="1474088400"/>
    <x v="601"/>
    <n v="42630.208333333328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59.970085470085472"/>
    <n v="234"/>
    <s v="US"/>
    <s v="USD"/>
    <x v="602"/>
    <n v="1460264400"/>
    <x v="602"/>
    <n v="42470.208333333328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58.9973474801061"/>
    <n v="3016"/>
    <s v="US"/>
    <s v="USD"/>
    <x v="335"/>
    <n v="1440824400"/>
    <x v="335"/>
    <n v="42245.208333333328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50.045454545454547"/>
    <n v="264"/>
    <s v="US"/>
    <s v="USD"/>
    <x v="603"/>
    <n v="1489554000"/>
    <x v="603"/>
    <n v="42809.208333333328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98.966269841269835"/>
    <n v="504"/>
    <s v="AU"/>
    <s v="AUD"/>
    <x v="604"/>
    <n v="1514872800"/>
    <x v="604"/>
    <n v="43102.25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58.857142857142854"/>
    <n v="14"/>
    <s v="US"/>
    <s v="USD"/>
    <x v="605"/>
    <n v="1515736800"/>
    <x v="605"/>
    <n v="43112.25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81.010256410256417"/>
    <n v="390"/>
    <s v="US"/>
    <s v="USD"/>
    <x v="606"/>
    <n v="1442898000"/>
    <x v="606"/>
    <n v="42269.208333333328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6.013333333333335"/>
    <n v="750"/>
    <s v="GB"/>
    <s v="GBP"/>
    <x v="65"/>
    <n v="1296194400"/>
    <x v="65"/>
    <n v="40571.25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96.597402597402592"/>
    <n v="77"/>
    <s v="US"/>
    <s v="USD"/>
    <x v="607"/>
    <n v="1440910800"/>
    <x v="607"/>
    <n v="42246.208333333328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6.957446808510639"/>
    <n v="752"/>
    <s v="DK"/>
    <s v="DKK"/>
    <x v="608"/>
    <n v="1335502800"/>
    <x v="608"/>
    <n v="41026.208333333336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67.984732824427482"/>
    <n v="131"/>
    <s v="US"/>
    <s v="USD"/>
    <x v="609"/>
    <n v="1544680800"/>
    <x v="609"/>
    <n v="43447.25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8.781609195402297"/>
    <n v="87"/>
    <s v="US"/>
    <s v="USD"/>
    <x v="610"/>
    <n v="1288414800"/>
    <x v="610"/>
    <n v="40481.208333333336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24.99623706491063"/>
    <n v="1063"/>
    <s v="US"/>
    <s v="USD"/>
    <x v="541"/>
    <n v="1330581600"/>
    <x v="541"/>
    <n v="40969.25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44.922794117647058"/>
    <n v="272"/>
    <s v="US"/>
    <s v="USD"/>
    <x v="611"/>
    <n v="1311397200"/>
    <x v="611"/>
    <n v="40747.208333333336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79.400000000000006"/>
    <n v="25"/>
    <s v="US"/>
    <s v="USD"/>
    <x v="612"/>
    <n v="1378357200"/>
    <x v="612"/>
    <n v="41522.208333333336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29.009546539379475"/>
    <n v="419"/>
    <s v="US"/>
    <s v="USD"/>
    <x v="613"/>
    <n v="1411102800"/>
    <x v="613"/>
    <n v="41901.208333333336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3.59210526315789"/>
    <n v="76"/>
    <s v="US"/>
    <s v="USD"/>
    <x v="614"/>
    <n v="1344834000"/>
    <x v="614"/>
    <n v="41134.208333333336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07.97038864898211"/>
    <n v="1621"/>
    <s v="IT"/>
    <s v="EUR"/>
    <x v="615"/>
    <n v="1499230800"/>
    <x v="615"/>
    <n v="42921.208333333328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68.987284287011803"/>
    <n v="1101"/>
    <s v="US"/>
    <s v="USD"/>
    <x v="90"/>
    <n v="1457416800"/>
    <x v="90"/>
    <n v="42437.25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11.02236719478098"/>
    <n v="1073"/>
    <s v="US"/>
    <s v="USD"/>
    <x v="616"/>
    <n v="1280898000"/>
    <x v="616"/>
    <n v="40394.208333333336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24.997515808491418"/>
    <n v="4428"/>
    <s v="AU"/>
    <s v="AUD"/>
    <x v="617"/>
    <n v="1522472400"/>
    <x v="617"/>
    <n v="43190.208333333328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42.155172413793103"/>
    <n v="58"/>
    <s v="IT"/>
    <s v="EUR"/>
    <x v="618"/>
    <n v="1462510800"/>
    <x v="618"/>
    <n v="42496.208333333328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47.003284072249592"/>
    <n v="1218"/>
    <s v="US"/>
    <s v="USD"/>
    <x v="619"/>
    <n v="1317790800"/>
    <x v="619"/>
    <n v="40821.208333333336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6.0392749244713"/>
    <n v="331"/>
    <s v="US"/>
    <s v="USD"/>
    <x v="620"/>
    <n v="1568782800"/>
    <x v="620"/>
    <n v="43726.208333333328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01.03760683760684"/>
    <n v="1170"/>
    <s v="US"/>
    <s v="USD"/>
    <x v="621"/>
    <n v="1349413200"/>
    <x v="621"/>
    <n v="41187.208333333336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39.927927927927925"/>
    <n v="111"/>
    <s v="US"/>
    <s v="USD"/>
    <x v="622"/>
    <n v="1472446800"/>
    <x v="622"/>
    <n v="42611.208333333328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83.158139534883716"/>
    <n v="215"/>
    <s v="US"/>
    <s v="USD"/>
    <x v="35"/>
    <n v="1548050400"/>
    <x v="35"/>
    <n v="43486.25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9.97520661157025"/>
    <n v="363"/>
    <s v="US"/>
    <s v="USD"/>
    <x v="623"/>
    <n v="1571806800"/>
    <x v="623"/>
    <n v="43761.208333333328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47.993908629441627"/>
    <n v="2955"/>
    <s v="US"/>
    <s v="USD"/>
    <x v="624"/>
    <n v="1576476000"/>
    <x v="624"/>
    <n v="43815.25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95.978877489438744"/>
    <n v="1657"/>
    <s v="US"/>
    <s v="USD"/>
    <x v="625"/>
    <n v="1324965600"/>
    <x v="625"/>
    <n v="40904.25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78.728155339805824"/>
    <n v="103"/>
    <s v="US"/>
    <s v="USD"/>
    <x v="626"/>
    <n v="1387519200"/>
    <x v="626"/>
    <n v="41628.25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56.081632653061227"/>
    <n v="147"/>
    <s v="US"/>
    <s v="USD"/>
    <x v="627"/>
    <n v="1537246800"/>
    <x v="627"/>
    <n v="43361.208333333328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69.090909090909093"/>
    <n v="110"/>
    <s v="CA"/>
    <s v="CAD"/>
    <x v="628"/>
    <n v="1279515600"/>
    <x v="628"/>
    <n v="40378.208333333336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102.05291576673866"/>
    <n v="926"/>
    <s v="CA"/>
    <s v="CAD"/>
    <x v="629"/>
    <n v="1442379600"/>
    <x v="629"/>
    <n v="42263.208333333328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07.32089552238806"/>
    <n v="134"/>
    <s v="US"/>
    <s v="USD"/>
    <x v="630"/>
    <n v="1523077200"/>
    <x v="630"/>
    <n v="43197.208333333328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51.970260223048328"/>
    <n v="269"/>
    <s v="US"/>
    <s v="USD"/>
    <x v="631"/>
    <n v="1489554000"/>
    <x v="631"/>
    <n v="42809.208333333328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71.137142857142862"/>
    <n v="175"/>
    <s v="US"/>
    <s v="USD"/>
    <x v="632"/>
    <n v="1548482400"/>
    <x v="632"/>
    <n v="43491.25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106.49275362318841"/>
    <n v="69"/>
    <s v="US"/>
    <s v="USD"/>
    <x v="633"/>
    <n v="1384063200"/>
    <x v="633"/>
    <n v="41588.25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42.93684210526316"/>
    <n v="190"/>
    <s v="US"/>
    <s v="USD"/>
    <x v="634"/>
    <n v="1322892000"/>
    <x v="634"/>
    <n v="40880.25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30.037974683544302"/>
    <n v="237"/>
    <s v="US"/>
    <s v="USD"/>
    <x v="635"/>
    <n v="1350709200"/>
    <x v="635"/>
    <n v="41202.208333333336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0.623376623376629"/>
    <n v="77"/>
    <s v="GB"/>
    <s v="GBP"/>
    <x v="636"/>
    <n v="1564203600"/>
    <x v="636"/>
    <n v="43673.208333333328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66.016018306636155"/>
    <n v="1748"/>
    <s v="US"/>
    <s v="USD"/>
    <x v="637"/>
    <n v="1509685200"/>
    <x v="637"/>
    <n v="43042.208333333328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96.911392405063296"/>
    <n v="79"/>
    <s v="US"/>
    <s v="USD"/>
    <x v="638"/>
    <n v="1514959200"/>
    <x v="638"/>
    <n v="43103.25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62.867346938775512"/>
    <n v="196"/>
    <s v="IT"/>
    <s v="EUR"/>
    <x v="639"/>
    <n v="1448863200"/>
    <x v="639"/>
    <n v="42338.25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108.98537682789652"/>
    <n v="889"/>
    <s v="US"/>
    <s v="USD"/>
    <x v="640"/>
    <n v="1429592400"/>
    <x v="640"/>
    <n v="42115.208333333328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26.999314599040439"/>
    <n v="7295"/>
    <s v="US"/>
    <s v="USD"/>
    <x v="641"/>
    <n v="1522645200"/>
    <x v="641"/>
    <n v="43192.208333333328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65.004147943311438"/>
    <n v="2893"/>
    <s v="CA"/>
    <s v="CAD"/>
    <x v="642"/>
    <n v="1323324000"/>
    <x v="642"/>
    <n v="40885.25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111.51785714285714"/>
    <n v="56"/>
    <s v="US"/>
    <s v="USD"/>
    <x v="230"/>
    <n v="1561525200"/>
    <x v="230"/>
    <n v="43642.208333333328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3"/>
    <n v="1"/>
    <s v="US"/>
    <s v="USD"/>
    <x v="67"/>
    <n v="1265695200"/>
    <x v="67"/>
    <n v="40218.25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110.99268292682927"/>
    <n v="820"/>
    <s v="US"/>
    <s v="USD"/>
    <x v="643"/>
    <n v="1301806800"/>
    <x v="643"/>
    <n v="40636.208333333336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56.746987951807228"/>
    <n v="83"/>
    <s v="US"/>
    <s v="USD"/>
    <x v="644"/>
    <n v="1374901200"/>
    <x v="644"/>
    <n v="41482.208333333336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97.020608439646708"/>
    <n v="2038"/>
    <s v="US"/>
    <s v="USD"/>
    <x v="645"/>
    <n v="1336453200"/>
    <x v="645"/>
    <n v="41037.208333333336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92.08620689655173"/>
    <n v="116"/>
    <s v="US"/>
    <s v="USD"/>
    <x v="646"/>
    <n v="1468904400"/>
    <x v="646"/>
    <n v="42570.208333333328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82.986666666666665"/>
    <n v="2025"/>
    <s v="GB"/>
    <s v="GBP"/>
    <x v="626"/>
    <n v="1387087200"/>
    <x v="626"/>
    <n v="41623.25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03.03791821561339"/>
    <n v="1345"/>
    <s v="AU"/>
    <s v="AUD"/>
    <x v="647"/>
    <n v="1547445600"/>
    <x v="647"/>
    <n v="43479.25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68.922619047619051"/>
    <n v="168"/>
    <s v="US"/>
    <s v="USD"/>
    <x v="159"/>
    <n v="1547359200"/>
    <x v="159"/>
    <n v="43478.25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87.737226277372258"/>
    <n v="137"/>
    <s v="CH"/>
    <s v="CHF"/>
    <x v="648"/>
    <n v="1496293200"/>
    <x v="648"/>
    <n v="42887.208333333328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75.021505376344081"/>
    <n v="186"/>
    <s v="IT"/>
    <s v="EUR"/>
    <x v="267"/>
    <n v="1335416400"/>
    <x v="267"/>
    <n v="41025.208333333336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50.863999999999997"/>
    <n v="125"/>
    <s v="US"/>
    <s v="USD"/>
    <x v="649"/>
    <n v="1532149200"/>
    <x v="649"/>
    <n v="43302.208333333328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90"/>
    <n v="14"/>
    <s v="IT"/>
    <s v="EUR"/>
    <x v="248"/>
    <n v="1453788000"/>
    <x v="248"/>
    <n v="42395.25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72.896039603960389"/>
    <n v="202"/>
    <s v="US"/>
    <s v="USD"/>
    <x v="571"/>
    <n v="1471496400"/>
    <x v="571"/>
    <n v="42600.208333333328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8.48543689320388"/>
    <n v="103"/>
    <s v="US"/>
    <s v="USD"/>
    <x v="650"/>
    <n v="1472878800"/>
    <x v="650"/>
    <n v="42616.208333333328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01.98095238095237"/>
    <n v="1785"/>
    <s v="US"/>
    <s v="USD"/>
    <x v="1"/>
    <n v="1408510800"/>
    <x v="1"/>
    <n v="41871.208333333336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44.009146341463413"/>
    <n v="656"/>
    <s v="US"/>
    <s v="USD"/>
    <x v="651"/>
    <n v="1281589200"/>
    <x v="651"/>
    <n v="40402.208333333336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65.942675159235662"/>
    <n v="157"/>
    <s v="US"/>
    <s v="USD"/>
    <x v="652"/>
    <n v="1375851600"/>
    <x v="652"/>
    <n v="41493.208333333336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24.987387387387386"/>
    <n v="555"/>
    <s v="US"/>
    <s v="USD"/>
    <x v="653"/>
    <n v="1315803600"/>
    <x v="653"/>
    <n v="40798.208333333336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8.003367003367003"/>
    <n v="297"/>
    <s v="US"/>
    <s v="USD"/>
    <x v="654"/>
    <n v="1373691600"/>
    <x v="654"/>
    <n v="41468.208333333336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85.829268292682926"/>
    <n v="123"/>
    <s v="US"/>
    <s v="USD"/>
    <x v="655"/>
    <n v="1339218000"/>
    <x v="655"/>
    <n v="41069.208333333336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84.921052631578945"/>
    <n v="38"/>
    <s v="DK"/>
    <s v="DKK"/>
    <x v="656"/>
    <n v="1520402400"/>
    <x v="656"/>
    <n v="43166.25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90.483333333333334"/>
    <n v="60"/>
    <s v="US"/>
    <s v="USD"/>
    <x v="657"/>
    <n v="1523336400"/>
    <x v="657"/>
    <n v="43200.208333333328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25.00197628458498"/>
    <n v="3036"/>
    <s v="US"/>
    <s v="USD"/>
    <x v="265"/>
    <n v="1512280800"/>
    <x v="265"/>
    <n v="43072.25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92.013888888888886"/>
    <n v="144"/>
    <s v="AU"/>
    <s v="AUD"/>
    <x v="658"/>
    <n v="1458709200"/>
    <x v="658"/>
    <n v="42452.208333333328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93.066115702479337"/>
    <n v="121"/>
    <s v="GB"/>
    <s v="GBP"/>
    <x v="659"/>
    <n v="1414126800"/>
    <x v="659"/>
    <n v="41936.208333333336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61.008145363408524"/>
    <n v="1596"/>
    <s v="US"/>
    <s v="USD"/>
    <x v="660"/>
    <n v="1416204000"/>
    <x v="660"/>
    <n v="41960.25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92.036259541984734"/>
    <n v="524"/>
    <s v="US"/>
    <s v="USD"/>
    <x v="661"/>
    <n v="1288501200"/>
    <x v="661"/>
    <n v="40482.208333333336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81.132596685082873"/>
    <n v="181"/>
    <s v="US"/>
    <s v="USD"/>
    <x v="4"/>
    <n v="1552971600"/>
    <x v="4"/>
    <n v="43543.208333333328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73.5"/>
    <n v="10"/>
    <s v="US"/>
    <s v="USD"/>
    <x v="662"/>
    <n v="1465102800"/>
    <x v="662"/>
    <n v="42526.208333333328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85.221311475409834"/>
    <n v="122"/>
    <s v="US"/>
    <s v="USD"/>
    <x v="663"/>
    <n v="1360130400"/>
    <x v="663"/>
    <n v="41311.25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10.96825396825396"/>
    <n v="1071"/>
    <s v="CA"/>
    <s v="CAD"/>
    <x v="664"/>
    <n v="1432875600"/>
    <x v="664"/>
    <n v="42153.208333333328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32.968036529680369"/>
    <n v="219"/>
    <s v="US"/>
    <s v="USD"/>
    <x v="665"/>
    <n v="1500872400"/>
    <x v="665"/>
    <n v="42940.208333333328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96.005352363960753"/>
    <n v="1121"/>
    <s v="US"/>
    <s v="USD"/>
    <x v="666"/>
    <n v="1492146000"/>
    <x v="666"/>
    <n v="42839.208333333328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84.96632653061225"/>
    <n v="980"/>
    <s v="US"/>
    <s v="USD"/>
    <x v="43"/>
    <n v="1407301200"/>
    <x v="43"/>
    <n v="41857.208333333336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25.007462686567163"/>
    <n v="536"/>
    <s v="US"/>
    <s v="USD"/>
    <x v="667"/>
    <n v="1486620000"/>
    <x v="667"/>
    <n v="42775.25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65.998995479658461"/>
    <n v="1991"/>
    <s v="US"/>
    <s v="USD"/>
    <x v="668"/>
    <n v="1459918800"/>
    <x v="668"/>
    <n v="42466.208333333328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87.34482758620689"/>
    <n v="29"/>
    <s v="US"/>
    <s v="USD"/>
    <x v="669"/>
    <n v="1424757600"/>
    <x v="669"/>
    <n v="42059.25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27.933333333333334"/>
    <n v="180"/>
    <s v="US"/>
    <s v="USD"/>
    <x v="670"/>
    <n v="1479880800"/>
    <x v="670"/>
    <n v="42697.25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03.8"/>
    <n v="15"/>
    <s v="US"/>
    <s v="USD"/>
    <x v="671"/>
    <n v="1418018400"/>
    <x v="671"/>
    <n v="41981.25"/>
    <b v="0"/>
    <b v="1"/>
    <s v="theater/plays"/>
    <x v="3"/>
    <s v="plays"/>
  </r>
  <r>
    <n v="739"/>
    <s v="Meyer-Avila"/>
    <s v="Multi-tiered discrete support"/>
    <n v="10000"/>
    <n v="6100"/>
    <n v="61"/>
    <x v="0"/>
    <n v="31.937172774869111"/>
    <n v="191"/>
    <s v="US"/>
    <s v="USD"/>
    <x v="672"/>
    <n v="1341032400"/>
    <x v="672"/>
    <n v="41090.208333333336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99.5"/>
    <n v="16"/>
    <s v="US"/>
    <s v="USD"/>
    <x v="673"/>
    <n v="1486360800"/>
    <x v="673"/>
    <n v="42772.25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08.84615384615384"/>
    <n v="130"/>
    <s v="US"/>
    <s v="USD"/>
    <x v="674"/>
    <n v="1274677200"/>
    <x v="674"/>
    <n v="40322.208333333336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10.76229508196721"/>
    <n v="122"/>
    <s v="US"/>
    <s v="USD"/>
    <x v="675"/>
    <n v="1267509600"/>
    <x v="675"/>
    <n v="40239.25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29.647058823529413"/>
    <n v="17"/>
    <s v="US"/>
    <s v="USD"/>
    <x v="676"/>
    <n v="1445922000"/>
    <x v="676"/>
    <n v="42304.208333333328"/>
    <b v="0"/>
    <b v="1"/>
    <s v="theater/plays"/>
    <x v="3"/>
    <s v="plays"/>
  </r>
  <r>
    <n v="744"/>
    <s v="Fitzgerald Group"/>
    <s v="Intuitive exuding initiative"/>
    <n v="2000"/>
    <n v="14240"/>
    <n v="712"/>
    <x v="1"/>
    <n v="101.71428571428571"/>
    <n v="140"/>
    <s v="US"/>
    <s v="USD"/>
    <x v="342"/>
    <n v="1534050000"/>
    <x v="342"/>
    <n v="43324.208333333328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61.5"/>
    <n v="34"/>
    <s v="US"/>
    <s v="USD"/>
    <x v="677"/>
    <n v="1277528400"/>
    <x v="677"/>
    <n v="40355.208333333336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5"/>
    <n v="3388"/>
    <s v="US"/>
    <s v="USD"/>
    <x v="678"/>
    <n v="1318568400"/>
    <x v="678"/>
    <n v="40830.208333333336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40.049999999999997"/>
    <n v="280"/>
    <s v="US"/>
    <s v="USD"/>
    <x v="679"/>
    <n v="1284354000"/>
    <x v="679"/>
    <n v="40434.208333333336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110.97231270358306"/>
    <n v="614"/>
    <s v="US"/>
    <s v="USD"/>
    <x v="680"/>
    <n v="1269579600"/>
    <x v="680"/>
    <n v="40263.208333333336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.959016393442624"/>
    <n v="366"/>
    <s v="IT"/>
    <s v="EUR"/>
    <x v="681"/>
    <n v="1413781200"/>
    <x v="681"/>
    <n v="41932.208333333336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x v="682"/>
    <n v="1280120400"/>
    <x v="682"/>
    <n v="40385.208333333336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30.974074074074075"/>
    <n v="270"/>
    <s v="US"/>
    <s v="USD"/>
    <x v="683"/>
    <n v="1459486800"/>
    <x v="683"/>
    <n v="42461.208333333328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47.035087719298247"/>
    <n v="114"/>
    <s v="US"/>
    <s v="USD"/>
    <x v="684"/>
    <n v="1282539600"/>
    <x v="684"/>
    <n v="40413.208333333336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88.065693430656935"/>
    <n v="137"/>
    <s v="US"/>
    <s v="USD"/>
    <x v="674"/>
    <n v="1275886800"/>
    <x v="674"/>
    <n v="40336.208333333336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7.005616224648989"/>
    <n v="3205"/>
    <s v="US"/>
    <s v="USD"/>
    <x v="685"/>
    <n v="1355983200"/>
    <x v="685"/>
    <n v="41263.25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6.027777777777779"/>
    <n v="288"/>
    <s v="DK"/>
    <s v="DKK"/>
    <x v="605"/>
    <n v="1515391200"/>
    <x v="605"/>
    <n v="43108.25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67.817567567567565"/>
    <n v="148"/>
    <s v="US"/>
    <s v="USD"/>
    <x v="686"/>
    <n v="1422252000"/>
    <x v="686"/>
    <n v="42030.25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49.964912280701753"/>
    <n v="114"/>
    <s v="US"/>
    <s v="USD"/>
    <x v="687"/>
    <n v="1305522000"/>
    <x v="687"/>
    <n v="40679.208333333336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10.01646903820817"/>
    <n v="1518"/>
    <s v="CA"/>
    <s v="CAD"/>
    <x v="688"/>
    <n v="1414904400"/>
    <x v="688"/>
    <n v="41945.208333333336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89.964678178963894"/>
    <n v="1274"/>
    <s v="US"/>
    <s v="USD"/>
    <x v="689"/>
    <n v="1520402400"/>
    <x v="689"/>
    <n v="43166.25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79.009523809523813"/>
    <n v="210"/>
    <s v="IT"/>
    <s v="EUR"/>
    <x v="690"/>
    <n v="1567141200"/>
    <x v="690"/>
    <n v="43707.208333333328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86.867469879518069"/>
    <n v="166"/>
    <s v="US"/>
    <s v="USD"/>
    <x v="691"/>
    <n v="1501131600"/>
    <x v="691"/>
    <n v="42943.208333333328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62.04"/>
    <n v="100"/>
    <s v="AU"/>
    <s v="AUD"/>
    <x v="692"/>
    <n v="1355032800"/>
    <x v="692"/>
    <n v="41252.25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6.970212765957445"/>
    <n v="235"/>
    <s v="US"/>
    <s v="USD"/>
    <x v="693"/>
    <n v="1339477200"/>
    <x v="693"/>
    <n v="41072.208333333336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54.121621621621621"/>
    <n v="148"/>
    <s v="US"/>
    <s v="USD"/>
    <x v="694"/>
    <n v="1305954000"/>
    <x v="694"/>
    <n v="40684.208333333336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41.035353535353536"/>
    <n v="198"/>
    <s v="US"/>
    <s v="USD"/>
    <x v="695"/>
    <n v="1494392400"/>
    <x v="695"/>
    <n v="42865.208333333328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55.052419354838712"/>
    <n v="248"/>
    <s v="AU"/>
    <s v="AUD"/>
    <x v="123"/>
    <n v="1537419600"/>
    <x v="123"/>
    <n v="43363.208333333328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107.93762183235867"/>
    <n v="513"/>
    <s v="US"/>
    <s v="USD"/>
    <x v="696"/>
    <n v="1447999200"/>
    <x v="696"/>
    <n v="42328.25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73.92"/>
    <n v="150"/>
    <s v="US"/>
    <s v="USD"/>
    <x v="626"/>
    <n v="1388037600"/>
    <x v="626"/>
    <n v="41634.25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1.995894428152493"/>
    <n v="3410"/>
    <s v="US"/>
    <s v="USD"/>
    <x v="697"/>
    <n v="1378789200"/>
    <x v="697"/>
    <n v="41527.208333333336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53.898148148148145"/>
    <n v="216"/>
    <s v="IT"/>
    <s v="EUR"/>
    <x v="698"/>
    <n v="1398056400"/>
    <x v="698"/>
    <n v="41750.208333333336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106.5"/>
    <n v="26"/>
    <s v="US"/>
    <s v="USD"/>
    <x v="699"/>
    <n v="1550815200"/>
    <x v="699"/>
    <n v="43518.25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32.999805409612762"/>
    <n v="5139"/>
    <s v="US"/>
    <s v="USD"/>
    <x v="700"/>
    <n v="1550037600"/>
    <x v="700"/>
    <n v="43509.25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43.00254993625159"/>
    <n v="2353"/>
    <s v="US"/>
    <s v="USD"/>
    <x v="701"/>
    <n v="1492923600"/>
    <x v="701"/>
    <n v="42848.208333333328"/>
    <b v="0"/>
    <b v="0"/>
    <s v="theater/plays"/>
    <x v="3"/>
    <s v="plays"/>
  </r>
  <r>
    <n v="774"/>
    <s v="Gonzalez-Snow"/>
    <s v="Polarized user-facing interface"/>
    <n v="5000"/>
    <n v="6775"/>
    <n v="135.5"/>
    <x v="1"/>
    <n v="86.858974358974365"/>
    <n v="78"/>
    <s v="IT"/>
    <s v="EUR"/>
    <x v="702"/>
    <n v="1467522000"/>
    <x v="702"/>
    <n v="42554.208333333328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96.8"/>
    <n v="10"/>
    <s v="US"/>
    <s v="USD"/>
    <x v="703"/>
    <n v="1416117600"/>
    <x v="703"/>
    <n v="41959.25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32.995456610631528"/>
    <n v="2201"/>
    <s v="US"/>
    <s v="USD"/>
    <x v="704"/>
    <n v="1563771600"/>
    <x v="704"/>
    <n v="43668.208333333328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8.028106508875737"/>
    <n v="676"/>
    <s v="US"/>
    <s v="USD"/>
    <x v="431"/>
    <n v="1319259600"/>
    <x v="431"/>
    <n v="40838.208333333336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58.867816091954026"/>
    <n v="174"/>
    <s v="CH"/>
    <s v="CHF"/>
    <x v="705"/>
    <n v="1313643600"/>
    <x v="705"/>
    <n v="40773.208333333336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105.04572803850782"/>
    <n v="831"/>
    <s v="US"/>
    <s v="USD"/>
    <x v="706"/>
    <n v="1440306000"/>
    <x v="706"/>
    <n v="42239.208333333328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33.054878048780488"/>
    <n v="164"/>
    <s v="US"/>
    <s v="USD"/>
    <x v="707"/>
    <n v="1470805200"/>
    <x v="707"/>
    <n v="42592.208333333328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78.821428571428569"/>
    <n v="56"/>
    <s v="CH"/>
    <s v="CHF"/>
    <x v="708"/>
    <n v="1292911200"/>
    <x v="708"/>
    <n v="40533.25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68.204968944099377"/>
    <n v="161"/>
    <s v="US"/>
    <s v="USD"/>
    <x v="709"/>
    <n v="1301374800"/>
    <x v="709"/>
    <n v="40631.208333333336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75.731884057971016"/>
    <n v="138"/>
    <s v="US"/>
    <s v="USD"/>
    <x v="710"/>
    <n v="1387864800"/>
    <x v="710"/>
    <n v="41632.25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0.996070133010882"/>
    <n v="3308"/>
    <s v="US"/>
    <s v="USD"/>
    <x v="711"/>
    <n v="1458190800"/>
    <x v="711"/>
    <n v="42446.208333333328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01.88188976377953"/>
    <n v="127"/>
    <s v="AU"/>
    <s v="AUD"/>
    <x v="157"/>
    <n v="1559278800"/>
    <x v="157"/>
    <n v="43616.208333333328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52.879227053140099"/>
    <n v="207"/>
    <s v="IT"/>
    <s v="EUR"/>
    <x v="630"/>
    <n v="1522731600"/>
    <x v="630"/>
    <n v="43193.208333333328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71.005820721769496"/>
    <n v="859"/>
    <s v="CA"/>
    <s v="CAD"/>
    <x v="712"/>
    <n v="1306731600"/>
    <x v="712"/>
    <n v="40693.208333333336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102.38709677419355"/>
    <n v="31"/>
    <s v="US"/>
    <s v="USD"/>
    <x v="93"/>
    <n v="1352527200"/>
    <x v="93"/>
    <n v="41223.25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74.466666666666669"/>
    <n v="45"/>
    <s v="US"/>
    <s v="USD"/>
    <x v="713"/>
    <n v="1404363600"/>
    <x v="713"/>
    <n v="41823.208333333336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51.009883198562441"/>
    <n v="1113"/>
    <s v="US"/>
    <s v="USD"/>
    <x v="714"/>
    <n v="1266645600"/>
    <x v="714"/>
    <n v="40229.25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90"/>
    <n v="6"/>
    <s v="US"/>
    <s v="USD"/>
    <x v="715"/>
    <n v="1482818400"/>
    <x v="715"/>
    <n v="42731.25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97.142857142857139"/>
    <n v="7"/>
    <s v="US"/>
    <s v="USD"/>
    <x v="716"/>
    <n v="1374642000"/>
    <x v="716"/>
    <n v="41479.208333333336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72.071823204419886"/>
    <n v="181"/>
    <s v="CH"/>
    <s v="CHF"/>
    <x v="448"/>
    <n v="1372482000"/>
    <x v="448"/>
    <n v="41454.208333333336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75.236363636363635"/>
    <n v="110"/>
    <s v="US"/>
    <s v="USD"/>
    <x v="717"/>
    <n v="1514959200"/>
    <x v="717"/>
    <n v="43103.25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2.967741935483872"/>
    <n v="31"/>
    <s v="US"/>
    <s v="USD"/>
    <x v="718"/>
    <n v="1478235600"/>
    <x v="718"/>
    <n v="42678.208333333328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54.807692307692307"/>
    <n v="78"/>
    <s v="US"/>
    <s v="USD"/>
    <x v="719"/>
    <n v="1408078800"/>
    <x v="719"/>
    <n v="41866.208333333336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45.037837837837834"/>
    <n v="185"/>
    <s v="US"/>
    <s v="USD"/>
    <x v="720"/>
    <n v="1548136800"/>
    <x v="720"/>
    <n v="43487.25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52.958677685950413"/>
    <n v="121"/>
    <s v="US"/>
    <s v="USD"/>
    <x v="721"/>
    <n v="1340859600"/>
    <x v="721"/>
    <n v="41088.208333333336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60.017959183673469"/>
    <n v="1225"/>
    <s v="GB"/>
    <s v="GBP"/>
    <x v="722"/>
    <n v="1454479200"/>
    <x v="722"/>
    <n v="42403.25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x v="139"/>
    <n v="1434430800"/>
    <x v="139"/>
    <n v="42171.208333333328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44.028301886792455"/>
    <n v="106"/>
    <s v="US"/>
    <s v="USD"/>
    <x v="723"/>
    <n v="1579672800"/>
    <x v="723"/>
    <n v="43852.25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86.028169014084511"/>
    <n v="142"/>
    <s v="US"/>
    <s v="USD"/>
    <x v="704"/>
    <n v="1562389200"/>
    <x v="704"/>
    <n v="43652.208333333328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8.012875536480685"/>
    <n v="233"/>
    <s v="US"/>
    <s v="USD"/>
    <x v="724"/>
    <n v="1551506400"/>
    <x v="724"/>
    <n v="43526.25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32.050458715596328"/>
    <n v="218"/>
    <s v="US"/>
    <s v="USD"/>
    <x v="725"/>
    <n v="1516600800"/>
    <x v="725"/>
    <n v="43122.25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73.611940298507463"/>
    <n v="67"/>
    <s v="AU"/>
    <s v="AUD"/>
    <x v="660"/>
    <n v="1420437600"/>
    <x v="660"/>
    <n v="42009.25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108.71052631578948"/>
    <n v="76"/>
    <s v="US"/>
    <s v="USD"/>
    <x v="726"/>
    <n v="1332997200"/>
    <x v="726"/>
    <n v="40997.208333333336"/>
    <b v="0"/>
    <b v="1"/>
    <s v="film &amp; video/drama"/>
    <x v="4"/>
    <s v="drama"/>
  </r>
  <r>
    <n v="807"/>
    <s v="Walker-Taylor"/>
    <s v="Automated uniform concept"/>
    <n v="700"/>
    <n v="1848"/>
    <n v="264"/>
    <x v="1"/>
    <n v="42.97674418604651"/>
    <n v="43"/>
    <s v="US"/>
    <s v="USD"/>
    <x v="727"/>
    <n v="1574920800"/>
    <x v="727"/>
    <n v="43797.25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83.315789473684205"/>
    <n v="19"/>
    <s v="US"/>
    <s v="USD"/>
    <x v="728"/>
    <n v="1464930000"/>
    <x v="728"/>
    <n v="42524.208333333328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42"/>
    <n v="2108"/>
    <s v="CH"/>
    <s v="CHF"/>
    <x v="729"/>
    <n v="1345006800"/>
    <x v="729"/>
    <n v="41136.208333333336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55.927601809954751"/>
    <n v="221"/>
    <s v="US"/>
    <s v="USD"/>
    <x v="730"/>
    <n v="1512712800"/>
    <x v="730"/>
    <n v="43077.25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105.03681885125184"/>
    <n v="679"/>
    <s v="US"/>
    <s v="USD"/>
    <x v="731"/>
    <n v="1452492000"/>
    <x v="731"/>
    <n v="42380.25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48"/>
    <n v="2805"/>
    <s v="CA"/>
    <s v="CAD"/>
    <x v="78"/>
    <n v="1524286800"/>
    <x v="78"/>
    <n v="43211.208333333328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112.66176470588235"/>
    <n v="68"/>
    <s v="US"/>
    <s v="USD"/>
    <x v="732"/>
    <n v="1346907600"/>
    <x v="732"/>
    <n v="41158.208333333336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81.944444444444443"/>
    <n v="36"/>
    <s v="DK"/>
    <s v="DKK"/>
    <x v="733"/>
    <n v="1464498000"/>
    <x v="733"/>
    <n v="42519.208333333328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64.049180327868854"/>
    <n v="183"/>
    <s v="CA"/>
    <s v="CAD"/>
    <x v="734"/>
    <n v="1514181600"/>
    <x v="734"/>
    <n v="43094.25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06.39097744360902"/>
    <n v="133"/>
    <s v="US"/>
    <s v="USD"/>
    <x v="406"/>
    <n v="1392184800"/>
    <x v="406"/>
    <n v="41682.25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76.011249497790274"/>
    <n v="2489"/>
    <s v="IT"/>
    <s v="EUR"/>
    <x v="735"/>
    <n v="1559365200"/>
    <x v="735"/>
    <n v="43617.208333333328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111.07246376811594"/>
    <n v="69"/>
    <s v="US"/>
    <s v="USD"/>
    <x v="736"/>
    <n v="1549173600"/>
    <x v="736"/>
    <n v="43499.25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95.936170212765958"/>
    <n v="47"/>
    <s v="US"/>
    <s v="USD"/>
    <x v="737"/>
    <n v="1355032800"/>
    <x v="737"/>
    <n v="41252.25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43.043010752688176"/>
    <n v="279"/>
    <s v="GB"/>
    <s v="GBP"/>
    <x v="192"/>
    <n v="1533963600"/>
    <x v="192"/>
    <n v="43323.208333333328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67.966666666666669"/>
    <n v="210"/>
    <s v="US"/>
    <s v="USD"/>
    <x v="738"/>
    <n v="1489381200"/>
    <x v="738"/>
    <n v="42807.208333333328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89.991428571428571"/>
    <n v="2100"/>
    <s v="US"/>
    <s v="USD"/>
    <x v="739"/>
    <n v="1395032400"/>
    <x v="739"/>
    <n v="41715.208333333336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58.095238095238095"/>
    <n v="252"/>
    <s v="US"/>
    <s v="USD"/>
    <x v="613"/>
    <n v="1412485200"/>
    <x v="613"/>
    <n v="41917.208333333336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83.996875000000003"/>
    <n v="1280"/>
    <s v="US"/>
    <s v="USD"/>
    <x v="740"/>
    <n v="1279688400"/>
    <x v="740"/>
    <n v="40380.208333333336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88.853503184713375"/>
    <n v="157"/>
    <s v="GB"/>
    <s v="GBP"/>
    <x v="145"/>
    <n v="1501995600"/>
    <x v="145"/>
    <n v="42953.208333333328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65.963917525773198"/>
    <n v="194"/>
    <s v="US"/>
    <s v="USD"/>
    <x v="741"/>
    <n v="1294639200"/>
    <x v="741"/>
    <n v="40553.25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74.804878048780495"/>
    <n v="82"/>
    <s v="AU"/>
    <s v="AUD"/>
    <x v="742"/>
    <n v="1305435600"/>
    <x v="742"/>
    <n v="40678.208333333336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69.98571428571428"/>
    <n v="70"/>
    <s v="US"/>
    <s v="USD"/>
    <x v="202"/>
    <n v="1537592400"/>
    <x v="202"/>
    <n v="43365.208333333328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32.006493506493506"/>
    <n v="154"/>
    <s v="US"/>
    <s v="USD"/>
    <x v="743"/>
    <n v="1435122000"/>
    <x v="743"/>
    <n v="42179.208333333328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64.727272727272734"/>
    <n v="22"/>
    <s v="US"/>
    <s v="USD"/>
    <x v="744"/>
    <n v="1520056800"/>
    <x v="744"/>
    <n v="43162.25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24.998110087408456"/>
    <n v="4233"/>
    <s v="US"/>
    <s v="USD"/>
    <x v="745"/>
    <n v="1335675600"/>
    <x v="745"/>
    <n v="41028.208333333336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04.97764070932922"/>
    <n v="1297"/>
    <s v="DK"/>
    <s v="DKK"/>
    <x v="746"/>
    <n v="1448431200"/>
    <x v="746"/>
    <n v="42333.25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64.987878787878785"/>
    <n v="165"/>
    <s v="DK"/>
    <s v="DKK"/>
    <x v="747"/>
    <n v="1298613600"/>
    <x v="747"/>
    <n v="40599.25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94.352941176470594"/>
    <n v="119"/>
    <s v="US"/>
    <s v="USD"/>
    <x v="362"/>
    <n v="1372482000"/>
    <x v="362"/>
    <n v="41454.208333333336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44.001706484641637"/>
    <n v="1758"/>
    <s v="US"/>
    <s v="USD"/>
    <x v="748"/>
    <n v="1425621600"/>
    <x v="748"/>
    <n v="42069.25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64.744680851063833"/>
    <n v="94"/>
    <s v="US"/>
    <s v="USD"/>
    <x v="749"/>
    <n v="1266300000"/>
    <x v="749"/>
    <n v="40225.25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84.00667779632721"/>
    <n v="1797"/>
    <s v="US"/>
    <s v="USD"/>
    <x v="643"/>
    <n v="1305867600"/>
    <x v="643"/>
    <n v="40683.208333333336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34.061302681992338"/>
    <n v="261"/>
    <s v="US"/>
    <s v="USD"/>
    <x v="750"/>
    <n v="1538802000"/>
    <x v="750"/>
    <n v="43379.208333333328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93.273885350318466"/>
    <n v="157"/>
    <s v="US"/>
    <s v="USD"/>
    <x v="751"/>
    <n v="1398920400"/>
    <x v="751"/>
    <n v="41760.208333333336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2.998301726577978"/>
    <n v="3533"/>
    <s v="US"/>
    <s v="USD"/>
    <x v="752"/>
    <n v="1405659600"/>
    <x v="752"/>
    <n v="41838.208333333336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83.812903225806451"/>
    <n v="155"/>
    <s v="US"/>
    <s v="USD"/>
    <x v="753"/>
    <n v="1457244000"/>
    <x v="753"/>
    <n v="42435.25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63.992424242424242"/>
    <n v="132"/>
    <s v="IT"/>
    <s v="EUR"/>
    <x v="754"/>
    <n v="1529298000"/>
    <x v="754"/>
    <n v="43269.208333333328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81.909090909090907"/>
    <n v="33"/>
    <s v="US"/>
    <s v="USD"/>
    <x v="755"/>
    <n v="1535778000"/>
    <x v="755"/>
    <n v="43344.208333333328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3.053191489361708"/>
    <n v="94"/>
    <s v="US"/>
    <s v="USD"/>
    <x v="756"/>
    <n v="1327471200"/>
    <x v="756"/>
    <n v="40933.25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01.98449039881831"/>
    <n v="1354"/>
    <s v="GB"/>
    <s v="GBP"/>
    <x v="757"/>
    <n v="1529557200"/>
    <x v="757"/>
    <n v="43272.208333333328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105.9375"/>
    <n v="48"/>
    <s v="US"/>
    <s v="USD"/>
    <x v="758"/>
    <n v="1535259600"/>
    <x v="758"/>
    <n v="43338.208333333328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01.58181818181818"/>
    <n v="110"/>
    <s v="US"/>
    <s v="USD"/>
    <x v="759"/>
    <n v="1515564000"/>
    <x v="759"/>
    <n v="43110.25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62.970930232558139"/>
    <n v="172"/>
    <s v="US"/>
    <s v="USD"/>
    <x v="760"/>
    <n v="1277096400"/>
    <x v="760"/>
    <n v="40350.208333333336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29.045602605863191"/>
    <n v="307"/>
    <s v="US"/>
    <s v="USD"/>
    <x v="761"/>
    <n v="1329026400"/>
    <x v="761"/>
    <n v="40951.25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x v="762"/>
    <n v="1322978400"/>
    <x v="762"/>
    <n v="40881.25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77.924999999999997"/>
    <n v="160"/>
    <s v="US"/>
    <s v="USD"/>
    <x v="444"/>
    <n v="1338786000"/>
    <x v="444"/>
    <n v="41064.208333333336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80.806451612903231"/>
    <n v="31"/>
    <s v="US"/>
    <s v="USD"/>
    <x v="763"/>
    <n v="1311656400"/>
    <x v="763"/>
    <n v="40750.208333333336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76.006816632583508"/>
    <n v="1467"/>
    <s v="CA"/>
    <s v="CAD"/>
    <x v="764"/>
    <n v="1308978000"/>
    <x v="764"/>
    <n v="40719.208333333336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72.993613824192337"/>
    <n v="2662"/>
    <s v="CA"/>
    <s v="CAD"/>
    <x v="765"/>
    <n v="1576389600"/>
    <x v="765"/>
    <n v="43814.25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53"/>
    <n v="452"/>
    <s v="AU"/>
    <s v="AUD"/>
    <x v="766"/>
    <n v="1311051600"/>
    <x v="766"/>
    <n v="40743.208333333336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54.164556962025316"/>
    <n v="158"/>
    <s v="US"/>
    <s v="USD"/>
    <x v="767"/>
    <n v="1336712400"/>
    <x v="767"/>
    <n v="41040.208333333336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32.946666666666665"/>
    <n v="225"/>
    <s v="CH"/>
    <s v="CHF"/>
    <x v="768"/>
    <n v="1330408800"/>
    <x v="768"/>
    <n v="40967.25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79.371428571428567"/>
    <n v="35"/>
    <s v="US"/>
    <s v="USD"/>
    <x v="769"/>
    <n v="1524891600"/>
    <x v="769"/>
    <n v="43218.208333333328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41.174603174603178"/>
    <n v="63"/>
    <s v="US"/>
    <s v="USD"/>
    <x v="770"/>
    <n v="1363669200"/>
    <x v="770"/>
    <n v="41352.208333333336"/>
    <b v="0"/>
    <b v="1"/>
    <s v="theater/plays"/>
    <x v="3"/>
    <s v="plays"/>
  </r>
  <r>
    <n v="860"/>
    <s v="Lee PLC"/>
    <s v="Re-contextualized leadingedge firmware"/>
    <n v="2000"/>
    <n v="5033"/>
    <n v="251.65"/>
    <x v="1"/>
    <n v="77.430769230769229"/>
    <n v="65"/>
    <s v="US"/>
    <s v="USD"/>
    <x v="771"/>
    <n v="1551420000"/>
    <x v="771"/>
    <n v="43525.25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57.159509202453989"/>
    <n v="163"/>
    <s v="US"/>
    <s v="USD"/>
    <x v="772"/>
    <n v="1269838800"/>
    <x v="772"/>
    <n v="40266.208333333336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77.17647058823529"/>
    <n v="85"/>
    <s v="US"/>
    <s v="USD"/>
    <x v="773"/>
    <n v="1312520400"/>
    <x v="773"/>
    <n v="40760.208333333336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4.953917050691246"/>
    <n v="217"/>
    <s v="US"/>
    <s v="USD"/>
    <x v="774"/>
    <n v="1436504400"/>
    <x v="774"/>
    <n v="42195.208333333328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97.18"/>
    <n v="150"/>
    <s v="US"/>
    <s v="USD"/>
    <x v="775"/>
    <n v="1472014800"/>
    <x v="775"/>
    <n v="42606.208333333328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46.000916870415651"/>
    <n v="3272"/>
    <s v="US"/>
    <s v="USD"/>
    <x v="776"/>
    <n v="1411534800"/>
    <x v="776"/>
    <n v="41906.208333333336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8.023385300668153"/>
    <n v="898"/>
    <s v="US"/>
    <s v="USD"/>
    <x v="777"/>
    <n v="1304917200"/>
    <x v="777"/>
    <n v="40672.208333333336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25.99"/>
    <n v="300"/>
    <s v="US"/>
    <s v="USD"/>
    <x v="778"/>
    <n v="1539579600"/>
    <x v="778"/>
    <n v="43388.208333333328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02.69047619047619"/>
    <n v="126"/>
    <s v="US"/>
    <s v="USD"/>
    <x v="779"/>
    <n v="1382504400"/>
    <x v="779"/>
    <n v="41570.208333333336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72.958174904942965"/>
    <n v="526"/>
    <s v="US"/>
    <s v="USD"/>
    <x v="780"/>
    <n v="1278306000"/>
    <x v="780"/>
    <n v="40364.208333333336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57.190082644628099"/>
    <n v="121"/>
    <s v="US"/>
    <s v="USD"/>
    <x v="335"/>
    <n v="1442552400"/>
    <x v="335"/>
    <n v="42265.208333333328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84.013793103448279"/>
    <n v="2320"/>
    <s v="US"/>
    <s v="USD"/>
    <x v="535"/>
    <n v="1511071200"/>
    <x v="535"/>
    <n v="43058.25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98.666666666666671"/>
    <n v="81"/>
    <s v="AU"/>
    <s v="AUD"/>
    <x v="270"/>
    <n v="1536382800"/>
    <x v="270"/>
    <n v="43351.208333333328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42.007419183889773"/>
    <n v="1887"/>
    <s v="US"/>
    <s v="USD"/>
    <x v="781"/>
    <n v="1389592800"/>
    <x v="781"/>
    <n v="41652.25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32.002753556677376"/>
    <n v="4358"/>
    <s v="US"/>
    <s v="USD"/>
    <x v="782"/>
    <n v="1275282000"/>
    <x v="782"/>
    <n v="40329.208333333336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81.567164179104481"/>
    <n v="67"/>
    <s v="US"/>
    <s v="USD"/>
    <x v="783"/>
    <n v="1294984800"/>
    <x v="783"/>
    <n v="40557.25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37.035087719298247"/>
    <n v="57"/>
    <s v="CA"/>
    <s v="CAD"/>
    <x v="784"/>
    <n v="1562043600"/>
    <x v="784"/>
    <n v="43648.208333333328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03.033360455655"/>
    <n v="1229"/>
    <s v="US"/>
    <s v="USD"/>
    <x v="785"/>
    <n v="1469595600"/>
    <x v="785"/>
    <n v="42578.208333333328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84.333333333333329"/>
    <n v="12"/>
    <s v="IT"/>
    <s v="EUR"/>
    <x v="786"/>
    <n v="1581141600"/>
    <x v="786"/>
    <n v="43869.25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102.60377358490567"/>
    <n v="53"/>
    <s v="US"/>
    <s v="USD"/>
    <x v="787"/>
    <n v="1488520800"/>
    <x v="787"/>
    <n v="42797.25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79.992129246064621"/>
    <n v="2414"/>
    <s v="US"/>
    <s v="USD"/>
    <x v="788"/>
    <n v="1563858000"/>
    <x v="788"/>
    <n v="43669.208333333328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70.055309734513273"/>
    <n v="452"/>
    <s v="US"/>
    <s v="USD"/>
    <x v="330"/>
    <n v="1438923600"/>
    <x v="330"/>
    <n v="42223.208333333328"/>
    <b v="0"/>
    <b v="1"/>
    <s v="theater/plays"/>
    <x v="3"/>
    <s v="plays"/>
  </r>
  <r>
    <n v="882"/>
    <s v="White-Rosario"/>
    <s v="Balanced demand-driven definition"/>
    <n v="800"/>
    <n v="2960"/>
    <n v="370"/>
    <x v="1"/>
    <n v="37"/>
    <n v="80"/>
    <s v="US"/>
    <s v="USD"/>
    <x v="789"/>
    <n v="1422165600"/>
    <x v="789"/>
    <n v="42029.25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41.911917098445599"/>
    <n v="193"/>
    <s v="US"/>
    <s v="USD"/>
    <x v="790"/>
    <n v="1277874000"/>
    <x v="790"/>
    <n v="40359.208333333336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57.992576882290564"/>
    <n v="1886"/>
    <s v="US"/>
    <s v="USD"/>
    <x v="791"/>
    <n v="1399352400"/>
    <x v="791"/>
    <n v="41765.208333333336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40.942307692307693"/>
    <n v="52"/>
    <s v="US"/>
    <s v="USD"/>
    <x v="792"/>
    <n v="1279083600"/>
    <x v="792"/>
    <n v="40373.208333333336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69.9972602739726"/>
    <n v="1825"/>
    <s v="US"/>
    <s v="USD"/>
    <x v="793"/>
    <n v="1284354000"/>
    <x v="793"/>
    <n v="40434.208333333336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73.838709677419359"/>
    <n v="31"/>
    <s v="US"/>
    <s v="USD"/>
    <x v="794"/>
    <n v="1441170000"/>
    <x v="794"/>
    <n v="42249.208333333328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41.979310344827589"/>
    <n v="290"/>
    <s v="US"/>
    <s v="USD"/>
    <x v="795"/>
    <n v="1493528400"/>
    <x v="795"/>
    <n v="42855.208333333328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77.93442622950819"/>
    <n v="122"/>
    <s v="US"/>
    <s v="USD"/>
    <x v="796"/>
    <n v="1395205200"/>
    <x v="796"/>
    <n v="41717.208333333336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06.01972789115646"/>
    <n v="1470"/>
    <s v="US"/>
    <s v="USD"/>
    <x v="797"/>
    <n v="1561438800"/>
    <x v="797"/>
    <n v="43641.208333333328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47.018181818181816"/>
    <n v="165"/>
    <s v="CA"/>
    <s v="CAD"/>
    <x v="798"/>
    <n v="1326693600"/>
    <x v="798"/>
    <n v="40924.25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76.016483516483518"/>
    <n v="182"/>
    <s v="US"/>
    <s v="USD"/>
    <x v="799"/>
    <n v="1277960400"/>
    <x v="799"/>
    <n v="40360.208333333336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54.120603015075375"/>
    <n v="199"/>
    <s v="IT"/>
    <s v="EUR"/>
    <x v="800"/>
    <n v="1434690000"/>
    <x v="800"/>
    <n v="42174.208333333328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7.285714285714285"/>
    <n v="56"/>
    <s v="GB"/>
    <s v="GBP"/>
    <x v="801"/>
    <n v="1376110800"/>
    <x v="801"/>
    <n v="41496.208333333336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3.81308411214954"/>
    <n v="107"/>
    <s v="US"/>
    <s v="USD"/>
    <x v="802"/>
    <n v="1518415200"/>
    <x v="802"/>
    <n v="43143.25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05.02602739726028"/>
    <n v="1460"/>
    <s v="AU"/>
    <s v="AUD"/>
    <x v="803"/>
    <n v="1310878800"/>
    <x v="803"/>
    <n v="40741.208333333336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90.259259259259252"/>
    <n v="27"/>
    <s v="US"/>
    <s v="USD"/>
    <x v="212"/>
    <n v="1556600400"/>
    <x v="212"/>
    <n v="43585.208333333328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76.978705978705975"/>
    <n v="1221"/>
    <s v="US"/>
    <s v="USD"/>
    <x v="804"/>
    <n v="1576994400"/>
    <x v="804"/>
    <n v="43821.25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02.60162601626017"/>
    <n v="123"/>
    <s v="CH"/>
    <s v="CHF"/>
    <x v="805"/>
    <n v="1382677200"/>
    <x v="805"/>
    <n v="41572.208333333336"/>
    <b v="0"/>
    <b v="0"/>
    <s v="music/jazz"/>
    <x v="1"/>
    <s v="jazz"/>
  </r>
  <r>
    <n v="900"/>
    <s v="Powers, Smith and Deleon"/>
    <s v="Enhanced uniform service-desk"/>
    <n v="100"/>
    <n v="2"/>
    <n v="2"/>
    <x v="0"/>
    <n v="2"/>
    <n v="1"/>
    <s v="US"/>
    <s v="USD"/>
    <x v="806"/>
    <n v="1411189200"/>
    <x v="806"/>
    <n v="41902.208333333336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55.0062893081761"/>
    <n v="159"/>
    <s v="US"/>
    <s v="USD"/>
    <x v="807"/>
    <n v="1534654800"/>
    <x v="807"/>
    <n v="43331.208333333328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32.127272727272725"/>
    <n v="110"/>
    <s v="US"/>
    <s v="USD"/>
    <x v="722"/>
    <n v="1457762400"/>
    <x v="722"/>
    <n v="42441.25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50.642857142857146"/>
    <n v="14"/>
    <s v="US"/>
    <s v="USD"/>
    <x v="477"/>
    <n v="1337490000"/>
    <x v="477"/>
    <n v="41049.208333333336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49.6875"/>
    <n v="16"/>
    <s v="US"/>
    <s v="USD"/>
    <x v="259"/>
    <n v="1349672400"/>
    <x v="259"/>
    <n v="41190.208333333336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54.894067796610166"/>
    <n v="236"/>
    <s v="US"/>
    <s v="USD"/>
    <x v="9"/>
    <n v="1379826000"/>
    <x v="9"/>
    <n v="41539.208333333336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46.931937172774866"/>
    <n v="191"/>
    <s v="US"/>
    <s v="USD"/>
    <x v="808"/>
    <n v="1497762000"/>
    <x v="808"/>
    <n v="42904.208333333328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4.951219512195124"/>
    <n v="41"/>
    <s v="US"/>
    <s v="USD"/>
    <x v="809"/>
    <n v="1304485200"/>
    <x v="809"/>
    <n v="40667.208333333336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0.99898322318251"/>
    <n v="3934"/>
    <s v="US"/>
    <s v="USD"/>
    <x v="444"/>
    <n v="1336885200"/>
    <x v="444"/>
    <n v="41042.208333333336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107.7625"/>
    <n v="80"/>
    <s v="CA"/>
    <s v="CAD"/>
    <x v="384"/>
    <n v="1530421200"/>
    <x v="384"/>
    <n v="43282.208333333328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102.07770270270271"/>
    <n v="296"/>
    <s v="US"/>
    <s v="USD"/>
    <x v="810"/>
    <n v="1421992800"/>
    <x v="810"/>
    <n v="42027.25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24.976190476190474"/>
    <n v="462"/>
    <s v="US"/>
    <s v="USD"/>
    <x v="811"/>
    <n v="1568178000"/>
    <x v="811"/>
    <n v="43719.208333333328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79.944134078212286"/>
    <n v="179"/>
    <s v="US"/>
    <s v="USD"/>
    <x v="812"/>
    <n v="1347944400"/>
    <x v="812"/>
    <n v="41170.208333333336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67.946462715105156"/>
    <n v="523"/>
    <s v="AU"/>
    <s v="AUD"/>
    <x v="813"/>
    <n v="1558760400"/>
    <x v="813"/>
    <n v="43610.208333333328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26.070921985815602"/>
    <n v="141"/>
    <s v="GB"/>
    <s v="GBP"/>
    <x v="814"/>
    <n v="1376629200"/>
    <x v="814"/>
    <n v="41502.208333333336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05.0032154340836"/>
    <n v="1866"/>
    <s v="GB"/>
    <s v="GBP"/>
    <x v="80"/>
    <n v="1504760400"/>
    <x v="80"/>
    <n v="42985.208333333328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25.826923076923077"/>
    <n v="52"/>
    <s v="US"/>
    <s v="USD"/>
    <x v="815"/>
    <n v="1419660000"/>
    <x v="815"/>
    <n v="42000.25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77.666666666666671"/>
    <n v="27"/>
    <s v="GB"/>
    <s v="GBP"/>
    <x v="816"/>
    <n v="1311310800"/>
    <x v="816"/>
    <n v="40746.208333333336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57.82692307692308"/>
    <n v="156"/>
    <s v="CH"/>
    <s v="CHF"/>
    <x v="474"/>
    <n v="1344315600"/>
    <x v="474"/>
    <n v="41128.208333333336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92.955555555555549"/>
    <n v="225"/>
    <s v="AU"/>
    <s v="AUD"/>
    <x v="817"/>
    <n v="1510725600"/>
    <x v="817"/>
    <n v="43054.25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37.945098039215686"/>
    <n v="255"/>
    <s v="US"/>
    <s v="USD"/>
    <x v="818"/>
    <n v="1551247200"/>
    <x v="818"/>
    <n v="43523.25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1.842105263157894"/>
    <n v="38"/>
    <s v="US"/>
    <s v="USD"/>
    <x v="819"/>
    <n v="1330236000"/>
    <x v="819"/>
    <n v="40965.25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40"/>
    <n v="2261"/>
    <s v="US"/>
    <s v="USD"/>
    <x v="609"/>
    <n v="1545112800"/>
    <x v="609"/>
    <n v="43452.25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101.1"/>
    <n v="40"/>
    <s v="US"/>
    <s v="USD"/>
    <x v="547"/>
    <n v="1279170000"/>
    <x v="547"/>
    <n v="40374.208333333336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84.006989951944078"/>
    <n v="2289"/>
    <s v="IT"/>
    <s v="EUR"/>
    <x v="820"/>
    <n v="1573452000"/>
    <x v="820"/>
    <n v="43780.25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103.41538461538461"/>
    <n v="65"/>
    <s v="US"/>
    <s v="USD"/>
    <x v="821"/>
    <n v="1507093200"/>
    <x v="821"/>
    <n v="43012.208333333328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05.13333333333334"/>
    <n v="15"/>
    <s v="US"/>
    <s v="USD"/>
    <x v="151"/>
    <n v="1463374800"/>
    <x v="151"/>
    <n v="42506.208333333328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89.21621621621621"/>
    <n v="37"/>
    <s v="US"/>
    <s v="USD"/>
    <x v="822"/>
    <n v="1344574800"/>
    <x v="822"/>
    <n v="41131.208333333336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51.995234312946785"/>
    <n v="3777"/>
    <s v="IT"/>
    <s v="EUR"/>
    <x v="823"/>
    <n v="1389074400"/>
    <x v="823"/>
    <n v="41646.25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64.956521739130437"/>
    <n v="184"/>
    <s v="GB"/>
    <s v="GBP"/>
    <x v="824"/>
    <n v="1494997200"/>
    <x v="824"/>
    <n v="42872.208333333328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46.235294117647058"/>
    <n v="85"/>
    <s v="US"/>
    <s v="USD"/>
    <x v="825"/>
    <n v="1425448800"/>
    <x v="825"/>
    <n v="42067.25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51.151785714285715"/>
    <n v="112"/>
    <s v="US"/>
    <s v="USD"/>
    <x v="826"/>
    <n v="1404104400"/>
    <x v="826"/>
    <n v="41820.208333333336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33.909722222222221"/>
    <n v="144"/>
    <s v="US"/>
    <s v="USD"/>
    <x v="827"/>
    <n v="1394773200"/>
    <x v="827"/>
    <n v="41712.208333333336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92.016298633017882"/>
    <n v="1902"/>
    <s v="US"/>
    <s v="USD"/>
    <x v="828"/>
    <n v="1366520400"/>
    <x v="828"/>
    <n v="41385.208333333336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7.42857142857143"/>
    <n v="105"/>
    <s v="US"/>
    <s v="USD"/>
    <x v="829"/>
    <n v="1456639200"/>
    <x v="829"/>
    <n v="42428.25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75.848484848484844"/>
    <n v="132"/>
    <s v="US"/>
    <s v="USD"/>
    <x v="830"/>
    <n v="1438318800"/>
    <x v="830"/>
    <n v="42216.208333333328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80.476190476190482"/>
    <n v="21"/>
    <s v="US"/>
    <s v="USD"/>
    <x v="831"/>
    <n v="1564030800"/>
    <x v="831"/>
    <n v="43671.208333333328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86.978483606557376"/>
    <n v="976"/>
    <s v="US"/>
    <s v="USD"/>
    <x v="832"/>
    <n v="1449295200"/>
    <x v="832"/>
    <n v="42343.25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105.13541666666667"/>
    <n v="96"/>
    <s v="US"/>
    <s v="USD"/>
    <x v="833"/>
    <n v="1531890000"/>
    <x v="833"/>
    <n v="43299.208333333328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57.298507462686565"/>
    <n v="67"/>
    <s v="US"/>
    <s v="USD"/>
    <x v="834"/>
    <n v="1306213200"/>
    <x v="834"/>
    <n v="40687.208333333336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93.348484848484844"/>
    <n v="66"/>
    <s v="CA"/>
    <s v="CAD"/>
    <x v="835"/>
    <n v="1356242400"/>
    <x v="835"/>
    <n v="41266.25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1.987179487179489"/>
    <n v="78"/>
    <s v="US"/>
    <s v="USD"/>
    <x v="836"/>
    <n v="1297576800"/>
    <x v="836"/>
    <n v="40587.25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92.611940298507463"/>
    <n v="67"/>
    <s v="AU"/>
    <s v="AUD"/>
    <x v="837"/>
    <n v="1296194400"/>
    <x v="837"/>
    <n v="40571.25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04.99122807017544"/>
    <n v="114"/>
    <s v="US"/>
    <s v="USD"/>
    <x v="219"/>
    <n v="1414558800"/>
    <x v="219"/>
    <n v="41941.208333333336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30.958174904942965"/>
    <n v="263"/>
    <s v="AU"/>
    <s v="AUD"/>
    <x v="365"/>
    <n v="1488348000"/>
    <x v="365"/>
    <n v="42795.25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33.001182732111175"/>
    <n v="1691"/>
    <s v="US"/>
    <s v="USD"/>
    <x v="838"/>
    <n v="1334898000"/>
    <x v="838"/>
    <n v="41019.208333333336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84.187845303867405"/>
    <n v="181"/>
    <s v="US"/>
    <s v="USD"/>
    <x v="839"/>
    <n v="1308373200"/>
    <x v="839"/>
    <n v="40712.208333333336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73.92307692307692"/>
    <n v="13"/>
    <s v="US"/>
    <s v="USD"/>
    <x v="840"/>
    <n v="1412312400"/>
    <x v="840"/>
    <n v="41915.208333333336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36.987499999999997"/>
    <n v="160"/>
    <s v="US"/>
    <s v="USD"/>
    <x v="841"/>
    <n v="1419228000"/>
    <x v="841"/>
    <n v="41995.25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46.896551724137929"/>
    <n v="203"/>
    <s v="US"/>
    <s v="USD"/>
    <x v="842"/>
    <n v="1430974800"/>
    <x v="842"/>
    <n v="42131.208333333328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5"/>
    <n v="1"/>
    <s v="US"/>
    <s v="USD"/>
    <x v="843"/>
    <n v="1555822800"/>
    <x v="843"/>
    <n v="43576.208333333328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02.02437459910199"/>
    <n v="1559"/>
    <s v="US"/>
    <s v="USD"/>
    <x v="844"/>
    <n v="1482818400"/>
    <x v="844"/>
    <n v="42731.25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45.007502206531335"/>
    <n v="2266"/>
    <s v="US"/>
    <s v="USD"/>
    <x v="845"/>
    <n v="1471928400"/>
    <x v="845"/>
    <n v="42605.208333333328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94.285714285714292"/>
    <n v="21"/>
    <s v="US"/>
    <s v="USD"/>
    <x v="846"/>
    <n v="1453701600"/>
    <x v="846"/>
    <n v="42394.25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01.02325581395348"/>
    <n v="1548"/>
    <s v="AU"/>
    <s v="AUD"/>
    <x v="110"/>
    <n v="1350363600"/>
    <x v="110"/>
    <n v="41198.208333333336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97.037499999999994"/>
    <n v="80"/>
    <s v="US"/>
    <s v="USD"/>
    <x v="847"/>
    <n v="1353996000"/>
    <x v="847"/>
    <n v="41240.25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43.00963855421687"/>
    <n v="830"/>
    <s v="US"/>
    <s v="USD"/>
    <x v="848"/>
    <n v="1451109600"/>
    <x v="848"/>
    <n v="42364.25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94.916030534351151"/>
    <n v="131"/>
    <s v="US"/>
    <s v="USD"/>
    <x v="849"/>
    <n v="1329631200"/>
    <x v="849"/>
    <n v="40958.25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72.151785714285708"/>
    <n v="112"/>
    <s v="US"/>
    <s v="USD"/>
    <x v="780"/>
    <n v="1278997200"/>
    <x v="780"/>
    <n v="40372.208333333336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51.007692307692309"/>
    <n v="130"/>
    <s v="US"/>
    <s v="USD"/>
    <x v="140"/>
    <n v="1280120400"/>
    <x v="140"/>
    <n v="40385.208333333336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85.054545454545448"/>
    <n v="55"/>
    <s v="US"/>
    <s v="USD"/>
    <x v="850"/>
    <n v="1458104400"/>
    <x v="850"/>
    <n v="42445.208333333328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43.87096774193548"/>
    <n v="155"/>
    <s v="US"/>
    <s v="USD"/>
    <x v="851"/>
    <n v="1298268000"/>
    <x v="851"/>
    <n v="40595.25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40.063909774436091"/>
    <n v="266"/>
    <s v="US"/>
    <s v="USD"/>
    <x v="852"/>
    <n v="1386223200"/>
    <x v="852"/>
    <n v="41613.25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43.833333333333336"/>
    <n v="114"/>
    <s v="IT"/>
    <s v="EUR"/>
    <x v="853"/>
    <n v="1299823200"/>
    <x v="853"/>
    <n v="40613.25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84.92903225806451"/>
    <n v="155"/>
    <s v="US"/>
    <s v="USD"/>
    <x v="854"/>
    <n v="1431752400"/>
    <x v="854"/>
    <n v="42140.208333333328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41.067632850241544"/>
    <n v="207"/>
    <s v="GB"/>
    <s v="GBP"/>
    <x v="67"/>
    <n v="1267855200"/>
    <x v="67"/>
    <n v="40243.25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54.971428571428568"/>
    <n v="245"/>
    <s v="US"/>
    <s v="USD"/>
    <x v="855"/>
    <n v="1497675600"/>
    <x v="855"/>
    <n v="42903.208333333328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77.010807374443743"/>
    <n v="1573"/>
    <s v="US"/>
    <s v="USD"/>
    <x v="107"/>
    <n v="1336885200"/>
    <x v="107"/>
    <n v="41042.208333333336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71.201754385964918"/>
    <n v="114"/>
    <s v="US"/>
    <s v="USD"/>
    <x v="344"/>
    <n v="1295157600"/>
    <x v="344"/>
    <n v="40559.25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1.935483870967744"/>
    <n v="93"/>
    <s v="US"/>
    <s v="USD"/>
    <x v="856"/>
    <n v="1577599200"/>
    <x v="856"/>
    <n v="43828.25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97.069023569023571"/>
    <n v="594"/>
    <s v="US"/>
    <s v="USD"/>
    <x v="857"/>
    <n v="1305003600"/>
    <x v="857"/>
    <n v="40673.208333333336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58.916666666666664"/>
    <n v="24"/>
    <s v="US"/>
    <s v="USD"/>
    <x v="858"/>
    <n v="1381726800"/>
    <x v="858"/>
    <n v="41561.208333333336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58.015466983938133"/>
    <n v="1681"/>
    <s v="US"/>
    <s v="USD"/>
    <x v="859"/>
    <n v="1402462800"/>
    <x v="859"/>
    <n v="41801.208333333336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103.87301587301587"/>
    <n v="252"/>
    <s v="US"/>
    <s v="USD"/>
    <x v="860"/>
    <n v="1292133600"/>
    <x v="860"/>
    <n v="40524.25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93.46875"/>
    <n v="32"/>
    <s v="US"/>
    <s v="USD"/>
    <x v="170"/>
    <n v="1368939600"/>
    <x v="170"/>
    <n v="41413.208333333336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61.970370370370368"/>
    <n v="135"/>
    <s v="US"/>
    <s v="USD"/>
    <x v="861"/>
    <n v="1452146400"/>
    <x v="861"/>
    <n v="42376.25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92.042857142857144"/>
    <n v="140"/>
    <s v="US"/>
    <s v="USD"/>
    <x v="862"/>
    <n v="1296712800"/>
    <x v="862"/>
    <n v="40577.25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77.268656716417908"/>
    <n v="67"/>
    <s v="US"/>
    <s v="USD"/>
    <x v="863"/>
    <n v="1520748000"/>
    <x v="863"/>
    <n v="43170.25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3.923913043478265"/>
    <n v="92"/>
    <s v="US"/>
    <s v="USD"/>
    <x v="864"/>
    <n v="1480831200"/>
    <x v="864"/>
    <n v="42708.25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84.969458128078813"/>
    <n v="1015"/>
    <s v="GB"/>
    <s v="GBP"/>
    <x v="527"/>
    <n v="1426914000"/>
    <x v="527"/>
    <n v="42084.208333333328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105.97035040431267"/>
    <n v="742"/>
    <s v="US"/>
    <s v="USD"/>
    <x v="865"/>
    <n v="1446616800"/>
    <x v="865"/>
    <n v="42312.25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6.969040247678016"/>
    <n v="323"/>
    <s v="US"/>
    <s v="USD"/>
    <x v="866"/>
    <n v="1517032800"/>
    <x v="866"/>
    <n v="43127.25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81.533333333333331"/>
    <n v="75"/>
    <s v="US"/>
    <s v="USD"/>
    <x v="867"/>
    <n v="1311224400"/>
    <x v="867"/>
    <n v="40745.208333333336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80.999140154772135"/>
    <n v="2326"/>
    <s v="US"/>
    <s v="USD"/>
    <x v="868"/>
    <n v="1566190800"/>
    <x v="868"/>
    <n v="43696.208333333328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26.010498687664043"/>
    <n v="381"/>
    <s v="US"/>
    <s v="USD"/>
    <x v="105"/>
    <n v="1570165200"/>
    <x v="105"/>
    <n v="43742.208333333328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25.998410896708286"/>
    <n v="4405"/>
    <s v="US"/>
    <s v="USD"/>
    <x v="481"/>
    <n v="1388556000"/>
    <x v="481"/>
    <n v="41640.25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34.173913043478258"/>
    <n v="92"/>
    <s v="US"/>
    <s v="USD"/>
    <x v="253"/>
    <n v="1303189200"/>
    <x v="253"/>
    <n v="40652.208333333336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28.002083333333335"/>
    <n v="480"/>
    <s v="US"/>
    <s v="USD"/>
    <x v="869"/>
    <n v="1494478800"/>
    <x v="869"/>
    <n v="42866.208333333328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76.546875"/>
    <n v="64"/>
    <s v="US"/>
    <s v="USD"/>
    <x v="864"/>
    <n v="1480744800"/>
    <x v="864"/>
    <n v="42707.25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53.053097345132741"/>
    <n v="226"/>
    <s v="US"/>
    <s v="USD"/>
    <x v="843"/>
    <n v="1555822800"/>
    <x v="843"/>
    <n v="43576.208333333328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106.859375"/>
    <n v="64"/>
    <s v="US"/>
    <s v="USD"/>
    <x v="289"/>
    <n v="1458882000"/>
    <x v="289"/>
    <n v="42454.208333333328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46.020746887966808"/>
    <n v="241"/>
    <s v="US"/>
    <s v="USD"/>
    <x v="870"/>
    <n v="1411966800"/>
    <x v="870"/>
    <n v="41911.208333333336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00.17424242424242"/>
    <n v="132"/>
    <s v="US"/>
    <s v="USD"/>
    <x v="871"/>
    <n v="1526878800"/>
    <x v="871"/>
    <n v="43241.208333333328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101.44"/>
    <n v="75"/>
    <s v="IT"/>
    <s v="EUR"/>
    <x v="872"/>
    <n v="1452405600"/>
    <x v="872"/>
    <n v="42379.25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7.972684085510693"/>
    <n v="842"/>
    <s v="US"/>
    <s v="USD"/>
    <x v="873"/>
    <n v="1414040400"/>
    <x v="873"/>
    <n v="41935.208333333336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74.995594713656388"/>
    <n v="2043"/>
    <s v="US"/>
    <s v="USD"/>
    <x v="874"/>
    <n v="1543816800"/>
    <x v="874"/>
    <n v="43437.25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42.982142857142854"/>
    <n v="112"/>
    <s v="US"/>
    <s v="USD"/>
    <x v="875"/>
    <n v="1359698400"/>
    <x v="875"/>
    <n v="41306.25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33.115107913669064"/>
    <n v="139"/>
    <s v="IT"/>
    <s v="EUR"/>
    <x v="876"/>
    <n v="1390629600"/>
    <x v="876"/>
    <n v="41664.25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101.13101604278074"/>
    <n v="374"/>
    <s v="US"/>
    <s v="USD"/>
    <x v="877"/>
    <n v="1267077600"/>
    <x v="877"/>
    <n v="40234.25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55.98841354723708"/>
    <n v="1122"/>
    <s v="US"/>
    <s v="USD"/>
    <x v="878"/>
    <n v="1467781200"/>
    <x v="878"/>
    <n v="42557.208333333328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3A0393-558E-7140-BD40-EB515DB53B9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parent category" fld="1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485577-FC6A-0544-BB19-1362DB670C7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dataField="1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sub-category" fld="17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AF9DD5-DFAC-0C43-81A2-246621E355C1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5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40121-F876-7C42-AC97-2B7CB7EE859C}">
  <sheetPr codeName="Sheet1"/>
  <dimension ref="A1:F14"/>
  <sheetViews>
    <sheetView topLeftCell="A6" workbookViewId="0">
      <selection activeCell="H4" sqref="H4"/>
    </sheetView>
  </sheetViews>
  <sheetFormatPr baseColWidth="10" defaultRowHeight="16" x14ac:dyDescent="0.2"/>
  <cols>
    <col min="1" max="1" width="21.8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hidden="1" customWidth="1"/>
    <col min="7" max="7" width="10.83203125" bestFit="1" customWidth="1"/>
    <col min="8" max="8" width="21.83203125" bestFit="1" customWidth="1"/>
    <col min="9" max="9" width="14.6640625" bestFit="1" customWidth="1"/>
    <col min="10" max="10" width="21.83203125" bestFit="1" customWidth="1"/>
    <col min="11" max="11" width="14.6640625" bestFit="1" customWidth="1"/>
    <col min="12" max="12" width="26.6640625" bestFit="1" customWidth="1"/>
    <col min="13" max="13" width="19.5" bestFit="1" customWidth="1"/>
  </cols>
  <sheetData>
    <row r="1" spans="1:6" x14ac:dyDescent="0.2">
      <c r="A1" s="8" t="s">
        <v>6</v>
      </c>
      <c r="B1" t="s">
        <v>2037</v>
      </c>
    </row>
    <row r="3" spans="1:6" x14ac:dyDescent="0.2">
      <c r="A3" s="8" t="s">
        <v>2036</v>
      </c>
      <c r="B3" s="8" t="s">
        <v>2038</v>
      </c>
    </row>
    <row r="4" spans="1:6" x14ac:dyDescent="0.2">
      <c r="A4" s="8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2">
      <c r="A5" s="9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9" t="s">
        <v>2040</v>
      </c>
      <c r="B6">
        <v>4</v>
      </c>
      <c r="C6">
        <v>20</v>
      </c>
      <c r="E6">
        <v>22</v>
      </c>
      <c r="F6">
        <v>46</v>
      </c>
    </row>
    <row r="7" spans="1:6" x14ac:dyDescent="0.2">
      <c r="A7" s="9" t="s">
        <v>2041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9" t="s">
        <v>2042</v>
      </c>
      <c r="E8">
        <v>4</v>
      </c>
      <c r="F8">
        <v>4</v>
      </c>
    </row>
    <row r="9" spans="1:6" x14ac:dyDescent="0.2">
      <c r="A9" s="9" t="s">
        <v>2043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9" t="s">
        <v>2044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9" t="s">
        <v>2045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9" t="s">
        <v>2046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9" t="s">
        <v>2047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9" t="s">
        <v>2035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AC54C-3E6A-904D-BA08-FF3DE77438EE}">
  <sheetPr codeName="Sheet2"/>
  <dimension ref="A1:F30"/>
  <sheetViews>
    <sheetView workbookViewId="0">
      <selection activeCell="H39" sqref="H39"/>
    </sheetView>
  </sheetViews>
  <sheetFormatPr baseColWidth="10" defaultRowHeight="16" x14ac:dyDescent="0.2"/>
  <cols>
    <col min="1" max="1" width="19.3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8" width="19.33203125" bestFit="1" customWidth="1"/>
    <col min="9" max="9" width="21.83203125" bestFit="1" customWidth="1"/>
    <col min="10" max="10" width="19.33203125" bestFit="1" customWidth="1"/>
    <col min="11" max="11" width="21.83203125" bestFit="1" customWidth="1"/>
    <col min="12" max="12" width="24.1640625" bestFit="1" customWidth="1"/>
    <col min="13" max="13" width="26.6640625" bestFit="1" customWidth="1"/>
  </cols>
  <sheetData>
    <row r="1" spans="1:6" x14ac:dyDescent="0.2">
      <c r="A1" s="8" t="s">
        <v>6</v>
      </c>
      <c r="B1" t="s">
        <v>2037</v>
      </c>
    </row>
    <row r="2" spans="1:6" x14ac:dyDescent="0.2">
      <c r="A2" s="8" t="s">
        <v>2031</v>
      </c>
      <c r="B2" t="s">
        <v>2037</v>
      </c>
    </row>
    <row r="4" spans="1:6" x14ac:dyDescent="0.2">
      <c r="A4" s="8" t="s">
        <v>2048</v>
      </c>
      <c r="B4" s="8" t="s">
        <v>2038</v>
      </c>
    </row>
    <row r="5" spans="1:6" x14ac:dyDescent="0.2">
      <c r="A5" s="8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2">
      <c r="A6" s="9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9" t="s">
        <v>2050</v>
      </c>
      <c r="E7">
        <v>4</v>
      </c>
      <c r="F7">
        <v>4</v>
      </c>
    </row>
    <row r="8" spans="1:6" x14ac:dyDescent="0.2">
      <c r="A8" s="9" t="s">
        <v>2051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9" t="s">
        <v>2052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9" t="s">
        <v>2053</v>
      </c>
      <c r="C10">
        <v>8</v>
      </c>
      <c r="E10">
        <v>10</v>
      </c>
      <c r="F10">
        <v>18</v>
      </c>
    </row>
    <row r="11" spans="1:6" x14ac:dyDescent="0.2">
      <c r="A11" s="9" t="s">
        <v>2054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9" t="s">
        <v>2055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9" t="s">
        <v>2056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9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9" t="s">
        <v>2058</v>
      </c>
      <c r="C15">
        <v>3</v>
      </c>
      <c r="E15">
        <v>4</v>
      </c>
      <c r="F15">
        <v>7</v>
      </c>
    </row>
    <row r="16" spans="1:6" x14ac:dyDescent="0.2">
      <c r="A16" s="9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9" t="s">
        <v>2060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9" t="s">
        <v>2061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9" t="s">
        <v>2062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9" t="s">
        <v>2063</v>
      </c>
      <c r="C20">
        <v>4</v>
      </c>
      <c r="E20">
        <v>4</v>
      </c>
      <c r="F20">
        <v>8</v>
      </c>
    </row>
    <row r="21" spans="1:6" x14ac:dyDescent="0.2">
      <c r="A21" s="9" t="s">
        <v>2064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9" t="s">
        <v>2065</v>
      </c>
      <c r="C22">
        <v>9</v>
      </c>
      <c r="E22">
        <v>5</v>
      </c>
      <c r="F22">
        <v>14</v>
      </c>
    </row>
    <row r="23" spans="1:6" x14ac:dyDescent="0.2">
      <c r="A23" s="9" t="s">
        <v>2066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9" t="s">
        <v>2067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9" t="s">
        <v>2068</v>
      </c>
      <c r="C25">
        <v>7</v>
      </c>
      <c r="E25">
        <v>14</v>
      </c>
      <c r="F25">
        <v>21</v>
      </c>
    </row>
    <row r="26" spans="1:6" x14ac:dyDescent="0.2">
      <c r="A26" s="9" t="s">
        <v>2069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9" t="s">
        <v>2070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9" t="s">
        <v>2071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9" t="s">
        <v>2072</v>
      </c>
      <c r="E29">
        <v>3</v>
      </c>
      <c r="F29">
        <v>3</v>
      </c>
    </row>
    <row r="30" spans="1:6" ht="15" customHeight="1" x14ac:dyDescent="0.2">
      <c r="A30" s="9" t="s">
        <v>2035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D6969-A688-4544-B1C0-D6B047B6017D}">
  <sheetPr codeName="Sheet3"/>
  <dimension ref="A1:E18"/>
  <sheetViews>
    <sheetView workbookViewId="0">
      <selection activeCell="J21" sqref="J21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7" width="17.6640625" bestFit="1" customWidth="1"/>
    <col min="8" max="8" width="15.6640625" bestFit="1" customWidth="1"/>
    <col min="9" max="9" width="17.6640625" bestFit="1" customWidth="1"/>
    <col min="10" max="10" width="20.5" bestFit="1" customWidth="1"/>
    <col min="11" max="11" width="22.5" bestFit="1" customWidth="1"/>
  </cols>
  <sheetData>
    <row r="1" spans="1:5" x14ac:dyDescent="0.2">
      <c r="A1" s="8" t="s">
        <v>2031</v>
      </c>
      <c r="B1" t="s">
        <v>2037</v>
      </c>
    </row>
    <row r="2" spans="1:5" x14ac:dyDescent="0.2">
      <c r="A2" s="8" t="s">
        <v>2107</v>
      </c>
      <c r="B2" t="s">
        <v>2037</v>
      </c>
    </row>
    <row r="4" spans="1:5" x14ac:dyDescent="0.2">
      <c r="A4" s="8" t="s">
        <v>2033</v>
      </c>
      <c r="B4" s="8" t="s">
        <v>2038</v>
      </c>
    </row>
    <row r="5" spans="1:5" x14ac:dyDescent="0.2">
      <c r="A5" s="8" t="s">
        <v>2034</v>
      </c>
      <c r="B5" t="s">
        <v>74</v>
      </c>
      <c r="C5" t="s">
        <v>14</v>
      </c>
      <c r="D5" t="s">
        <v>20</v>
      </c>
      <c r="E5" t="s">
        <v>2035</v>
      </c>
    </row>
    <row r="6" spans="1:5" x14ac:dyDescent="0.2">
      <c r="A6" s="12" t="s">
        <v>2095</v>
      </c>
      <c r="B6">
        <v>6</v>
      </c>
      <c r="C6">
        <v>36</v>
      </c>
      <c r="D6">
        <v>49</v>
      </c>
      <c r="E6">
        <v>91</v>
      </c>
    </row>
    <row r="7" spans="1:5" x14ac:dyDescent="0.2">
      <c r="A7" s="12" t="s">
        <v>2096</v>
      </c>
      <c r="B7">
        <v>7</v>
      </c>
      <c r="C7">
        <v>28</v>
      </c>
      <c r="D7">
        <v>44</v>
      </c>
      <c r="E7">
        <v>79</v>
      </c>
    </row>
    <row r="8" spans="1:5" x14ac:dyDescent="0.2">
      <c r="A8" s="12" t="s">
        <v>2097</v>
      </c>
      <c r="B8">
        <v>4</v>
      </c>
      <c r="C8">
        <v>33</v>
      </c>
      <c r="D8">
        <v>49</v>
      </c>
      <c r="E8">
        <v>86</v>
      </c>
    </row>
    <row r="9" spans="1:5" x14ac:dyDescent="0.2">
      <c r="A9" s="12" t="s">
        <v>2098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12" t="s">
        <v>2099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12" t="s">
        <v>2100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12" t="s">
        <v>2101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12" t="s">
        <v>2102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12" t="s">
        <v>2103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12" t="s">
        <v>2104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12" t="s">
        <v>2105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12" t="s">
        <v>2106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12" t="s">
        <v>2035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57944-AC57-DD4A-8FF4-7D71B70CCD0A}">
  <sheetPr codeName="Sheet4"/>
  <dimension ref="A1:H13"/>
  <sheetViews>
    <sheetView zoomScale="110" zoomScaleNormal="110" workbookViewId="0">
      <selection activeCell="K12" sqref="K12"/>
    </sheetView>
  </sheetViews>
  <sheetFormatPr baseColWidth="10" defaultRowHeight="16" x14ac:dyDescent="0.2"/>
  <cols>
    <col min="1" max="1" width="17.5" customWidth="1"/>
    <col min="2" max="2" width="15.83203125" customWidth="1"/>
    <col min="3" max="3" width="12" customWidth="1"/>
    <col min="4" max="4" width="15.1640625" customWidth="1"/>
    <col min="5" max="5" width="13.1640625" customWidth="1"/>
    <col min="6" max="6" width="13.83203125" customWidth="1"/>
    <col min="7" max="7" width="15.1640625" customWidth="1"/>
    <col min="8" max="8" width="15.33203125" customWidth="1"/>
  </cols>
  <sheetData>
    <row r="1" spans="1:8" ht="34" x14ac:dyDescent="0.2">
      <c r="A1" s="13" t="s">
        <v>2075</v>
      </c>
      <c r="B1" s="14" t="s">
        <v>2088</v>
      </c>
      <c r="C1" s="14" t="s">
        <v>2089</v>
      </c>
      <c r="D1" s="14" t="s">
        <v>2090</v>
      </c>
      <c r="E1" s="14" t="s">
        <v>2091</v>
      </c>
      <c r="F1" s="14" t="s">
        <v>2092</v>
      </c>
      <c r="G1" s="14" t="s">
        <v>2093</v>
      </c>
      <c r="H1" s="14" t="s">
        <v>2094</v>
      </c>
    </row>
    <row r="2" spans="1:8" x14ac:dyDescent="0.2">
      <c r="A2" t="s">
        <v>2087</v>
      </c>
      <c r="B2">
        <f>COUNTIFS(Crowdfunding!$D$2:$D$1001,"&lt;1000",Crowdfunding!$G$2:$G$1001,"Successful")</f>
        <v>30</v>
      </c>
      <c r="C2">
        <f>COUNTIFS(Crowdfunding!D2:D1001,"&lt;1000",Crowdfunding!G2:G1001,"Failed")</f>
        <v>20</v>
      </c>
      <c r="D2">
        <f>COUNTIFS(Crowdfunding!$D2:$D1001,"&lt;1000",Crowdfunding!$G2:$G1001,"Canceled")</f>
        <v>1</v>
      </c>
      <c r="E2">
        <f>SUM(B2:D2)</f>
        <v>51</v>
      </c>
      <c r="F2" s="15">
        <f>B2/E2</f>
        <v>0.58823529411764708</v>
      </c>
      <c r="G2" s="15">
        <f>C2/E2</f>
        <v>0.39215686274509803</v>
      </c>
      <c r="H2" s="15">
        <f>D2/E2</f>
        <v>1.9607843137254902E-2</v>
      </c>
    </row>
    <row r="3" spans="1:8" x14ac:dyDescent="0.2">
      <c r="A3" t="s">
        <v>2076</v>
      </c>
      <c r="B3">
        <f>COUNTIFS(Crowdfunding!$D$2:$D$1001,"&gt;=1000",Crowdfunding!$D$2:$D$1001,"&lt;=4999",Crowdfunding!$G$2:$G$1001,"Successful")</f>
        <v>191</v>
      </c>
      <c r="C3">
        <f>COUNTIFS(Crowdfunding!$D$2:$D$1001,"&gt;=1000",Crowdfunding!$D$2:$D$1001,"&lt;4999",Crowdfunding!$G$2:$G$1001,"Failed")</f>
        <v>38</v>
      </c>
      <c r="D3">
        <f>COUNTIFS(Crowdfunding!$D$2:$D$1001,"&gt;=1000",Crowdfunding!$D$2:$D$1001,"&lt;4999",Crowdfunding!$G$2:$G$1001,"Canceled")</f>
        <v>2</v>
      </c>
      <c r="E3">
        <f t="shared" ref="E3:E13" si="0">SUM(B3:D3)</f>
        <v>231</v>
      </c>
      <c r="F3" s="15">
        <f t="shared" ref="F3:F13" si="1">B3/E3</f>
        <v>0.82683982683982682</v>
      </c>
      <c r="G3" s="15">
        <f t="shared" ref="G3:G13" si="2">C3/E3</f>
        <v>0.16450216450216451</v>
      </c>
      <c r="H3" s="15">
        <f t="shared" ref="H3:H13" si="3">D3/E3</f>
        <v>8.658008658008658E-3</v>
      </c>
    </row>
    <row r="4" spans="1:8" x14ac:dyDescent="0.2">
      <c r="A4" t="s">
        <v>2077</v>
      </c>
      <c r="B4">
        <f>COUNTIFS(Crowdfunding!$D$2:$D$1001,"&gt;=5000",Crowdfunding!$D$2:$D$1001,"&lt;=9999",Crowdfunding!$G$2:$G$1001,"Successful")</f>
        <v>164</v>
      </c>
      <c r="C4">
        <f>COUNTIFS(Crowdfunding!$D$2:$D$1001,"&gt;=5000",Crowdfunding!$D$2:$D$1001,"&lt;9999",Crowdfunding!$G$2:$G$1001,"Failed")</f>
        <v>126</v>
      </c>
      <c r="D4">
        <f>COUNTIFS(Crowdfunding!$D$2:$D$1001,"&gt;=5000",Crowdfunding!$D$2:$D$1001,"&lt;9999",Crowdfunding!$G$2:$G$1001,"Canceled")</f>
        <v>25</v>
      </c>
      <c r="E4">
        <f t="shared" si="0"/>
        <v>315</v>
      </c>
      <c r="F4" s="15">
        <f t="shared" si="1"/>
        <v>0.52063492063492067</v>
      </c>
      <c r="G4" s="15">
        <f t="shared" si="2"/>
        <v>0.4</v>
      </c>
      <c r="H4" s="15">
        <f t="shared" si="3"/>
        <v>7.9365079365079361E-2</v>
      </c>
    </row>
    <row r="5" spans="1:8" x14ac:dyDescent="0.2">
      <c r="A5" t="s">
        <v>2078</v>
      </c>
      <c r="B5">
        <f>COUNTIFS(Crowdfunding!$D$2:$D$1001,"&gt;=10000",Crowdfunding!$D$2:$D$1001,"&lt;=14999",Crowdfunding!$G$2:$G$1001,"Successful")</f>
        <v>4</v>
      </c>
      <c r="C5">
        <f>COUNTIFS(Crowdfunding!$D$2:$D$1001,"&gt;=10000",Crowdfunding!$D$2:$D$1001,"&lt;14999",Crowdfunding!$G$2:$G$1001,"Failed")</f>
        <v>5</v>
      </c>
      <c r="D5">
        <f>COUNTIFS(Crowdfunding!$D$2:$D$1001,"&gt;=10000",Crowdfunding!$D$2:$D$1001,"&lt;14999",Crowdfunding!$G$2:$G$1001,"Canceled")</f>
        <v>0</v>
      </c>
      <c r="E5">
        <f t="shared" si="0"/>
        <v>9</v>
      </c>
      <c r="F5" s="15">
        <f t="shared" si="1"/>
        <v>0.44444444444444442</v>
      </c>
      <c r="G5" s="15">
        <f t="shared" si="2"/>
        <v>0.55555555555555558</v>
      </c>
      <c r="H5" s="15">
        <f t="shared" si="3"/>
        <v>0</v>
      </c>
    </row>
    <row r="6" spans="1:8" x14ac:dyDescent="0.2">
      <c r="A6" t="s">
        <v>2079</v>
      </c>
      <c r="B6">
        <f>COUNTIFS(Crowdfunding!$D$2:$D$1001,"&gt;=15000",Crowdfunding!$D$2:$D$1001,"&lt;=19999",Crowdfunding!$G$2:$G$1001,"Successful")</f>
        <v>10</v>
      </c>
      <c r="C6">
        <f>COUNTIFS(Crowdfunding!$D$2:$D$1001,"&gt;=15000",Crowdfunding!$D$2:$D$1001,"&lt;19999",Crowdfunding!$G$2:$G$1001,"Failed")</f>
        <v>0</v>
      </c>
      <c r="D6">
        <f>COUNTIFS(Crowdfunding!$D$2:$D$1001,"&gt;=15000",Crowdfunding!$D$2:$D$1001,"&lt;19999",Crowdfunding!$G$2:$G$1001,"Canceled")</f>
        <v>0</v>
      </c>
      <c r="E6">
        <f t="shared" si="0"/>
        <v>10</v>
      </c>
      <c r="F6" s="15">
        <f t="shared" si="1"/>
        <v>1</v>
      </c>
      <c r="G6" s="15">
        <f t="shared" si="2"/>
        <v>0</v>
      </c>
      <c r="H6" s="15">
        <f t="shared" si="3"/>
        <v>0</v>
      </c>
    </row>
    <row r="7" spans="1:8" x14ac:dyDescent="0.2">
      <c r="A7" t="s">
        <v>2080</v>
      </c>
      <c r="B7">
        <f>COUNTIFS(Crowdfunding!$D$2:$D$1001,"&gt;=20000",Crowdfunding!$D$2:$D$1001,"&lt;=24999",Crowdfunding!$G$2:$G$1001,"Successful")</f>
        <v>7</v>
      </c>
      <c r="C7">
        <f>COUNTIFS(Crowdfunding!$D$2:$D$1001,"&gt;=20000",Crowdfunding!$D$2:$D$1001,"&lt;24999",Crowdfunding!$G$2:$G$1001,"Failed")</f>
        <v>0</v>
      </c>
      <c r="D7">
        <f>COUNTIFS(Crowdfunding!$D$2:$D$1001,"&gt;=20000",Crowdfunding!$D$2:$D$1001,"&lt;24999",Crowdfunding!$G$2:$G$1001,"Canceled")</f>
        <v>0</v>
      </c>
      <c r="E7">
        <f t="shared" si="0"/>
        <v>7</v>
      </c>
      <c r="F7" s="15">
        <f t="shared" si="1"/>
        <v>1</v>
      </c>
      <c r="G7" s="15">
        <f t="shared" si="2"/>
        <v>0</v>
      </c>
      <c r="H7" s="15">
        <f t="shared" si="3"/>
        <v>0</v>
      </c>
    </row>
    <row r="8" spans="1:8" x14ac:dyDescent="0.2">
      <c r="A8" t="s">
        <v>2081</v>
      </c>
      <c r="B8">
        <f>COUNTIFS(Crowdfunding!$D$2:$D$1001,"&gt;=25000",Crowdfunding!$D$2:$D$1001,"&lt;=29999",Crowdfunding!$G$2:$G$1001,"Successful")</f>
        <v>11</v>
      </c>
      <c r="C8">
        <f>COUNTIFS(Crowdfunding!$D$2:$D$1001,"&gt;=25000",Crowdfunding!$D$2:$D$1001,"&lt;29999",Crowdfunding!$G$2:$G$1001,"Failed")</f>
        <v>3</v>
      </c>
      <c r="D8">
        <f>COUNTIFS(Crowdfunding!$D$2:$D$1001,"&gt;=25000",Crowdfunding!$D$2:$D$1001,"&lt;29999",Crowdfunding!$G$2:$G$1001,"Canceled")</f>
        <v>0</v>
      </c>
      <c r="E8">
        <f t="shared" si="0"/>
        <v>14</v>
      </c>
      <c r="F8" s="15">
        <f t="shared" si="1"/>
        <v>0.7857142857142857</v>
      </c>
      <c r="G8" s="15">
        <f t="shared" si="2"/>
        <v>0.21428571428571427</v>
      </c>
      <c r="H8" s="15">
        <f t="shared" si="3"/>
        <v>0</v>
      </c>
    </row>
    <row r="9" spans="1:8" x14ac:dyDescent="0.2">
      <c r="A9" t="s">
        <v>2082</v>
      </c>
      <c r="B9">
        <f>COUNTIFS(Crowdfunding!$D$2:$D$1001,"&gt;=30000",Crowdfunding!$D$2:$D$1001,"&lt;=34999",Crowdfunding!$G$2:$G$1001,"Successful")</f>
        <v>7</v>
      </c>
      <c r="C9">
        <f>COUNTIFS(Crowdfunding!$D$2:$D$1001,"&gt;=30000",Crowdfunding!$D$2:$D$1001,"&lt;34999",Crowdfunding!$G$2:$G$1001,"Failed")</f>
        <v>0</v>
      </c>
      <c r="D9">
        <f>COUNTIFS(Crowdfunding!$D$2:$D$1001,"&gt;=30000",Crowdfunding!$D$2:$D$1001,"&lt;34999",Crowdfunding!$G$2:$G$1001,"Canceled")</f>
        <v>0</v>
      </c>
      <c r="E9">
        <f t="shared" si="0"/>
        <v>7</v>
      </c>
      <c r="F9" s="15">
        <f t="shared" si="1"/>
        <v>1</v>
      </c>
      <c r="G9" s="15">
        <f t="shared" si="2"/>
        <v>0</v>
      </c>
      <c r="H9" s="15">
        <f t="shared" si="3"/>
        <v>0</v>
      </c>
    </row>
    <row r="10" spans="1:8" x14ac:dyDescent="0.2">
      <c r="A10" t="s">
        <v>2083</v>
      </c>
      <c r="B10">
        <f>COUNTIFS(Crowdfunding!$D$2:$D$1001,"&gt;=35000",Crowdfunding!$D$2:$D$1001,"&lt;=39999",Crowdfunding!$G$2:$G$1001,"Successful")</f>
        <v>8</v>
      </c>
      <c r="C10">
        <f>COUNTIFS(Crowdfunding!$D$2:$D$1001,"&gt;=35000",Crowdfunding!$D$2:$D$1001,"&lt;39999",Crowdfunding!$G$2:$G$1001,"Failed")</f>
        <v>3</v>
      </c>
      <c r="D10">
        <f>COUNTIFS(Crowdfunding!$D$2:$D$1001,"&gt;=35000",Crowdfunding!$D$2:$D$1001,"&lt;39999",Crowdfunding!$G$2:$G$1001,"Canceled")</f>
        <v>1</v>
      </c>
      <c r="E10">
        <f t="shared" si="0"/>
        <v>12</v>
      </c>
      <c r="F10" s="15">
        <f t="shared" si="1"/>
        <v>0.66666666666666663</v>
      </c>
      <c r="G10" s="15">
        <f t="shared" si="2"/>
        <v>0.25</v>
      </c>
      <c r="H10" s="15">
        <f t="shared" si="3"/>
        <v>8.3333333333333329E-2</v>
      </c>
    </row>
    <row r="11" spans="1:8" x14ac:dyDescent="0.2">
      <c r="A11" t="s">
        <v>2084</v>
      </c>
      <c r="B11">
        <f>COUNTIFS(Crowdfunding!$D$2:$D$1001,"&gt;=40000",Crowdfunding!$D$2:$D$1001,"&lt;=44999",Crowdfunding!$G$2:$G$1001,"Successful")</f>
        <v>11</v>
      </c>
      <c r="C11">
        <f>COUNTIFS(Crowdfunding!$D$2:$D$1001,"&gt;=40000",Crowdfunding!$D$2:$D$1001,"&lt;44999",Crowdfunding!$G$2:$G$1001,"Failed")</f>
        <v>3</v>
      </c>
      <c r="D11">
        <f>COUNTIFS(Crowdfunding!$D$2:$D$1001,"&gt;=40000",Crowdfunding!$D$2:$D$1001,"&lt;44999",Crowdfunding!$G$2:$G$1001,"Canceled")</f>
        <v>0</v>
      </c>
      <c r="E11">
        <f t="shared" si="0"/>
        <v>14</v>
      </c>
      <c r="F11" s="15">
        <f t="shared" si="1"/>
        <v>0.7857142857142857</v>
      </c>
      <c r="G11" s="15">
        <f t="shared" si="2"/>
        <v>0.21428571428571427</v>
      </c>
      <c r="H11" s="15">
        <f t="shared" si="3"/>
        <v>0</v>
      </c>
    </row>
    <row r="12" spans="1:8" x14ac:dyDescent="0.2">
      <c r="A12" t="s">
        <v>2085</v>
      </c>
      <c r="B12">
        <f>COUNTIFS(Crowdfunding!$D$2:$D$1001,"&gt;=45000",Crowdfunding!$D$2:$D$1001,"&lt;=49999",Crowdfunding!$G$2:$G$1001,"Successful")</f>
        <v>8</v>
      </c>
      <c r="C12">
        <f>COUNTIFS(Crowdfunding!$D$2:$D$1001,"&gt;=45000",Crowdfunding!$D$2:$D$1001,"&lt;49999",Crowdfunding!$G$2:$G$1001,"Failed")</f>
        <v>3</v>
      </c>
      <c r="D12">
        <f>COUNTIFS(Crowdfunding!$D$2:$D$1001,"&gt;=45000",Crowdfunding!$D$2:$D$1001,"&lt;49999",Crowdfunding!$G$2:$G$1001,"Canceled")</f>
        <v>0</v>
      </c>
      <c r="E12">
        <f t="shared" si="0"/>
        <v>11</v>
      </c>
      <c r="F12" s="15">
        <f t="shared" si="1"/>
        <v>0.72727272727272729</v>
      </c>
      <c r="G12" s="15">
        <f t="shared" si="2"/>
        <v>0.27272727272727271</v>
      </c>
      <c r="H12" s="15">
        <f t="shared" si="3"/>
        <v>0</v>
      </c>
    </row>
    <row r="13" spans="1:8" x14ac:dyDescent="0.2">
      <c r="A13" t="s">
        <v>2086</v>
      </c>
      <c r="B13">
        <f>COUNTIFS(Crowdfunding!$D$2:$D$1001,"&gt;=50000",Crowdfunding!$G$2:$G$1001,"Successful")</f>
        <v>114</v>
      </c>
      <c r="C13">
        <f>COUNTIFS(Crowdfunding!$D$2:$D$1001,"&gt;=50000",Crowdfunding!$G$2:$G$1001,"Failed")</f>
        <v>163</v>
      </c>
      <c r="D13">
        <f>COUNTIFS(Crowdfunding!$D$2:$D$1001,"&gt;=50000",Crowdfunding!$G$2:$G$1001,"Canceled")</f>
        <v>28</v>
      </c>
      <c r="E13">
        <f t="shared" si="0"/>
        <v>305</v>
      </c>
      <c r="F13" s="15">
        <f t="shared" si="1"/>
        <v>0.3737704918032787</v>
      </c>
      <c r="G13" s="15">
        <f t="shared" si="2"/>
        <v>0.53442622950819674</v>
      </c>
      <c r="H13" s="15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83994-8060-374E-8BD2-786954BEA3EC}">
  <dimension ref="A1:K566"/>
  <sheetViews>
    <sheetView zoomScale="110" zoomScaleNormal="110" workbookViewId="0">
      <selection activeCell="L18" sqref="L18"/>
    </sheetView>
  </sheetViews>
  <sheetFormatPr baseColWidth="10" defaultRowHeight="16" x14ac:dyDescent="0.2"/>
  <cols>
    <col min="2" max="2" width="12.83203125" customWidth="1"/>
    <col min="5" max="5" width="13" customWidth="1"/>
  </cols>
  <sheetData>
    <row r="1" spans="1:11" x14ac:dyDescent="0.2">
      <c r="A1" s="13" t="s">
        <v>4</v>
      </c>
      <c r="B1" s="13" t="s">
        <v>5</v>
      </c>
      <c r="C1" s="13"/>
      <c r="D1" s="13" t="s">
        <v>4</v>
      </c>
      <c r="E1" s="13" t="s">
        <v>5</v>
      </c>
    </row>
    <row r="2" spans="1:11" x14ac:dyDescent="0.2">
      <c r="A2" t="s">
        <v>20</v>
      </c>
      <c r="B2">
        <v>158</v>
      </c>
      <c r="D2" t="s">
        <v>14</v>
      </c>
      <c r="E2">
        <v>0</v>
      </c>
    </row>
    <row r="3" spans="1:11" x14ac:dyDescent="0.2">
      <c r="A3" t="s">
        <v>20</v>
      </c>
      <c r="B3">
        <v>1425</v>
      </c>
      <c r="D3" t="s">
        <v>14</v>
      </c>
      <c r="E3">
        <v>24</v>
      </c>
      <c r="I3" s="13" t="s">
        <v>2108</v>
      </c>
      <c r="J3" s="13"/>
      <c r="K3" s="13" t="s">
        <v>2109</v>
      </c>
    </row>
    <row r="4" spans="1:11" x14ac:dyDescent="0.2">
      <c r="A4" t="s">
        <v>20</v>
      </c>
      <c r="B4">
        <v>174</v>
      </c>
      <c r="D4" t="s">
        <v>14</v>
      </c>
      <c r="E4">
        <v>53</v>
      </c>
      <c r="H4" s="13" t="s">
        <v>2110</v>
      </c>
      <c r="I4" s="5">
        <f>AVERAGE(B2:B566)</f>
        <v>851.14690265486729</v>
      </c>
      <c r="J4" s="5"/>
      <c r="K4" s="5">
        <f>AVERAGE(E2:E566)</f>
        <v>585.61538461538464</v>
      </c>
    </row>
    <row r="5" spans="1:11" x14ac:dyDescent="0.2">
      <c r="A5" t="s">
        <v>20</v>
      </c>
      <c r="B5">
        <v>227</v>
      </c>
      <c r="D5" t="s">
        <v>14</v>
      </c>
      <c r="E5">
        <v>18</v>
      </c>
      <c r="H5" s="13" t="s">
        <v>2111</v>
      </c>
      <c r="I5" s="5">
        <f>MEDIAN(B2:B566)</f>
        <v>201</v>
      </c>
      <c r="J5" s="5"/>
      <c r="K5" s="5">
        <f>MEDIAN(E2:E566)</f>
        <v>114.5</v>
      </c>
    </row>
    <row r="6" spans="1:11" x14ac:dyDescent="0.2">
      <c r="A6" t="s">
        <v>20</v>
      </c>
      <c r="B6">
        <v>220</v>
      </c>
      <c r="D6" t="s">
        <v>14</v>
      </c>
      <c r="E6">
        <v>44</v>
      </c>
      <c r="H6" s="13" t="s">
        <v>2112</v>
      </c>
      <c r="I6" s="5">
        <f>MIN(B2:B566)</f>
        <v>16</v>
      </c>
      <c r="J6" s="5"/>
      <c r="K6" s="5">
        <f>MIN(E2:E566)</f>
        <v>0</v>
      </c>
    </row>
    <row r="7" spans="1:11" x14ac:dyDescent="0.2">
      <c r="A7" t="s">
        <v>20</v>
      </c>
      <c r="B7">
        <v>98</v>
      </c>
      <c r="D7" t="s">
        <v>14</v>
      </c>
      <c r="E7">
        <v>27</v>
      </c>
      <c r="H7" s="13" t="s">
        <v>2113</v>
      </c>
      <c r="I7" s="5">
        <f>MAX(B2:B566)</f>
        <v>7295</v>
      </c>
      <c r="J7" s="5"/>
      <c r="K7" s="5">
        <f>MAX(E2:E566)</f>
        <v>6080</v>
      </c>
    </row>
    <row r="8" spans="1:11" x14ac:dyDescent="0.2">
      <c r="A8" t="s">
        <v>20</v>
      </c>
      <c r="B8">
        <v>100</v>
      </c>
      <c r="D8" t="s">
        <v>14</v>
      </c>
      <c r="E8">
        <v>55</v>
      </c>
      <c r="H8" s="13" t="s">
        <v>2114</v>
      </c>
      <c r="I8" s="5">
        <f>_xlfn.VAR.P(B2:B566)</f>
        <v>1603373.7324019109</v>
      </c>
      <c r="J8" s="5"/>
      <c r="K8" s="5">
        <f>_xlfn.VAR.P(E2:E566)</f>
        <v>921574.68174133555</v>
      </c>
    </row>
    <row r="9" spans="1:11" x14ac:dyDescent="0.2">
      <c r="A9" t="s">
        <v>20</v>
      </c>
      <c r="B9">
        <v>1249</v>
      </c>
      <c r="D9" t="s">
        <v>14</v>
      </c>
      <c r="E9">
        <v>200</v>
      </c>
      <c r="H9" s="13" t="s">
        <v>2115</v>
      </c>
      <c r="I9" s="5">
        <f>AVERAGE(B2:B566)</f>
        <v>851.14690265486729</v>
      </c>
      <c r="J9" s="5"/>
      <c r="K9" s="5">
        <f>_xlfn.STDEV.P(E2:E566)</f>
        <v>959.98681331637863</v>
      </c>
    </row>
    <row r="10" spans="1:11" x14ac:dyDescent="0.2">
      <c r="A10" t="s">
        <v>20</v>
      </c>
      <c r="B10">
        <v>1396</v>
      </c>
      <c r="D10" t="s">
        <v>14</v>
      </c>
      <c r="E10">
        <v>452</v>
      </c>
    </row>
    <row r="11" spans="1:11" x14ac:dyDescent="0.2">
      <c r="A11" t="s">
        <v>20</v>
      </c>
      <c r="B11">
        <v>890</v>
      </c>
      <c r="D11" t="s">
        <v>14</v>
      </c>
      <c r="E11">
        <v>674</v>
      </c>
    </row>
    <row r="12" spans="1:11" x14ac:dyDescent="0.2">
      <c r="A12" t="s">
        <v>20</v>
      </c>
      <c r="B12">
        <v>142</v>
      </c>
      <c r="D12" t="s">
        <v>14</v>
      </c>
      <c r="E12">
        <v>558</v>
      </c>
      <c r="H12" s="13" t="s">
        <v>2117</v>
      </c>
    </row>
    <row r="13" spans="1:11" x14ac:dyDescent="0.2">
      <c r="A13" t="s">
        <v>20</v>
      </c>
      <c r="B13">
        <v>2673</v>
      </c>
      <c r="D13" t="s">
        <v>14</v>
      </c>
      <c r="E13">
        <v>15</v>
      </c>
      <c r="H13" s="13" t="s">
        <v>2116</v>
      </c>
    </row>
    <row r="14" spans="1:11" x14ac:dyDescent="0.2">
      <c r="A14" t="s">
        <v>20</v>
      </c>
      <c r="B14">
        <v>163</v>
      </c>
      <c r="D14" t="s">
        <v>14</v>
      </c>
      <c r="E14">
        <v>2307</v>
      </c>
    </row>
    <row r="15" spans="1:11" x14ac:dyDescent="0.2">
      <c r="A15" t="s">
        <v>20</v>
      </c>
      <c r="B15">
        <v>2220</v>
      </c>
      <c r="D15" t="s">
        <v>14</v>
      </c>
      <c r="E15">
        <v>88</v>
      </c>
    </row>
    <row r="16" spans="1:11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2:A566">
    <cfRule type="beginsWith" dxfId="14" priority="6" operator="beginsWith" text="canc">
      <formula>LEFT(A2,LEN("canc"))="canc"</formula>
    </cfRule>
    <cfRule type="beginsWith" dxfId="13" priority="7" operator="beginsWith" text="canc">
      <formula>LEFT(A2,LEN("canc"))="canc"</formula>
    </cfRule>
    <cfRule type="beginsWith" dxfId="12" priority="8" operator="beginsWith" text="live">
      <formula>LEFT(A2,LEN("live"))="live"</formula>
    </cfRule>
    <cfRule type="beginsWith" dxfId="11" priority="9" operator="beginsWith" text="succ">
      <formula>LEFT(A2,LEN("succ"))="succ"</formula>
    </cfRule>
    <cfRule type="beginsWith" dxfId="10" priority="10" operator="beginsWith" text="fail">
      <formula>LEFT(A2,LEN("fail"))="fail"</formula>
    </cfRule>
  </conditionalFormatting>
  <conditionalFormatting sqref="D2:D365">
    <cfRule type="beginsWith" dxfId="9" priority="1" operator="beginsWith" text="canc">
      <formula>LEFT(D2,LEN("canc"))="canc"</formula>
    </cfRule>
    <cfRule type="beginsWith" dxfId="8" priority="2" operator="beginsWith" text="canc">
      <formula>LEFT(D2,LEN("canc"))="canc"</formula>
    </cfRule>
    <cfRule type="beginsWith" dxfId="7" priority="3" operator="beginsWith" text="live">
      <formula>LEFT(D2,LEN("live"))="live"</formula>
    </cfRule>
    <cfRule type="beginsWith" dxfId="6" priority="4" operator="beginsWith" text="succ">
      <formula>LEFT(D2,LEN("succ"))="succ"</formula>
    </cfRule>
    <cfRule type="beginsWith" dxfId="5" priority="5" operator="beginsWith" text="fail">
      <formula>LEFT(D2,LEN("fail"))="fail"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W1001"/>
  <sheetViews>
    <sheetView tabSelected="1" zoomScale="120" zoomScaleNormal="120" workbookViewId="0">
      <selection activeCell="C1" sqref="C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0.83203125" style="5"/>
    <col min="8" max="8" width="12.5" style="7" customWidth="1"/>
    <col min="9" max="9" width="13" bestFit="1" customWidth="1"/>
    <col min="12" max="12" width="11.1640625" bestFit="1" customWidth="1"/>
    <col min="13" max="13" width="12.5" customWidth="1"/>
    <col min="14" max="14" width="12.5" style="11" customWidth="1"/>
    <col min="15" max="15" width="12.5" customWidth="1"/>
    <col min="18" max="18" width="28" bestFit="1" customWidth="1"/>
    <col min="19" max="19" width="20.6640625" customWidth="1"/>
    <col min="20" max="20" width="16.5" customWidth="1"/>
  </cols>
  <sheetData>
    <row r="1" spans="1:23" s="1" customFormat="1" ht="34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6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2073</v>
      </c>
      <c r="O1" s="2" t="s">
        <v>2074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3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 t="shared" ref="F2:F65" si="0">E2/D2*100</f>
        <v>0</v>
      </c>
      <c r="G2" t="s">
        <v>14</v>
      </c>
      <c r="H2" s="7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RIGHT(R2,LEN(R2)-LEN(S2)-1)</f>
        <v>food trucks</v>
      </c>
    </row>
    <row r="3" spans="1:23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si="0"/>
        <v>1040</v>
      </c>
      <c r="G3" t="s">
        <v>20</v>
      </c>
      <c r="H3" s="7">
        <f>E3/I3</f>
        <v>92.151898734177209</v>
      </c>
      <c r="I3">
        <v>158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N66" si="1">(((L3/60)/60)/24)+DATE(1970,1,1)</f>
        <v>41870.208333333336</v>
      </c>
      <c r="O3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tr">
        <f>LEFT(R3,FIND("/",R3)-1)</f>
        <v>music</v>
      </c>
      <c r="T3" t="str">
        <f t="shared" ref="T3:T66" si="3">RIGHT(R3,LEN(R3)-LEN(S3)-1)</f>
        <v>rock</v>
      </c>
    </row>
    <row r="4" spans="1:23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 s="7">
        <f t="shared" ref="H4:H67" si="4">E4/I4</f>
        <v>100.01614035087719</v>
      </c>
      <c r="I4">
        <v>1425</v>
      </c>
      <c r="J4" t="s">
        <v>26</v>
      </c>
      <c r="K4" t="s">
        <v>27</v>
      </c>
      <c r="L4">
        <v>1384668000</v>
      </c>
      <c r="M4">
        <v>1384840800</v>
      </c>
      <c r="N4" s="11">
        <f t="shared" si="1"/>
        <v>41595.25</v>
      </c>
      <c r="O4">
        <f t="shared" si="2"/>
        <v>41597.25</v>
      </c>
      <c r="P4" t="b">
        <v>0</v>
      </c>
      <c r="Q4" t="b">
        <v>0</v>
      </c>
      <c r="R4" t="s">
        <v>28</v>
      </c>
      <c r="S4" t="str">
        <f t="shared" ref="S4:S67" si="5">LEFT(R4,FIND("/",R4)-1)</f>
        <v>technology</v>
      </c>
      <c r="T4" t="str">
        <f t="shared" si="3"/>
        <v>web</v>
      </c>
    </row>
    <row r="5" spans="1:23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 s="7">
        <f t="shared" si="4"/>
        <v>103.20833333333333</v>
      </c>
      <c r="I5">
        <v>24</v>
      </c>
      <c r="J5" t="s">
        <v>21</v>
      </c>
      <c r="K5" t="s">
        <v>22</v>
      </c>
      <c r="L5">
        <v>1565499600</v>
      </c>
      <c r="M5">
        <v>1568955600</v>
      </c>
      <c r="N5" s="11">
        <f t="shared" si="1"/>
        <v>43688.208333333328</v>
      </c>
      <c r="O5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5"/>
        <v>music</v>
      </c>
      <c r="T5" t="str">
        <f t="shared" si="3"/>
        <v>rock</v>
      </c>
      <c r="V5" t="s">
        <v>2043</v>
      </c>
      <c r="W5" t="s">
        <v>2064</v>
      </c>
    </row>
    <row r="6" spans="1:23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 s="7">
        <f t="shared" si="4"/>
        <v>99.339622641509436</v>
      </c>
      <c r="I6">
        <v>53</v>
      </c>
      <c r="J6" t="s">
        <v>21</v>
      </c>
      <c r="K6" t="s">
        <v>22</v>
      </c>
      <c r="L6">
        <v>1547964000</v>
      </c>
      <c r="M6">
        <v>1548309600</v>
      </c>
      <c r="N6" s="11">
        <f t="shared" si="1"/>
        <v>43485.25</v>
      </c>
      <c r="O6">
        <f t="shared" si="2"/>
        <v>43489.25</v>
      </c>
      <c r="P6" t="b">
        <v>0</v>
      </c>
      <c r="Q6" t="b">
        <v>0</v>
      </c>
      <c r="R6" t="s">
        <v>33</v>
      </c>
      <c r="S6" t="str">
        <f t="shared" si="5"/>
        <v>theater</v>
      </c>
      <c r="T6" t="str">
        <f t="shared" si="3"/>
        <v>plays</v>
      </c>
    </row>
    <row r="7" spans="1:23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 s="7">
        <f t="shared" si="4"/>
        <v>75.833333333333329</v>
      </c>
      <c r="I7">
        <v>174</v>
      </c>
      <c r="J7" t="s">
        <v>36</v>
      </c>
      <c r="K7" t="s">
        <v>37</v>
      </c>
      <c r="L7">
        <v>1346130000</v>
      </c>
      <c r="M7">
        <v>1347080400</v>
      </c>
      <c r="N7" s="11">
        <f t="shared" si="1"/>
        <v>41149.208333333336</v>
      </c>
      <c r="O7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5"/>
        <v>theater</v>
      </c>
      <c r="T7" t="str">
        <f t="shared" si="3"/>
        <v>plays</v>
      </c>
    </row>
    <row r="8" spans="1:23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 s="7">
        <f t="shared" si="4"/>
        <v>60.555555555555557</v>
      </c>
      <c r="I8">
        <v>18</v>
      </c>
      <c r="J8" t="s">
        <v>40</v>
      </c>
      <c r="K8" t="s">
        <v>41</v>
      </c>
      <c r="L8">
        <v>1505278800</v>
      </c>
      <c r="M8">
        <v>1505365200</v>
      </c>
      <c r="N8" s="11">
        <f t="shared" si="1"/>
        <v>42991.208333333328</v>
      </c>
      <c r="O8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5"/>
        <v>film &amp; video</v>
      </c>
      <c r="T8" t="str">
        <f t="shared" si="3"/>
        <v>documentary</v>
      </c>
    </row>
    <row r="9" spans="1:23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 s="7">
        <f t="shared" si="4"/>
        <v>64.93832599118943</v>
      </c>
      <c r="I9">
        <v>227</v>
      </c>
      <c r="J9" t="s">
        <v>36</v>
      </c>
      <c r="K9" t="s">
        <v>37</v>
      </c>
      <c r="L9">
        <v>1439442000</v>
      </c>
      <c r="M9">
        <v>1439614800</v>
      </c>
      <c r="N9" s="11">
        <f t="shared" si="1"/>
        <v>42229.208333333328</v>
      </c>
      <c r="O9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5"/>
        <v>theater</v>
      </c>
      <c r="T9" t="str">
        <f t="shared" si="3"/>
        <v>plays</v>
      </c>
    </row>
    <row r="10" spans="1:23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 s="7">
        <f t="shared" si="4"/>
        <v>30.997175141242938</v>
      </c>
      <c r="I10">
        <v>708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1"/>
        <v>40399.208333333336</v>
      </c>
      <c r="O10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5"/>
        <v>theater</v>
      </c>
      <c r="T10" t="str">
        <f t="shared" si="3"/>
        <v>plays</v>
      </c>
    </row>
    <row r="11" spans="1:23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 s="7">
        <f t="shared" si="4"/>
        <v>72.909090909090907</v>
      </c>
      <c r="I11">
        <v>44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1"/>
        <v>41536.208333333336</v>
      </c>
      <c r="O11">
        <f t="shared" si="2"/>
        <v>41585.25</v>
      </c>
      <c r="P11" t="b">
        <v>0</v>
      </c>
      <c r="Q11" t="b">
        <v>0</v>
      </c>
      <c r="R11" t="s">
        <v>50</v>
      </c>
      <c r="S11" t="str">
        <f t="shared" si="5"/>
        <v>music</v>
      </c>
      <c r="T11" t="str">
        <f t="shared" si="3"/>
        <v>electric music</v>
      </c>
    </row>
    <row r="12" spans="1:23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 s="7">
        <f t="shared" si="4"/>
        <v>62.9</v>
      </c>
      <c r="I12">
        <v>220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1"/>
        <v>40404.208333333336</v>
      </c>
      <c r="O12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5"/>
        <v>film &amp; video</v>
      </c>
      <c r="T12" t="str">
        <f t="shared" si="3"/>
        <v>drama</v>
      </c>
    </row>
    <row r="13" spans="1:23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 s="7">
        <f t="shared" si="4"/>
        <v>112.22222222222223</v>
      </c>
      <c r="I13">
        <v>27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1"/>
        <v>40442.208333333336</v>
      </c>
      <c r="O13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5"/>
        <v>theater</v>
      </c>
      <c r="T13" t="str">
        <f t="shared" si="3"/>
        <v>plays</v>
      </c>
    </row>
    <row r="14" spans="1:23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 s="7">
        <f t="shared" si="4"/>
        <v>102.34545454545454</v>
      </c>
      <c r="I14">
        <v>55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1"/>
        <v>43760.208333333328</v>
      </c>
      <c r="O14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5"/>
        <v>film &amp; video</v>
      </c>
      <c r="T14" t="str">
        <f t="shared" si="3"/>
        <v>drama</v>
      </c>
    </row>
    <row r="15" spans="1:23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 s="7">
        <f t="shared" si="4"/>
        <v>105.05102040816327</v>
      </c>
      <c r="I15">
        <v>98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1"/>
        <v>42532.208333333328</v>
      </c>
      <c r="O15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5"/>
        <v>music</v>
      </c>
      <c r="T15" t="str">
        <f t="shared" si="3"/>
        <v>indie rock</v>
      </c>
    </row>
    <row r="16" spans="1:23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 s="7">
        <f t="shared" si="4"/>
        <v>94.144999999999996</v>
      </c>
      <c r="I16">
        <v>200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1"/>
        <v>40974.25</v>
      </c>
      <c r="O16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5"/>
        <v>music</v>
      </c>
      <c r="T16" t="str">
        <f t="shared" si="3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 s="7">
        <f t="shared" si="4"/>
        <v>84.986725663716811</v>
      </c>
      <c r="I17">
        <v>452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1"/>
        <v>43809.25</v>
      </c>
      <c r="O17">
        <f t="shared" si="2"/>
        <v>43813.25</v>
      </c>
      <c r="P17" t="b">
        <v>0</v>
      </c>
      <c r="Q17" t="b">
        <v>0</v>
      </c>
      <c r="R17" t="s">
        <v>65</v>
      </c>
      <c r="S17" t="str">
        <f t="shared" si="5"/>
        <v>technology</v>
      </c>
      <c r="T17" t="str">
        <f t="shared" si="3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 s="7">
        <f t="shared" si="4"/>
        <v>110.41</v>
      </c>
      <c r="I18">
        <v>100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1"/>
        <v>41661.25</v>
      </c>
      <c r="O18">
        <f t="shared" si="2"/>
        <v>41683.25</v>
      </c>
      <c r="P18" t="b">
        <v>0</v>
      </c>
      <c r="Q18" t="b">
        <v>0</v>
      </c>
      <c r="R18" t="s">
        <v>68</v>
      </c>
      <c r="S18" t="str">
        <f t="shared" si="5"/>
        <v>publishing</v>
      </c>
      <c r="T18" t="str">
        <f t="shared" si="3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 s="7">
        <f t="shared" si="4"/>
        <v>107.96236989591674</v>
      </c>
      <c r="I19">
        <v>1249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1"/>
        <v>40555.25</v>
      </c>
      <c r="O19">
        <f t="shared" si="2"/>
        <v>40556.25</v>
      </c>
      <c r="P19" t="b">
        <v>0</v>
      </c>
      <c r="Q19" t="b">
        <v>0</v>
      </c>
      <c r="R19" t="s">
        <v>71</v>
      </c>
      <c r="S19" t="str">
        <f t="shared" si="5"/>
        <v>film &amp; video</v>
      </c>
      <c r="T19" t="str">
        <f t="shared" si="3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 s="7">
        <f t="shared" si="4"/>
        <v>45.103703703703701</v>
      </c>
      <c r="I20">
        <v>135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1"/>
        <v>43351.208333333328</v>
      </c>
      <c r="O20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5"/>
        <v>theater</v>
      </c>
      <c r="T20" t="str">
        <f t="shared" si="3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 s="7">
        <f t="shared" si="4"/>
        <v>45.001483679525222</v>
      </c>
      <c r="I21">
        <v>674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1"/>
        <v>43528.25</v>
      </c>
      <c r="O21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5"/>
        <v>theater</v>
      </c>
      <c r="T21" t="str">
        <f t="shared" si="3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 s="7">
        <f t="shared" si="4"/>
        <v>105.97134670487107</v>
      </c>
      <c r="I22">
        <v>1396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1"/>
        <v>41848.208333333336</v>
      </c>
      <c r="O22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5"/>
        <v>film &amp; video</v>
      </c>
      <c r="T22" t="str">
        <f t="shared" si="3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 s="7">
        <f t="shared" si="4"/>
        <v>69.055555555555557</v>
      </c>
      <c r="I23">
        <v>558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1"/>
        <v>40770.208333333336</v>
      </c>
      <c r="O23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5"/>
        <v>theater</v>
      </c>
      <c r="T23" t="str">
        <f t="shared" si="3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 s="7">
        <f t="shared" si="4"/>
        <v>85.044943820224717</v>
      </c>
      <c r="I24">
        <v>890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1"/>
        <v>43193.208333333328</v>
      </c>
      <c r="O24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5"/>
        <v>theater</v>
      </c>
      <c r="T24" t="str">
        <f t="shared" si="3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 s="7">
        <f t="shared" si="4"/>
        <v>105.22535211267606</v>
      </c>
      <c r="I25">
        <v>142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1"/>
        <v>43510.25</v>
      </c>
      <c r="O25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5"/>
        <v>film &amp; video</v>
      </c>
      <c r="T25" t="str">
        <f t="shared" si="3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 s="7">
        <f t="shared" si="4"/>
        <v>39.003741114852225</v>
      </c>
      <c r="I26">
        <v>2673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1"/>
        <v>41811.208333333336</v>
      </c>
      <c r="O26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5"/>
        <v>technology</v>
      </c>
      <c r="T26" t="str">
        <f t="shared" si="3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 s="7">
        <f t="shared" si="4"/>
        <v>73.030674846625772</v>
      </c>
      <c r="I27">
        <v>163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1"/>
        <v>40681.208333333336</v>
      </c>
      <c r="O27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5"/>
        <v>games</v>
      </c>
      <c r="T27" t="str">
        <f t="shared" si="3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 s="7">
        <f t="shared" si="4"/>
        <v>35.009459459459457</v>
      </c>
      <c r="I28">
        <v>1480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1"/>
        <v>43312.208333333328</v>
      </c>
      <c r="O28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5"/>
        <v>theater</v>
      </c>
      <c r="T28" t="str">
        <f t="shared" si="3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 s="7">
        <f t="shared" si="4"/>
        <v>106.6</v>
      </c>
      <c r="I29">
        <v>15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1"/>
        <v>42280.208333333328</v>
      </c>
      <c r="O29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5"/>
        <v>music</v>
      </c>
      <c r="T29" t="str">
        <f t="shared" si="3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 s="7">
        <f t="shared" si="4"/>
        <v>61.997747747747745</v>
      </c>
      <c r="I30">
        <v>2220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1"/>
        <v>40218.25</v>
      </c>
      <c r="O30">
        <f t="shared" si="2"/>
        <v>40241.25</v>
      </c>
      <c r="P30" t="b">
        <v>0</v>
      </c>
      <c r="Q30" t="b">
        <v>1</v>
      </c>
      <c r="R30" t="s">
        <v>33</v>
      </c>
      <c r="S30" t="str">
        <f t="shared" si="5"/>
        <v>theater</v>
      </c>
      <c r="T30" t="str">
        <f t="shared" si="3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 s="7">
        <f t="shared" si="4"/>
        <v>94.000622665006233</v>
      </c>
      <c r="I31">
        <v>1606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1"/>
        <v>43301.208333333328</v>
      </c>
      <c r="O31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5"/>
        <v>film &amp; video</v>
      </c>
      <c r="T31" t="str">
        <f t="shared" si="3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 s="7">
        <f t="shared" si="4"/>
        <v>112.05426356589147</v>
      </c>
      <c r="I32">
        <v>129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1"/>
        <v>43609.208333333328</v>
      </c>
      <c r="O32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5"/>
        <v>film &amp; video</v>
      </c>
      <c r="T32" t="str">
        <f t="shared" si="3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 s="7">
        <f t="shared" si="4"/>
        <v>48.008849557522126</v>
      </c>
      <c r="I33">
        <v>226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1"/>
        <v>42374.25</v>
      </c>
      <c r="O33">
        <f t="shared" si="2"/>
        <v>42402.25</v>
      </c>
      <c r="P33" t="b">
        <v>0</v>
      </c>
      <c r="Q33" t="b">
        <v>0</v>
      </c>
      <c r="R33" t="s">
        <v>89</v>
      </c>
      <c r="S33" t="str">
        <f t="shared" si="5"/>
        <v>games</v>
      </c>
      <c r="T33" t="str">
        <f t="shared" si="3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 s="7">
        <f t="shared" si="4"/>
        <v>38.004334633723452</v>
      </c>
      <c r="I34">
        <v>2307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1"/>
        <v>43110.25</v>
      </c>
      <c r="O34">
        <f t="shared" si="2"/>
        <v>43137.25</v>
      </c>
      <c r="P34" t="b">
        <v>0</v>
      </c>
      <c r="Q34" t="b">
        <v>0</v>
      </c>
      <c r="R34" t="s">
        <v>42</v>
      </c>
      <c r="S34" t="str">
        <f t="shared" si="5"/>
        <v>film &amp; video</v>
      </c>
      <c r="T34" t="str">
        <f t="shared" si="3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 s="7">
        <f t="shared" si="4"/>
        <v>35.000184535892231</v>
      </c>
      <c r="I35">
        <v>5419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1"/>
        <v>41917.208333333336</v>
      </c>
      <c r="O35">
        <f t="shared" si="2"/>
        <v>41954.25</v>
      </c>
      <c r="P35" t="b">
        <v>0</v>
      </c>
      <c r="Q35" t="b">
        <v>0</v>
      </c>
      <c r="R35" t="s">
        <v>33</v>
      </c>
      <c r="S35" t="str">
        <f t="shared" si="5"/>
        <v>theater</v>
      </c>
      <c r="T35" t="str">
        <f t="shared" si="3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 s="7">
        <f t="shared" si="4"/>
        <v>85</v>
      </c>
      <c r="I36">
        <v>165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1"/>
        <v>42817.208333333328</v>
      </c>
      <c r="O36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5"/>
        <v>film &amp; video</v>
      </c>
      <c r="T36" t="str">
        <f t="shared" si="3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 s="7">
        <f t="shared" si="4"/>
        <v>95.993893129770996</v>
      </c>
      <c r="I37">
        <v>1965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1"/>
        <v>43484.25</v>
      </c>
      <c r="O37">
        <f t="shared" si="2"/>
        <v>43526.25</v>
      </c>
      <c r="P37" t="b">
        <v>0</v>
      </c>
      <c r="Q37" t="b">
        <v>1</v>
      </c>
      <c r="R37" t="s">
        <v>53</v>
      </c>
      <c r="S37" t="str">
        <f t="shared" si="5"/>
        <v>film &amp; video</v>
      </c>
      <c r="T37" t="str">
        <f t="shared" si="3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 s="7">
        <f t="shared" si="4"/>
        <v>68.8125</v>
      </c>
      <c r="I38">
        <v>16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1"/>
        <v>40600.25</v>
      </c>
      <c r="O38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5"/>
        <v>theater</v>
      </c>
      <c r="T38" t="str">
        <f t="shared" si="3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 s="7">
        <f t="shared" si="4"/>
        <v>105.97196261682242</v>
      </c>
      <c r="I39">
        <v>107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1"/>
        <v>43744.208333333328</v>
      </c>
      <c r="O39">
        <f t="shared" si="2"/>
        <v>43777.25</v>
      </c>
      <c r="P39" t="b">
        <v>0</v>
      </c>
      <c r="Q39" t="b">
        <v>1</v>
      </c>
      <c r="R39" t="s">
        <v>119</v>
      </c>
      <c r="S39" t="str">
        <f t="shared" si="5"/>
        <v>publishing</v>
      </c>
      <c r="T39" t="str">
        <f t="shared" si="3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 s="7">
        <f t="shared" si="4"/>
        <v>75.261194029850742</v>
      </c>
      <c r="I40">
        <v>134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1"/>
        <v>40469.208333333336</v>
      </c>
      <c r="O40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5"/>
        <v>photography</v>
      </c>
      <c r="T40" t="str">
        <f t="shared" si="3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 s="7">
        <f t="shared" si="4"/>
        <v>57.125</v>
      </c>
      <c r="I41">
        <v>88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1"/>
        <v>41330.25</v>
      </c>
      <c r="O41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5"/>
        <v>theater</v>
      </c>
      <c r="T41" t="str">
        <f t="shared" si="3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 s="7">
        <f t="shared" si="4"/>
        <v>75.141414141414145</v>
      </c>
      <c r="I42">
        <v>198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1"/>
        <v>40334.208333333336</v>
      </c>
      <c r="O42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5"/>
        <v>technology</v>
      </c>
      <c r="T42" t="str">
        <f t="shared" si="3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 s="7">
        <f t="shared" si="4"/>
        <v>107.42342342342343</v>
      </c>
      <c r="I43">
        <v>111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1"/>
        <v>41156.208333333336</v>
      </c>
      <c r="O43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5"/>
        <v>music</v>
      </c>
      <c r="T43" t="str">
        <f t="shared" si="3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 s="7">
        <f t="shared" si="4"/>
        <v>35.995495495495497</v>
      </c>
      <c r="I44">
        <v>222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1"/>
        <v>40728.208333333336</v>
      </c>
      <c r="O44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5"/>
        <v>food</v>
      </c>
      <c r="T44" t="str">
        <f t="shared" si="3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 s="7">
        <f t="shared" si="4"/>
        <v>26.998873148744366</v>
      </c>
      <c r="I45">
        <v>6212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1"/>
        <v>41844.208333333336</v>
      </c>
      <c r="O45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5"/>
        <v>publishing</v>
      </c>
      <c r="T45" t="str">
        <f t="shared" si="3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 s="7">
        <f t="shared" si="4"/>
        <v>107.56122448979592</v>
      </c>
      <c r="I46">
        <v>98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1"/>
        <v>43541.208333333328</v>
      </c>
      <c r="O46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5"/>
        <v>publishing</v>
      </c>
      <c r="T46" t="str">
        <f t="shared" si="3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 s="7">
        <f t="shared" si="4"/>
        <v>94.375</v>
      </c>
      <c r="I47">
        <v>48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1"/>
        <v>42676.208333333328</v>
      </c>
      <c r="O47">
        <f t="shared" si="2"/>
        <v>42691.25</v>
      </c>
      <c r="P47" t="b">
        <v>0</v>
      </c>
      <c r="Q47" t="b">
        <v>1</v>
      </c>
      <c r="R47" t="s">
        <v>33</v>
      </c>
      <c r="S47" t="str">
        <f t="shared" si="5"/>
        <v>theater</v>
      </c>
      <c r="T47" t="str">
        <f t="shared" si="3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 s="7">
        <f t="shared" si="4"/>
        <v>46.163043478260867</v>
      </c>
      <c r="I48">
        <v>92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1"/>
        <v>40367.208333333336</v>
      </c>
      <c r="O48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5"/>
        <v>music</v>
      </c>
      <c r="T48" t="str">
        <f t="shared" si="3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 s="7">
        <f t="shared" si="4"/>
        <v>47.845637583892618</v>
      </c>
      <c r="I49">
        <v>149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1"/>
        <v>41727.208333333336</v>
      </c>
      <c r="O49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5"/>
        <v>theater</v>
      </c>
      <c r="T49" t="str">
        <f t="shared" si="3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 s="7">
        <f t="shared" si="4"/>
        <v>53.007815713698065</v>
      </c>
      <c r="I50">
        <v>2431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1"/>
        <v>42180.208333333328</v>
      </c>
      <c r="O50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5"/>
        <v>theater</v>
      </c>
      <c r="T50" t="str">
        <f t="shared" si="3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 s="7">
        <f t="shared" si="4"/>
        <v>45.059405940594061</v>
      </c>
      <c r="I51">
        <v>303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1"/>
        <v>43758.208333333328</v>
      </c>
      <c r="O51">
        <f t="shared" si="2"/>
        <v>43803.25</v>
      </c>
      <c r="P51" t="b">
        <v>0</v>
      </c>
      <c r="Q51" t="b">
        <v>0</v>
      </c>
      <c r="R51" t="s">
        <v>23</v>
      </c>
      <c r="S51" t="str">
        <f t="shared" si="5"/>
        <v>music</v>
      </c>
      <c r="T51" t="str">
        <f t="shared" si="3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 s="7">
        <f t="shared" si="4"/>
        <v>2</v>
      </c>
      <c r="I52">
        <v>1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1"/>
        <v>41487.208333333336</v>
      </c>
      <c r="O52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5"/>
        <v>music</v>
      </c>
      <c r="T52" t="str">
        <f t="shared" si="3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 s="7">
        <f t="shared" si="4"/>
        <v>99.006816632583508</v>
      </c>
      <c r="I53">
        <v>1467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1"/>
        <v>40995.208333333336</v>
      </c>
      <c r="O53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5"/>
        <v>technology</v>
      </c>
      <c r="T53" t="str">
        <f t="shared" si="3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 s="7">
        <f t="shared" si="4"/>
        <v>32.786666666666669</v>
      </c>
      <c r="I54">
        <v>75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1"/>
        <v>40436.208333333336</v>
      </c>
      <c r="O54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5"/>
        <v>theater</v>
      </c>
      <c r="T54" t="str">
        <f t="shared" si="3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 s="7">
        <f t="shared" si="4"/>
        <v>59.119617224880386</v>
      </c>
      <c r="I55">
        <v>209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1"/>
        <v>41779.208333333336</v>
      </c>
      <c r="O55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5"/>
        <v>film &amp; video</v>
      </c>
      <c r="T55" t="str">
        <f t="shared" si="3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 s="7">
        <f t="shared" si="4"/>
        <v>44.93333333333333</v>
      </c>
      <c r="I56">
        <v>120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1"/>
        <v>43170.25</v>
      </c>
      <c r="O56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5"/>
        <v>technology</v>
      </c>
      <c r="T56" t="str">
        <f t="shared" si="3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 s="7">
        <f t="shared" si="4"/>
        <v>89.664122137404576</v>
      </c>
      <c r="I57">
        <v>131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1"/>
        <v>43311.208333333328</v>
      </c>
      <c r="O57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5"/>
        <v>music</v>
      </c>
      <c r="T57" t="str">
        <f t="shared" si="3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 s="7">
        <f t="shared" si="4"/>
        <v>70.079268292682926</v>
      </c>
      <c r="I58">
        <v>164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1"/>
        <v>42014.25</v>
      </c>
      <c r="O58">
        <f t="shared" si="2"/>
        <v>42021.25</v>
      </c>
      <c r="P58" t="b">
        <v>0</v>
      </c>
      <c r="Q58" t="b">
        <v>0</v>
      </c>
      <c r="R58" t="s">
        <v>65</v>
      </c>
      <c r="S58" t="str">
        <f t="shared" si="5"/>
        <v>technology</v>
      </c>
      <c r="T58" t="str">
        <f t="shared" si="3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 s="7">
        <f t="shared" si="4"/>
        <v>31.059701492537314</v>
      </c>
      <c r="I59">
        <v>201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1"/>
        <v>42979.208333333328</v>
      </c>
      <c r="O59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5"/>
        <v>games</v>
      </c>
      <c r="T59" t="str">
        <f t="shared" si="3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 s="7">
        <f t="shared" si="4"/>
        <v>29.061611374407583</v>
      </c>
      <c r="I60">
        <v>211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1"/>
        <v>42268.208333333328</v>
      </c>
      <c r="O60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5"/>
        <v>theater</v>
      </c>
      <c r="T60" t="str">
        <f t="shared" si="3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 s="7">
        <f t="shared" si="4"/>
        <v>30.0859375</v>
      </c>
      <c r="I61">
        <v>128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1"/>
        <v>42898.208333333328</v>
      </c>
      <c r="O61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5"/>
        <v>theater</v>
      </c>
      <c r="T61" t="str">
        <f t="shared" si="3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 s="7">
        <f t="shared" si="4"/>
        <v>84.998125000000002</v>
      </c>
      <c r="I62">
        <v>1600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1"/>
        <v>41107.208333333336</v>
      </c>
      <c r="O62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5"/>
        <v>theater</v>
      </c>
      <c r="T62" t="str">
        <f t="shared" si="3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 s="7">
        <f t="shared" si="4"/>
        <v>82.001775410563695</v>
      </c>
      <c r="I63">
        <v>2253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1"/>
        <v>40595.25</v>
      </c>
      <c r="O63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5"/>
        <v>theater</v>
      </c>
      <c r="T63" t="str">
        <f t="shared" si="3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 s="7">
        <f t="shared" si="4"/>
        <v>58.040160642570278</v>
      </c>
      <c r="I64">
        <v>249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1"/>
        <v>42160.208333333328</v>
      </c>
      <c r="O64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5"/>
        <v>technology</v>
      </c>
      <c r="T64" t="str">
        <f t="shared" si="3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 s="7">
        <f t="shared" si="4"/>
        <v>111.4</v>
      </c>
      <c r="I65">
        <v>5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1"/>
        <v>42853.208333333328</v>
      </c>
      <c r="O65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5"/>
        <v>theater</v>
      </c>
      <c r="T65" t="str">
        <f t="shared" si="3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ref="F66:F129" si="6">E66/D66*100</f>
        <v>97.642857142857139</v>
      </c>
      <c r="G66" t="s">
        <v>14</v>
      </c>
      <c r="H66" s="7">
        <f t="shared" si="4"/>
        <v>71.94736842105263</v>
      </c>
      <c r="I66">
        <v>38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1"/>
        <v>43283.208333333328</v>
      </c>
      <c r="O66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5"/>
        <v>technology</v>
      </c>
      <c r="T66" t="str">
        <f t="shared" si="3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6"/>
        <v>236.14754098360655</v>
      </c>
      <c r="G67" t="s">
        <v>20</v>
      </c>
      <c r="H67" s="7">
        <f t="shared" si="4"/>
        <v>61.038135593220339</v>
      </c>
      <c r="I67">
        <v>236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N130" si="7">(((L67/60)/60)/24)+DATE(1970,1,1)</f>
        <v>40570.25</v>
      </c>
      <c r="O67">
        <f t="shared" ref="O67:O130" si="8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si="5"/>
        <v>theater</v>
      </c>
      <c r="T67" t="str">
        <f t="shared" ref="T67:T130" si="9">RIGHT(R67,LEN(R67)-LEN(S67)-1)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45.068965517241381</v>
      </c>
      <c r="G68" t="s">
        <v>14</v>
      </c>
      <c r="H68" s="7">
        <f t="shared" ref="H68:H131" si="10">E68/I68</f>
        <v>108.91666666666667</v>
      </c>
      <c r="I68">
        <v>12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7"/>
        <v>42102.208333333328</v>
      </c>
      <c r="O68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ref="S68:S131" si="11">LEFT(R68,FIND("/",R68)-1)</f>
        <v>theater</v>
      </c>
      <c r="T68" t="str">
        <f t="shared" si="9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t="s">
        <v>20</v>
      </c>
      <c r="H69" s="7">
        <f t="shared" si="10"/>
        <v>29.001722017220171</v>
      </c>
      <c r="I69">
        <v>4065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7"/>
        <v>40203.25</v>
      </c>
      <c r="O69">
        <f t="shared" si="8"/>
        <v>40208.25</v>
      </c>
      <c r="P69" t="b">
        <v>0</v>
      </c>
      <c r="Q69" t="b">
        <v>1</v>
      </c>
      <c r="R69" t="s">
        <v>65</v>
      </c>
      <c r="S69" t="str">
        <f t="shared" si="11"/>
        <v>technology</v>
      </c>
      <c r="T69" t="str">
        <f t="shared" si="9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t="s">
        <v>20</v>
      </c>
      <c r="H70" s="7">
        <f t="shared" si="10"/>
        <v>58.975609756097562</v>
      </c>
      <c r="I70">
        <v>246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7"/>
        <v>42943.208333333328</v>
      </c>
      <c r="O70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11"/>
        <v>theater</v>
      </c>
      <c r="T70" t="str">
        <f t="shared" si="9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 s="7">
        <f t="shared" si="10"/>
        <v>111.82352941176471</v>
      </c>
      <c r="I71">
        <v>17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7"/>
        <v>40531.25</v>
      </c>
      <c r="O71">
        <f t="shared" si="8"/>
        <v>40565.25</v>
      </c>
      <c r="P71" t="b">
        <v>0</v>
      </c>
      <c r="Q71" t="b">
        <v>0</v>
      </c>
      <c r="R71" t="s">
        <v>33</v>
      </c>
      <c r="S71" t="str">
        <f t="shared" si="11"/>
        <v>theater</v>
      </c>
      <c r="T71" t="str">
        <f t="shared" si="9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 s="7">
        <f t="shared" si="10"/>
        <v>63.995555555555555</v>
      </c>
      <c r="I72">
        <v>2475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7"/>
        <v>40484.208333333336</v>
      </c>
      <c r="O72">
        <f t="shared" si="8"/>
        <v>40533.25</v>
      </c>
      <c r="P72" t="b">
        <v>0</v>
      </c>
      <c r="Q72" t="b">
        <v>1</v>
      </c>
      <c r="R72" t="s">
        <v>33</v>
      </c>
      <c r="S72" t="str">
        <f t="shared" si="11"/>
        <v>theater</v>
      </c>
      <c r="T72" t="str">
        <f t="shared" si="9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108.06666666666666</v>
      </c>
      <c r="G73" t="s">
        <v>20</v>
      </c>
      <c r="H73" s="7">
        <f t="shared" si="10"/>
        <v>85.315789473684205</v>
      </c>
      <c r="I73">
        <v>76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7"/>
        <v>43799.25</v>
      </c>
      <c r="O73">
        <f t="shared" si="8"/>
        <v>43803.25</v>
      </c>
      <c r="P73" t="b">
        <v>0</v>
      </c>
      <c r="Q73" t="b">
        <v>0</v>
      </c>
      <c r="R73" t="s">
        <v>33</v>
      </c>
      <c r="S73" t="str">
        <f t="shared" si="11"/>
        <v>theater</v>
      </c>
      <c r="T73" t="str">
        <f t="shared" si="9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670.33333333333326</v>
      </c>
      <c r="G74" t="s">
        <v>20</v>
      </c>
      <c r="H74" s="7">
        <f t="shared" si="10"/>
        <v>74.481481481481481</v>
      </c>
      <c r="I74">
        <v>54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7"/>
        <v>42186.208333333328</v>
      </c>
      <c r="O74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11"/>
        <v>film &amp; video</v>
      </c>
      <c r="T74" t="str">
        <f t="shared" si="9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660.92857142857144</v>
      </c>
      <c r="G75" t="s">
        <v>20</v>
      </c>
      <c r="H75" s="7">
        <f t="shared" si="10"/>
        <v>105.14772727272727</v>
      </c>
      <c r="I75">
        <v>88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7"/>
        <v>42701.25</v>
      </c>
      <c r="O75">
        <f t="shared" si="8"/>
        <v>42704.25</v>
      </c>
      <c r="P75" t="b">
        <v>0</v>
      </c>
      <c r="Q75" t="b">
        <v>0</v>
      </c>
      <c r="R75" t="s">
        <v>159</v>
      </c>
      <c r="S75" t="str">
        <f t="shared" si="11"/>
        <v>music</v>
      </c>
      <c r="T75" t="str">
        <f t="shared" si="9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122.46153846153847</v>
      </c>
      <c r="G76" t="s">
        <v>20</v>
      </c>
      <c r="H76" s="7">
        <f t="shared" si="10"/>
        <v>56.188235294117646</v>
      </c>
      <c r="I76">
        <v>85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7"/>
        <v>42456.208333333328</v>
      </c>
      <c r="O76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11"/>
        <v>music</v>
      </c>
      <c r="T76" t="str">
        <f t="shared" si="9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150.57731958762886</v>
      </c>
      <c r="G77" t="s">
        <v>20</v>
      </c>
      <c r="H77" s="7">
        <f t="shared" si="10"/>
        <v>85.917647058823533</v>
      </c>
      <c r="I77">
        <v>170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7"/>
        <v>43296.208333333328</v>
      </c>
      <c r="O77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11"/>
        <v>photography</v>
      </c>
      <c r="T77" t="str">
        <f t="shared" si="9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78.106590724165997</v>
      </c>
      <c r="G78" t="s">
        <v>14</v>
      </c>
      <c r="H78" s="7">
        <f t="shared" si="10"/>
        <v>57.00296912114014</v>
      </c>
      <c r="I78">
        <v>1684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7"/>
        <v>42027.25</v>
      </c>
      <c r="O78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11"/>
        <v>theater</v>
      </c>
      <c r="T78" t="str">
        <f t="shared" si="9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46.94736842105263</v>
      </c>
      <c r="G79" t="s">
        <v>14</v>
      </c>
      <c r="H79" s="7">
        <f t="shared" si="10"/>
        <v>79.642857142857139</v>
      </c>
      <c r="I79">
        <v>56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7"/>
        <v>40448.208333333336</v>
      </c>
      <c r="O79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11"/>
        <v>film &amp; video</v>
      </c>
      <c r="T79" t="str">
        <f t="shared" si="9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300.8</v>
      </c>
      <c r="G80" t="s">
        <v>20</v>
      </c>
      <c r="H80" s="7">
        <f t="shared" si="10"/>
        <v>41.018181818181816</v>
      </c>
      <c r="I80">
        <v>330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7"/>
        <v>43206.208333333328</v>
      </c>
      <c r="O80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11"/>
        <v>publishing</v>
      </c>
      <c r="T80" t="str">
        <f t="shared" si="9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69.598615916955026</v>
      </c>
      <c r="G81" t="s">
        <v>14</v>
      </c>
      <c r="H81" s="7">
        <f t="shared" si="10"/>
        <v>48.004773269689736</v>
      </c>
      <c r="I81">
        <v>838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7"/>
        <v>43267.208333333328</v>
      </c>
      <c r="O81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11"/>
        <v>theater</v>
      </c>
      <c r="T81" t="str">
        <f t="shared" si="9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637.4545454545455</v>
      </c>
      <c r="G82" t="s">
        <v>20</v>
      </c>
      <c r="H82" s="7">
        <f t="shared" si="10"/>
        <v>55.212598425196852</v>
      </c>
      <c r="I82">
        <v>127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7"/>
        <v>42976.208333333328</v>
      </c>
      <c r="O82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11"/>
        <v>games</v>
      </c>
      <c r="T82" t="str">
        <f t="shared" si="9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225.33928571428569</v>
      </c>
      <c r="G83" t="s">
        <v>20</v>
      </c>
      <c r="H83" s="7">
        <f t="shared" si="10"/>
        <v>92.109489051094897</v>
      </c>
      <c r="I83">
        <v>411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7"/>
        <v>43062.25</v>
      </c>
      <c r="O83">
        <f t="shared" si="8"/>
        <v>43087.25</v>
      </c>
      <c r="P83" t="b">
        <v>0</v>
      </c>
      <c r="Q83" t="b">
        <v>0</v>
      </c>
      <c r="R83" t="s">
        <v>23</v>
      </c>
      <c r="S83" t="str">
        <f t="shared" si="11"/>
        <v>music</v>
      </c>
      <c r="T83" t="str">
        <f t="shared" si="9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1497.3000000000002</v>
      </c>
      <c r="G84" t="s">
        <v>20</v>
      </c>
      <c r="H84" s="7">
        <f t="shared" si="10"/>
        <v>83.183333333333337</v>
      </c>
      <c r="I84">
        <v>180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7"/>
        <v>43482.25</v>
      </c>
      <c r="O84">
        <f t="shared" si="8"/>
        <v>43489.25</v>
      </c>
      <c r="P84" t="b">
        <v>0</v>
      </c>
      <c r="Q84" t="b">
        <v>1</v>
      </c>
      <c r="R84" t="s">
        <v>89</v>
      </c>
      <c r="S84" t="str">
        <f t="shared" si="11"/>
        <v>games</v>
      </c>
      <c r="T84" t="str">
        <f t="shared" si="9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37.590225563909776</v>
      </c>
      <c r="G85" t="s">
        <v>14</v>
      </c>
      <c r="H85" s="7">
        <f t="shared" si="10"/>
        <v>39.996000000000002</v>
      </c>
      <c r="I85">
        <v>1000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7"/>
        <v>42579.208333333328</v>
      </c>
      <c r="O85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11"/>
        <v>music</v>
      </c>
      <c r="T85" t="str">
        <f t="shared" si="9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132.36942675159236</v>
      </c>
      <c r="G86" t="s">
        <v>20</v>
      </c>
      <c r="H86" s="7">
        <f t="shared" si="10"/>
        <v>111.1336898395722</v>
      </c>
      <c r="I86">
        <v>374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7"/>
        <v>41118.208333333336</v>
      </c>
      <c r="O86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11"/>
        <v>technology</v>
      </c>
      <c r="T86" t="str">
        <f t="shared" si="9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131.22448979591837</v>
      </c>
      <c r="G87" t="s">
        <v>20</v>
      </c>
      <c r="H87" s="7">
        <f t="shared" si="10"/>
        <v>90.563380281690144</v>
      </c>
      <c r="I87">
        <v>71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7"/>
        <v>40797.208333333336</v>
      </c>
      <c r="O87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11"/>
        <v>music</v>
      </c>
      <c r="T87" t="str">
        <f t="shared" si="9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167.63513513513513</v>
      </c>
      <c r="G88" t="s">
        <v>20</v>
      </c>
      <c r="H88" s="7">
        <f t="shared" si="10"/>
        <v>61.108374384236456</v>
      </c>
      <c r="I88">
        <v>203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7"/>
        <v>42128.208333333328</v>
      </c>
      <c r="O88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11"/>
        <v>theater</v>
      </c>
      <c r="T88" t="str">
        <f t="shared" si="9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61.984886649874063</v>
      </c>
      <c r="G89" t="s">
        <v>14</v>
      </c>
      <c r="H89" s="7">
        <f t="shared" si="10"/>
        <v>83.022941970310384</v>
      </c>
      <c r="I89">
        <v>1482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7"/>
        <v>40610.25</v>
      </c>
      <c r="O89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11"/>
        <v>music</v>
      </c>
      <c r="T89" t="str">
        <f t="shared" si="9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260.75</v>
      </c>
      <c r="G90" t="s">
        <v>20</v>
      </c>
      <c r="H90" s="7">
        <f t="shared" si="10"/>
        <v>110.76106194690266</v>
      </c>
      <c r="I90">
        <v>113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7"/>
        <v>42110.208333333328</v>
      </c>
      <c r="O90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11"/>
        <v>publishing</v>
      </c>
      <c r="T90" t="str">
        <f t="shared" si="9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252.58823529411765</v>
      </c>
      <c r="G91" t="s">
        <v>20</v>
      </c>
      <c r="H91" s="7">
        <f t="shared" si="10"/>
        <v>89.458333333333329</v>
      </c>
      <c r="I91">
        <v>96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7"/>
        <v>40283.208333333336</v>
      </c>
      <c r="O91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11"/>
        <v>theater</v>
      </c>
      <c r="T91" t="str">
        <f t="shared" si="9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78.615384615384613</v>
      </c>
      <c r="G92" t="s">
        <v>14</v>
      </c>
      <c r="H92" s="7">
        <f t="shared" si="10"/>
        <v>57.849056603773583</v>
      </c>
      <c r="I92">
        <v>106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7"/>
        <v>42425.25</v>
      </c>
      <c r="O92">
        <f t="shared" si="8"/>
        <v>42425.25</v>
      </c>
      <c r="P92" t="b">
        <v>0</v>
      </c>
      <c r="Q92" t="b">
        <v>1</v>
      </c>
      <c r="R92" t="s">
        <v>33</v>
      </c>
      <c r="S92" t="str">
        <f t="shared" si="11"/>
        <v>theater</v>
      </c>
      <c r="T92" t="str">
        <f t="shared" si="9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48.404406999351913</v>
      </c>
      <c r="G93" t="s">
        <v>14</v>
      </c>
      <c r="H93" s="7">
        <f t="shared" si="10"/>
        <v>109.99705449189985</v>
      </c>
      <c r="I93">
        <v>679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7"/>
        <v>42588.208333333328</v>
      </c>
      <c r="O93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11"/>
        <v>publishing</v>
      </c>
      <c r="T93" t="str">
        <f t="shared" si="9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258.875</v>
      </c>
      <c r="G94" t="s">
        <v>20</v>
      </c>
      <c r="H94" s="7">
        <f t="shared" si="10"/>
        <v>103.96586345381526</v>
      </c>
      <c r="I94">
        <v>498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7"/>
        <v>40352.208333333336</v>
      </c>
      <c r="O94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11"/>
        <v>games</v>
      </c>
      <c r="T94" t="str">
        <f t="shared" si="9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60.548713235294116</v>
      </c>
      <c r="G95" t="s">
        <v>74</v>
      </c>
      <c r="H95" s="7">
        <f t="shared" si="10"/>
        <v>107.99508196721311</v>
      </c>
      <c r="I95">
        <v>610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7"/>
        <v>41202.208333333336</v>
      </c>
      <c r="O95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11"/>
        <v>theater</v>
      </c>
      <c r="T95" t="str">
        <f t="shared" si="9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303.68965517241378</v>
      </c>
      <c r="G96" t="s">
        <v>20</v>
      </c>
      <c r="H96" s="7">
        <f t="shared" si="10"/>
        <v>48.927777777777777</v>
      </c>
      <c r="I96">
        <v>180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7"/>
        <v>43562.208333333328</v>
      </c>
      <c r="O96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11"/>
        <v>technology</v>
      </c>
      <c r="T96" t="str">
        <f t="shared" si="9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112.99999999999999</v>
      </c>
      <c r="G97" t="s">
        <v>20</v>
      </c>
      <c r="H97" s="7">
        <f t="shared" si="10"/>
        <v>37.666666666666664</v>
      </c>
      <c r="I97">
        <v>27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7"/>
        <v>43752.208333333328</v>
      </c>
      <c r="O97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11"/>
        <v>film &amp; video</v>
      </c>
      <c r="T97" t="str">
        <f t="shared" si="9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217.37876614060258</v>
      </c>
      <c r="G98" t="s">
        <v>20</v>
      </c>
      <c r="H98" s="7">
        <f t="shared" si="10"/>
        <v>64.999141999141997</v>
      </c>
      <c r="I98">
        <v>2331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7"/>
        <v>40612.25</v>
      </c>
      <c r="O98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11"/>
        <v>theater</v>
      </c>
      <c r="T98" t="str">
        <f t="shared" si="9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926.69230769230762</v>
      </c>
      <c r="G99" t="s">
        <v>20</v>
      </c>
      <c r="H99" s="7">
        <f t="shared" si="10"/>
        <v>106.61061946902655</v>
      </c>
      <c r="I99">
        <v>113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7"/>
        <v>42180.208333333328</v>
      </c>
      <c r="O99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11"/>
        <v>food</v>
      </c>
      <c r="T99" t="str">
        <f t="shared" si="9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33.692229038854805</v>
      </c>
      <c r="G100" t="s">
        <v>14</v>
      </c>
      <c r="H100" s="7">
        <f t="shared" si="10"/>
        <v>27.009016393442622</v>
      </c>
      <c r="I100">
        <v>1220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7"/>
        <v>42212.208333333328</v>
      </c>
      <c r="O100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11"/>
        <v>games</v>
      </c>
      <c r="T100" t="str">
        <f t="shared" si="9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196.7236842105263</v>
      </c>
      <c r="G101" t="s">
        <v>20</v>
      </c>
      <c r="H101" s="7">
        <f t="shared" si="10"/>
        <v>91.16463414634147</v>
      </c>
      <c r="I101">
        <v>164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7"/>
        <v>41968.25</v>
      </c>
      <c r="O101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11"/>
        <v>theater</v>
      </c>
      <c r="T101" t="str">
        <f t="shared" si="9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 s="7">
        <f t="shared" si="10"/>
        <v>1</v>
      </c>
      <c r="I102"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7"/>
        <v>40835.208333333336</v>
      </c>
      <c r="O102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11"/>
        <v>theater</v>
      </c>
      <c r="T102" t="str">
        <f t="shared" si="9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1021.4444444444445</v>
      </c>
      <c r="G103" t="s">
        <v>20</v>
      </c>
      <c r="H103" s="7">
        <f t="shared" si="10"/>
        <v>56.054878048780488</v>
      </c>
      <c r="I103">
        <v>164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7"/>
        <v>42056.25</v>
      </c>
      <c r="O103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11"/>
        <v>music</v>
      </c>
      <c r="T103" t="str">
        <f t="shared" si="9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281.67567567567568</v>
      </c>
      <c r="G104" t="s">
        <v>20</v>
      </c>
      <c r="H104" s="7">
        <f t="shared" si="10"/>
        <v>31.017857142857142</v>
      </c>
      <c r="I104">
        <v>336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7"/>
        <v>43234.208333333328</v>
      </c>
      <c r="O104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11"/>
        <v>technology</v>
      </c>
      <c r="T104" t="str">
        <f t="shared" si="9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24.610000000000003</v>
      </c>
      <c r="G105" t="s">
        <v>14</v>
      </c>
      <c r="H105" s="7">
        <f t="shared" si="10"/>
        <v>66.513513513513516</v>
      </c>
      <c r="I105">
        <v>37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7"/>
        <v>40475.208333333336</v>
      </c>
      <c r="O105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11"/>
        <v>music</v>
      </c>
      <c r="T105" t="str">
        <f t="shared" si="9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143.14010067114094</v>
      </c>
      <c r="G106" t="s">
        <v>20</v>
      </c>
      <c r="H106" s="7">
        <f t="shared" si="10"/>
        <v>89.005216484089729</v>
      </c>
      <c r="I106">
        <v>1917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7"/>
        <v>42878.208333333328</v>
      </c>
      <c r="O106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11"/>
        <v>music</v>
      </c>
      <c r="T106" t="str">
        <f t="shared" si="9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144.54411764705884</v>
      </c>
      <c r="G107" t="s">
        <v>20</v>
      </c>
      <c r="H107" s="7">
        <f t="shared" si="10"/>
        <v>103.46315789473684</v>
      </c>
      <c r="I107">
        <v>95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7"/>
        <v>41366.208333333336</v>
      </c>
      <c r="O107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11"/>
        <v>technology</v>
      </c>
      <c r="T107" t="str">
        <f t="shared" si="9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359.12820512820514</v>
      </c>
      <c r="G108" t="s">
        <v>20</v>
      </c>
      <c r="H108" s="7">
        <f t="shared" si="10"/>
        <v>95.278911564625844</v>
      </c>
      <c r="I108">
        <v>147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7"/>
        <v>43716.208333333328</v>
      </c>
      <c r="O108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11"/>
        <v>theater</v>
      </c>
      <c r="T108" t="str">
        <f t="shared" si="9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186.48571428571427</v>
      </c>
      <c r="G109" t="s">
        <v>20</v>
      </c>
      <c r="H109" s="7">
        <f t="shared" si="10"/>
        <v>75.895348837209298</v>
      </c>
      <c r="I109">
        <v>86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7"/>
        <v>43213.208333333328</v>
      </c>
      <c r="O109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11"/>
        <v>theater</v>
      </c>
      <c r="T109" t="str">
        <f t="shared" si="9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595.26666666666665</v>
      </c>
      <c r="G110" t="s">
        <v>20</v>
      </c>
      <c r="H110" s="7">
        <f t="shared" si="10"/>
        <v>107.57831325301204</v>
      </c>
      <c r="I110">
        <v>83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7"/>
        <v>41005.208333333336</v>
      </c>
      <c r="O110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11"/>
        <v>film &amp; video</v>
      </c>
      <c r="T110" t="str">
        <f t="shared" si="9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59.21153846153846</v>
      </c>
      <c r="G111" t="s">
        <v>14</v>
      </c>
      <c r="H111" s="7">
        <f t="shared" si="10"/>
        <v>51.31666666666667</v>
      </c>
      <c r="I111">
        <v>60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7"/>
        <v>41651.25</v>
      </c>
      <c r="O111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11"/>
        <v>film &amp; video</v>
      </c>
      <c r="T111" t="str">
        <f t="shared" si="9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14.962780898876405</v>
      </c>
      <c r="G112" t="s">
        <v>14</v>
      </c>
      <c r="H112" s="7">
        <f t="shared" si="10"/>
        <v>71.983108108108112</v>
      </c>
      <c r="I112">
        <v>296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7"/>
        <v>43354.208333333328</v>
      </c>
      <c r="O112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11"/>
        <v>food</v>
      </c>
      <c r="T112" t="str">
        <f t="shared" si="9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119.95602605863192</v>
      </c>
      <c r="G113" t="s">
        <v>20</v>
      </c>
      <c r="H113" s="7">
        <f t="shared" si="10"/>
        <v>108.95414201183432</v>
      </c>
      <c r="I113">
        <v>676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7"/>
        <v>41174.208333333336</v>
      </c>
      <c r="O113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11"/>
        <v>publishing</v>
      </c>
      <c r="T113" t="str">
        <f t="shared" si="9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268.82978723404256</v>
      </c>
      <c r="G114" t="s">
        <v>20</v>
      </c>
      <c r="H114" s="7">
        <f t="shared" si="10"/>
        <v>35</v>
      </c>
      <c r="I114">
        <v>361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7"/>
        <v>41875.208333333336</v>
      </c>
      <c r="O114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11"/>
        <v>technology</v>
      </c>
      <c r="T114" t="str">
        <f t="shared" si="9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376.87878787878788</v>
      </c>
      <c r="G115" t="s">
        <v>20</v>
      </c>
      <c r="H115" s="7">
        <f t="shared" si="10"/>
        <v>94.938931297709928</v>
      </c>
      <c r="I115">
        <v>131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7"/>
        <v>42990.208333333328</v>
      </c>
      <c r="O115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11"/>
        <v>food</v>
      </c>
      <c r="T115" t="str">
        <f t="shared" si="9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727.15789473684208</v>
      </c>
      <c r="G116" t="s">
        <v>20</v>
      </c>
      <c r="H116" s="7">
        <f t="shared" si="10"/>
        <v>109.65079365079364</v>
      </c>
      <c r="I116">
        <v>126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7"/>
        <v>43564.208333333328</v>
      </c>
      <c r="O116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11"/>
        <v>technology</v>
      </c>
      <c r="T116" t="str">
        <f t="shared" si="9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87.211757648470297</v>
      </c>
      <c r="G117" t="s">
        <v>14</v>
      </c>
      <c r="H117" s="7">
        <f t="shared" si="10"/>
        <v>44.001815980629537</v>
      </c>
      <c r="I117">
        <v>3304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7"/>
        <v>43056.25</v>
      </c>
      <c r="O117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11"/>
        <v>publishing</v>
      </c>
      <c r="T117" t="str">
        <f t="shared" si="9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 s="7">
        <f t="shared" si="10"/>
        <v>86.794520547945211</v>
      </c>
      <c r="I118">
        <v>73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7"/>
        <v>42265.208333333328</v>
      </c>
      <c r="O118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11"/>
        <v>theater</v>
      </c>
      <c r="T118" t="str">
        <f t="shared" si="9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173.9387755102041</v>
      </c>
      <c r="G119" t="s">
        <v>20</v>
      </c>
      <c r="H119" s="7">
        <f t="shared" si="10"/>
        <v>30.992727272727272</v>
      </c>
      <c r="I119">
        <v>275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7"/>
        <v>40808.208333333336</v>
      </c>
      <c r="O119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11"/>
        <v>film &amp; video</v>
      </c>
      <c r="T119" t="str">
        <f t="shared" si="9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117.61111111111111</v>
      </c>
      <c r="G120" t="s">
        <v>20</v>
      </c>
      <c r="H120" s="7">
        <f t="shared" si="10"/>
        <v>94.791044776119406</v>
      </c>
      <c r="I120">
        <v>67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7"/>
        <v>41665.25</v>
      </c>
      <c r="O120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11"/>
        <v>photography</v>
      </c>
      <c r="T120" t="str">
        <f t="shared" si="9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214.96</v>
      </c>
      <c r="G121" t="s">
        <v>20</v>
      </c>
      <c r="H121" s="7">
        <f t="shared" si="10"/>
        <v>69.79220779220779</v>
      </c>
      <c r="I121">
        <v>154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7"/>
        <v>41806.208333333336</v>
      </c>
      <c r="O121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11"/>
        <v>film &amp; video</v>
      </c>
      <c r="T121" t="str">
        <f t="shared" si="9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149.49667110519306</v>
      </c>
      <c r="G122" t="s">
        <v>20</v>
      </c>
      <c r="H122" s="7">
        <f t="shared" si="10"/>
        <v>63.003367003367003</v>
      </c>
      <c r="I122">
        <v>1782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7"/>
        <v>42111.208333333328</v>
      </c>
      <c r="O122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11"/>
        <v>games</v>
      </c>
      <c r="T122" t="str">
        <f t="shared" si="9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219.33995584988963</v>
      </c>
      <c r="G123" t="s">
        <v>20</v>
      </c>
      <c r="H123" s="7">
        <f t="shared" si="10"/>
        <v>110.0343300110742</v>
      </c>
      <c r="I123">
        <v>903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7"/>
        <v>41917.208333333336</v>
      </c>
      <c r="O123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11"/>
        <v>games</v>
      </c>
      <c r="T123" t="str">
        <f t="shared" si="9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64.367690058479525</v>
      </c>
      <c r="G124" t="s">
        <v>14</v>
      </c>
      <c r="H124" s="7">
        <f t="shared" si="10"/>
        <v>25.997933274284026</v>
      </c>
      <c r="I124">
        <v>3387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7"/>
        <v>41970.25</v>
      </c>
      <c r="O124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11"/>
        <v>publishing</v>
      </c>
      <c r="T124" t="str">
        <f t="shared" si="9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18.622397298818232</v>
      </c>
      <c r="G125" t="s">
        <v>14</v>
      </c>
      <c r="H125" s="7">
        <f t="shared" si="10"/>
        <v>49.987915407854985</v>
      </c>
      <c r="I125">
        <v>662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7"/>
        <v>42332.25</v>
      </c>
      <c r="O125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11"/>
        <v>theater</v>
      </c>
      <c r="T125" t="str">
        <f t="shared" si="9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367.76923076923077</v>
      </c>
      <c r="G126" t="s">
        <v>20</v>
      </c>
      <c r="H126" s="7">
        <f t="shared" si="10"/>
        <v>101.72340425531915</v>
      </c>
      <c r="I126">
        <v>94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7"/>
        <v>43598.208333333328</v>
      </c>
      <c r="O126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11"/>
        <v>photography</v>
      </c>
      <c r="T126" t="str">
        <f t="shared" si="9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159.90566037735849</v>
      </c>
      <c r="G127" t="s">
        <v>20</v>
      </c>
      <c r="H127" s="7">
        <f t="shared" si="10"/>
        <v>47.083333333333336</v>
      </c>
      <c r="I127">
        <v>180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7"/>
        <v>43362.208333333328</v>
      </c>
      <c r="O127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11"/>
        <v>theater</v>
      </c>
      <c r="T127" t="str">
        <f t="shared" si="9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38.633185349611544</v>
      </c>
      <c r="G128" t="s">
        <v>14</v>
      </c>
      <c r="H128" s="7">
        <f t="shared" si="10"/>
        <v>89.944444444444443</v>
      </c>
      <c r="I128">
        <v>774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7"/>
        <v>42596.208333333328</v>
      </c>
      <c r="O128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11"/>
        <v>theater</v>
      </c>
      <c r="T128" t="str">
        <f t="shared" si="9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51.42151162790698</v>
      </c>
      <c r="G129" t="s">
        <v>14</v>
      </c>
      <c r="H129" s="7">
        <f t="shared" si="10"/>
        <v>78.96875</v>
      </c>
      <c r="I129">
        <v>672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7"/>
        <v>40310.208333333336</v>
      </c>
      <c r="O129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11"/>
        <v>theater</v>
      </c>
      <c r="T129" t="str">
        <f t="shared" si="9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ref="F130:F193" si="12">E130/D130*100</f>
        <v>60.334277620396605</v>
      </c>
      <c r="G130" t="s">
        <v>74</v>
      </c>
      <c r="H130" s="7">
        <f t="shared" si="10"/>
        <v>80.067669172932327</v>
      </c>
      <c r="I130">
        <v>532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7"/>
        <v>40417.208333333336</v>
      </c>
      <c r="O130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11"/>
        <v>music</v>
      </c>
      <c r="T130" t="str">
        <f t="shared" si="9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12"/>
        <v>3.202693602693603</v>
      </c>
      <c r="G131" t="s">
        <v>74</v>
      </c>
      <c r="H131" s="7">
        <f t="shared" si="10"/>
        <v>86.472727272727269</v>
      </c>
      <c r="I131">
        <v>55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ref="N131:N194" si="13">(((L131/60)/60)/24)+DATE(1970,1,1)</f>
        <v>42038.25</v>
      </c>
      <c r="O131">
        <f t="shared" ref="O131:O194" si="14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si="11"/>
        <v>food</v>
      </c>
      <c r="T131" t="str">
        <f t="shared" ref="T131:T194" si="15">RIGHT(R131,LEN(R131)-LEN(S131)-1)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155.46875</v>
      </c>
      <c r="G132" t="s">
        <v>20</v>
      </c>
      <c r="H132" s="7">
        <f t="shared" ref="H132:H195" si="16">E132/I132</f>
        <v>28.001876172607879</v>
      </c>
      <c r="I132">
        <v>533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13"/>
        <v>40842.208333333336</v>
      </c>
      <c r="O132">
        <f t="shared" si="14"/>
        <v>40858.25</v>
      </c>
      <c r="P132" t="b">
        <v>0</v>
      </c>
      <c r="Q132" t="b">
        <v>0</v>
      </c>
      <c r="R132" t="s">
        <v>53</v>
      </c>
      <c r="S132" t="str">
        <f t="shared" ref="S132:S195" si="17">LEFT(R132,FIND("/",R132)-1)</f>
        <v>film &amp; video</v>
      </c>
      <c r="T132" t="str">
        <f t="shared" si="15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100.85974499089254</v>
      </c>
      <c r="G133" t="s">
        <v>20</v>
      </c>
      <c r="H133" s="7">
        <f t="shared" si="16"/>
        <v>67.996725337699544</v>
      </c>
      <c r="I133">
        <v>2443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13"/>
        <v>41607.25</v>
      </c>
      <c r="O133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7"/>
        <v>technology</v>
      </c>
      <c r="T133" t="str">
        <f t="shared" si="15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116.18181818181819</v>
      </c>
      <c r="G134" t="s">
        <v>20</v>
      </c>
      <c r="H134" s="7">
        <f t="shared" si="16"/>
        <v>43.078651685393261</v>
      </c>
      <c r="I134">
        <v>89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13"/>
        <v>43112.25</v>
      </c>
      <c r="O134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7"/>
        <v>theater</v>
      </c>
      <c r="T134" t="str">
        <f t="shared" si="15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310.77777777777777</v>
      </c>
      <c r="G135" t="s">
        <v>20</v>
      </c>
      <c r="H135" s="7">
        <f t="shared" si="16"/>
        <v>87.95597484276729</v>
      </c>
      <c r="I135">
        <v>159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13"/>
        <v>40767.208333333336</v>
      </c>
      <c r="O135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7"/>
        <v>music</v>
      </c>
      <c r="T135" t="str">
        <f t="shared" si="15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89.73668341708543</v>
      </c>
      <c r="G136" t="s">
        <v>14</v>
      </c>
      <c r="H136" s="7">
        <f t="shared" si="16"/>
        <v>94.987234042553197</v>
      </c>
      <c r="I136">
        <v>940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13"/>
        <v>40713.208333333336</v>
      </c>
      <c r="O136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7"/>
        <v>film &amp; video</v>
      </c>
      <c r="T136" t="str">
        <f t="shared" si="15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71.27272727272728</v>
      </c>
      <c r="G137" t="s">
        <v>14</v>
      </c>
      <c r="H137" s="7">
        <f t="shared" si="16"/>
        <v>46.905982905982903</v>
      </c>
      <c r="I137">
        <v>117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13"/>
        <v>41340.25</v>
      </c>
      <c r="O137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7"/>
        <v>theater</v>
      </c>
      <c r="T137" t="str">
        <f t="shared" si="15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3.2862318840579712</v>
      </c>
      <c r="G138" t="s">
        <v>74</v>
      </c>
      <c r="H138" s="7">
        <f t="shared" si="16"/>
        <v>46.913793103448278</v>
      </c>
      <c r="I138">
        <v>58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13"/>
        <v>41797.208333333336</v>
      </c>
      <c r="O138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7"/>
        <v>film &amp; video</v>
      </c>
      <c r="T138" t="str">
        <f t="shared" si="15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261.77777777777777</v>
      </c>
      <c r="G139" t="s">
        <v>20</v>
      </c>
      <c r="H139" s="7">
        <f t="shared" si="16"/>
        <v>94.24</v>
      </c>
      <c r="I139">
        <v>50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13"/>
        <v>40457.208333333336</v>
      </c>
      <c r="O139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7"/>
        <v>publishing</v>
      </c>
      <c r="T139" t="str">
        <f t="shared" si="15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96</v>
      </c>
      <c r="G140" t="s">
        <v>14</v>
      </c>
      <c r="H140" s="7">
        <f t="shared" si="16"/>
        <v>80.139130434782615</v>
      </c>
      <c r="I140">
        <v>115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13"/>
        <v>41180.208333333336</v>
      </c>
      <c r="O140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7"/>
        <v>games</v>
      </c>
      <c r="T140" t="str">
        <f t="shared" si="15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20.896851248642779</v>
      </c>
      <c r="G141" t="s">
        <v>14</v>
      </c>
      <c r="H141" s="7">
        <f t="shared" si="16"/>
        <v>59.036809815950917</v>
      </c>
      <c r="I141">
        <v>326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13"/>
        <v>42115.208333333328</v>
      </c>
      <c r="O141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7"/>
        <v>technology</v>
      </c>
      <c r="T141" t="str">
        <f t="shared" si="15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223.16363636363636</v>
      </c>
      <c r="G142" t="s">
        <v>20</v>
      </c>
      <c r="H142" s="7">
        <f t="shared" si="16"/>
        <v>65.989247311827953</v>
      </c>
      <c r="I142">
        <v>186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13"/>
        <v>43156.25</v>
      </c>
      <c r="O142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7"/>
        <v>film &amp; video</v>
      </c>
      <c r="T142" t="str">
        <f t="shared" si="15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101.59097978227061</v>
      </c>
      <c r="G143" t="s">
        <v>20</v>
      </c>
      <c r="H143" s="7">
        <f t="shared" si="16"/>
        <v>60.992530345471522</v>
      </c>
      <c r="I143">
        <v>1071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13"/>
        <v>42167.208333333328</v>
      </c>
      <c r="O143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7"/>
        <v>technology</v>
      </c>
      <c r="T143" t="str">
        <f t="shared" si="15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230.03999999999996</v>
      </c>
      <c r="G144" t="s">
        <v>20</v>
      </c>
      <c r="H144" s="7">
        <f t="shared" si="16"/>
        <v>98.307692307692307</v>
      </c>
      <c r="I144">
        <v>117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13"/>
        <v>41005.208333333336</v>
      </c>
      <c r="O144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7"/>
        <v>technology</v>
      </c>
      <c r="T144" t="str">
        <f t="shared" si="15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135.59259259259261</v>
      </c>
      <c r="G145" t="s">
        <v>20</v>
      </c>
      <c r="H145" s="7">
        <f t="shared" si="16"/>
        <v>104.6</v>
      </c>
      <c r="I145">
        <v>70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13"/>
        <v>40357.208333333336</v>
      </c>
      <c r="O145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7"/>
        <v>music</v>
      </c>
      <c r="T145" t="str">
        <f t="shared" si="15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129.1</v>
      </c>
      <c r="G146" t="s">
        <v>20</v>
      </c>
      <c r="H146" s="7">
        <f t="shared" si="16"/>
        <v>86.066666666666663</v>
      </c>
      <c r="I146">
        <v>135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13"/>
        <v>43633.208333333328</v>
      </c>
      <c r="O146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7"/>
        <v>theater</v>
      </c>
      <c r="T146" t="str">
        <f t="shared" si="15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236.512</v>
      </c>
      <c r="G147" t="s">
        <v>20</v>
      </c>
      <c r="H147" s="7">
        <f t="shared" si="16"/>
        <v>76.989583333333329</v>
      </c>
      <c r="I147">
        <v>768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13"/>
        <v>41889.208333333336</v>
      </c>
      <c r="O147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7"/>
        <v>technology</v>
      </c>
      <c r="T147" t="str">
        <f t="shared" si="15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17.25</v>
      </c>
      <c r="G148" t="s">
        <v>74</v>
      </c>
      <c r="H148" s="7">
        <f t="shared" si="16"/>
        <v>29.764705882352942</v>
      </c>
      <c r="I148">
        <v>51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13"/>
        <v>40855.25</v>
      </c>
      <c r="O148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7"/>
        <v>theater</v>
      </c>
      <c r="T148" t="str">
        <f t="shared" si="15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112.49397590361446</v>
      </c>
      <c r="G149" t="s">
        <v>20</v>
      </c>
      <c r="H149" s="7">
        <f t="shared" si="16"/>
        <v>46.91959798994975</v>
      </c>
      <c r="I149">
        <v>199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13"/>
        <v>42534.208333333328</v>
      </c>
      <c r="O149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7"/>
        <v>theater</v>
      </c>
      <c r="T149" t="str">
        <f t="shared" si="15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121.02150537634408</v>
      </c>
      <c r="G150" t="s">
        <v>20</v>
      </c>
      <c r="H150" s="7">
        <f t="shared" si="16"/>
        <v>105.18691588785046</v>
      </c>
      <c r="I150">
        <v>107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13"/>
        <v>42941.208333333328</v>
      </c>
      <c r="O150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7"/>
        <v>technology</v>
      </c>
      <c r="T150" t="str">
        <f t="shared" si="15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219.87096774193549</v>
      </c>
      <c r="G151" t="s">
        <v>20</v>
      </c>
      <c r="H151" s="7">
        <f t="shared" si="16"/>
        <v>69.907692307692301</v>
      </c>
      <c r="I151">
        <v>195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13"/>
        <v>41275.25</v>
      </c>
      <c r="O151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7"/>
        <v>music</v>
      </c>
      <c r="T151" t="str">
        <f t="shared" si="15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1</v>
      </c>
      <c r="G152" t="s">
        <v>14</v>
      </c>
      <c r="H152" s="7">
        <f t="shared" si="16"/>
        <v>1</v>
      </c>
      <c r="I152"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13"/>
        <v>43450.25</v>
      </c>
      <c r="O152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7"/>
        <v>music</v>
      </c>
      <c r="T152" t="str">
        <f t="shared" si="15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64.166909620991248</v>
      </c>
      <c r="G153" t="s">
        <v>14</v>
      </c>
      <c r="H153" s="7">
        <f t="shared" si="16"/>
        <v>60.011588275391958</v>
      </c>
      <c r="I153">
        <v>1467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13"/>
        <v>41799.208333333336</v>
      </c>
      <c r="O153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7"/>
        <v>music</v>
      </c>
      <c r="T153" t="str">
        <f t="shared" si="15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423.06746987951806</v>
      </c>
      <c r="G154" t="s">
        <v>20</v>
      </c>
      <c r="H154" s="7">
        <f t="shared" si="16"/>
        <v>52.006220379146917</v>
      </c>
      <c r="I154">
        <v>3376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13"/>
        <v>42783.25</v>
      </c>
      <c r="O154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7"/>
        <v>music</v>
      </c>
      <c r="T154" t="str">
        <f t="shared" si="15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92.984160506863773</v>
      </c>
      <c r="G155" t="s">
        <v>14</v>
      </c>
      <c r="H155" s="7">
        <f t="shared" si="16"/>
        <v>31.000176025347649</v>
      </c>
      <c r="I155">
        <v>5681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13"/>
        <v>41201.208333333336</v>
      </c>
      <c r="O155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7"/>
        <v>theater</v>
      </c>
      <c r="T155" t="str">
        <f t="shared" si="15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58.756567425569173</v>
      </c>
      <c r="G156" t="s">
        <v>14</v>
      </c>
      <c r="H156" s="7">
        <f t="shared" si="16"/>
        <v>95.042492917847028</v>
      </c>
      <c r="I156">
        <v>1059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13"/>
        <v>42502.208333333328</v>
      </c>
      <c r="O156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7"/>
        <v>music</v>
      </c>
      <c r="T156" t="str">
        <f t="shared" si="15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65.022222222222226</v>
      </c>
      <c r="G157" t="s">
        <v>14</v>
      </c>
      <c r="H157" s="7">
        <f t="shared" si="16"/>
        <v>75.968174204355108</v>
      </c>
      <c r="I157">
        <v>1194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13"/>
        <v>40262.208333333336</v>
      </c>
      <c r="O157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7"/>
        <v>theater</v>
      </c>
      <c r="T157" t="str">
        <f t="shared" si="15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73.939560439560438</v>
      </c>
      <c r="G158" t="s">
        <v>74</v>
      </c>
      <c r="H158" s="7">
        <f t="shared" si="16"/>
        <v>71.013192612137203</v>
      </c>
      <c r="I158">
        <v>379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13"/>
        <v>43743.208333333328</v>
      </c>
      <c r="O158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7"/>
        <v>music</v>
      </c>
      <c r="T158" t="str">
        <f t="shared" si="15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52.666666666666664</v>
      </c>
      <c r="G159" t="s">
        <v>14</v>
      </c>
      <c r="H159" s="7">
        <f t="shared" si="16"/>
        <v>73.733333333333334</v>
      </c>
      <c r="I159">
        <v>30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13"/>
        <v>41638.25</v>
      </c>
      <c r="O159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7"/>
        <v>photography</v>
      </c>
      <c r="T159" t="str">
        <f t="shared" si="15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220.95238095238096</v>
      </c>
      <c r="G160" t="s">
        <v>20</v>
      </c>
      <c r="H160" s="7">
        <f t="shared" si="16"/>
        <v>113.17073170731707</v>
      </c>
      <c r="I160">
        <v>41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13"/>
        <v>42346.25</v>
      </c>
      <c r="O160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7"/>
        <v>music</v>
      </c>
      <c r="T160" t="str">
        <f t="shared" si="15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100.01150627615063</v>
      </c>
      <c r="G161" t="s">
        <v>20</v>
      </c>
      <c r="H161" s="7">
        <f t="shared" si="16"/>
        <v>105.00933552992861</v>
      </c>
      <c r="I161">
        <v>1821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13"/>
        <v>43551.208333333328</v>
      </c>
      <c r="O161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7"/>
        <v>theater</v>
      </c>
      <c r="T161" t="str">
        <f t="shared" si="15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162.3125</v>
      </c>
      <c r="G162" t="s">
        <v>20</v>
      </c>
      <c r="H162" s="7">
        <f t="shared" si="16"/>
        <v>79.176829268292678</v>
      </c>
      <c r="I162">
        <v>164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13"/>
        <v>43582.208333333328</v>
      </c>
      <c r="O162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7"/>
        <v>technology</v>
      </c>
      <c r="T162" t="str">
        <f t="shared" si="15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78.181818181818187</v>
      </c>
      <c r="G163" t="s">
        <v>14</v>
      </c>
      <c r="H163" s="7">
        <f t="shared" si="16"/>
        <v>57.333333333333336</v>
      </c>
      <c r="I163">
        <v>75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13"/>
        <v>42270.208333333328</v>
      </c>
      <c r="O163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7"/>
        <v>technology</v>
      </c>
      <c r="T163" t="str">
        <f t="shared" si="15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149.73770491803279</v>
      </c>
      <c r="G164" t="s">
        <v>20</v>
      </c>
      <c r="H164" s="7">
        <f t="shared" si="16"/>
        <v>58.178343949044589</v>
      </c>
      <c r="I164">
        <v>157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13"/>
        <v>43442.25</v>
      </c>
      <c r="O164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7"/>
        <v>music</v>
      </c>
      <c r="T164" t="str">
        <f t="shared" si="15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253.25714285714284</v>
      </c>
      <c r="G165" t="s">
        <v>20</v>
      </c>
      <c r="H165" s="7">
        <f t="shared" si="16"/>
        <v>36.032520325203251</v>
      </c>
      <c r="I165">
        <v>246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13"/>
        <v>43028.208333333328</v>
      </c>
      <c r="O165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7"/>
        <v>photography</v>
      </c>
      <c r="T165" t="str">
        <f t="shared" si="15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100.16943521594683</v>
      </c>
      <c r="G166" t="s">
        <v>20</v>
      </c>
      <c r="H166" s="7">
        <f t="shared" si="16"/>
        <v>107.99068767908309</v>
      </c>
      <c r="I166">
        <v>1396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13"/>
        <v>43016.208333333328</v>
      </c>
      <c r="O166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7"/>
        <v>theater</v>
      </c>
      <c r="T166" t="str">
        <f t="shared" si="15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121.99004424778761</v>
      </c>
      <c r="G167" t="s">
        <v>20</v>
      </c>
      <c r="H167" s="7">
        <f t="shared" si="16"/>
        <v>44.005985634477256</v>
      </c>
      <c r="I167">
        <v>2506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13"/>
        <v>42948.208333333328</v>
      </c>
      <c r="O167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7"/>
        <v>technology</v>
      </c>
      <c r="T167" t="str">
        <f t="shared" si="15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137.13265306122449</v>
      </c>
      <c r="G168" t="s">
        <v>20</v>
      </c>
      <c r="H168" s="7">
        <f t="shared" si="16"/>
        <v>55.077868852459019</v>
      </c>
      <c r="I168">
        <v>244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13"/>
        <v>40534.25</v>
      </c>
      <c r="O168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7"/>
        <v>photography</v>
      </c>
      <c r="T168" t="str">
        <f t="shared" si="15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415.53846153846149</v>
      </c>
      <c r="G169" t="s">
        <v>20</v>
      </c>
      <c r="H169" s="7">
        <f t="shared" si="16"/>
        <v>74</v>
      </c>
      <c r="I169">
        <v>146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13"/>
        <v>41435.208333333336</v>
      </c>
      <c r="O169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7"/>
        <v>theater</v>
      </c>
      <c r="T169" t="str">
        <f t="shared" si="15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31.30913348946136</v>
      </c>
      <c r="G170" t="s">
        <v>14</v>
      </c>
      <c r="H170" s="7">
        <f t="shared" si="16"/>
        <v>41.996858638743454</v>
      </c>
      <c r="I170">
        <v>955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13"/>
        <v>43518.25</v>
      </c>
      <c r="O170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7"/>
        <v>music</v>
      </c>
      <c r="T170" t="str">
        <f t="shared" si="15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424.08154506437768</v>
      </c>
      <c r="G171" t="s">
        <v>20</v>
      </c>
      <c r="H171" s="7">
        <f t="shared" si="16"/>
        <v>77.988161010260455</v>
      </c>
      <c r="I171">
        <v>1267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13"/>
        <v>41077.208333333336</v>
      </c>
      <c r="O171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7"/>
        <v>film &amp; video</v>
      </c>
      <c r="T171" t="str">
        <f t="shared" si="15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2.93886230728336</v>
      </c>
      <c r="G172" t="s">
        <v>14</v>
      </c>
      <c r="H172" s="7">
        <f t="shared" si="16"/>
        <v>82.507462686567166</v>
      </c>
      <c r="I172">
        <v>67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13"/>
        <v>42950.208333333328</v>
      </c>
      <c r="O172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7"/>
        <v>music</v>
      </c>
      <c r="T172" t="str">
        <f t="shared" si="15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10.63265306122449</v>
      </c>
      <c r="G173" t="s">
        <v>14</v>
      </c>
      <c r="H173" s="7">
        <f t="shared" si="16"/>
        <v>104.2</v>
      </c>
      <c r="I173">
        <v>5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13"/>
        <v>41718.208333333336</v>
      </c>
      <c r="O173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7"/>
        <v>publishing</v>
      </c>
      <c r="T173" t="str">
        <f t="shared" si="15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82.875</v>
      </c>
      <c r="G174" t="s">
        <v>14</v>
      </c>
      <c r="H174" s="7">
        <f t="shared" si="16"/>
        <v>25.5</v>
      </c>
      <c r="I174">
        <v>26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13"/>
        <v>41839.208333333336</v>
      </c>
      <c r="O174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7"/>
        <v>film &amp; video</v>
      </c>
      <c r="T174" t="str">
        <f t="shared" si="15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163.01447776628748</v>
      </c>
      <c r="G175" t="s">
        <v>20</v>
      </c>
      <c r="H175" s="7">
        <f t="shared" si="16"/>
        <v>100.98334401024984</v>
      </c>
      <c r="I175">
        <v>1561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13"/>
        <v>41412.208333333336</v>
      </c>
      <c r="O175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7"/>
        <v>theater</v>
      </c>
      <c r="T175" t="str">
        <f t="shared" si="15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894.66666666666674</v>
      </c>
      <c r="G176" t="s">
        <v>20</v>
      </c>
      <c r="H176" s="7">
        <f t="shared" si="16"/>
        <v>111.83333333333333</v>
      </c>
      <c r="I176">
        <v>48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13"/>
        <v>42282.208333333328</v>
      </c>
      <c r="O176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7"/>
        <v>technology</v>
      </c>
      <c r="T176" t="str">
        <f t="shared" si="15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26.191501103752756</v>
      </c>
      <c r="G177" t="s">
        <v>14</v>
      </c>
      <c r="H177" s="7">
        <f t="shared" si="16"/>
        <v>41.999115044247787</v>
      </c>
      <c r="I177">
        <v>1130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13"/>
        <v>42613.208333333328</v>
      </c>
      <c r="O177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7"/>
        <v>theater</v>
      </c>
      <c r="T177" t="str">
        <f t="shared" si="15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74.834782608695647</v>
      </c>
      <c r="G178" t="s">
        <v>14</v>
      </c>
      <c r="H178" s="7">
        <f t="shared" si="16"/>
        <v>110.05115089514067</v>
      </c>
      <c r="I178">
        <v>782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13"/>
        <v>42616.208333333328</v>
      </c>
      <c r="O178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7"/>
        <v>theater</v>
      </c>
      <c r="T178" t="str">
        <f t="shared" si="15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416.47680412371136</v>
      </c>
      <c r="G179" t="s">
        <v>20</v>
      </c>
      <c r="H179" s="7">
        <f t="shared" si="16"/>
        <v>58.997079225994888</v>
      </c>
      <c r="I179">
        <v>2739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13"/>
        <v>40497.25</v>
      </c>
      <c r="O179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7"/>
        <v>theater</v>
      </c>
      <c r="T179" t="str">
        <f t="shared" si="15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96.208333333333329</v>
      </c>
      <c r="G180" t="s">
        <v>14</v>
      </c>
      <c r="H180" s="7">
        <f t="shared" si="16"/>
        <v>32.985714285714288</v>
      </c>
      <c r="I180">
        <v>210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13"/>
        <v>42999.208333333328</v>
      </c>
      <c r="O180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7"/>
        <v>food</v>
      </c>
      <c r="T180" t="str">
        <f t="shared" si="15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357.71910112359546</v>
      </c>
      <c r="G181" t="s">
        <v>20</v>
      </c>
      <c r="H181" s="7">
        <f t="shared" si="16"/>
        <v>45.005654509471306</v>
      </c>
      <c r="I181">
        <v>3537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13"/>
        <v>41350.208333333336</v>
      </c>
      <c r="O181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7"/>
        <v>theater</v>
      </c>
      <c r="T181" t="str">
        <f t="shared" si="15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308.45714285714286</v>
      </c>
      <c r="G182" t="s">
        <v>20</v>
      </c>
      <c r="H182" s="7">
        <f t="shared" si="16"/>
        <v>81.98196487897485</v>
      </c>
      <c r="I182">
        <v>2107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13"/>
        <v>40259.208333333336</v>
      </c>
      <c r="O182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7"/>
        <v>technology</v>
      </c>
      <c r="T182" t="str">
        <f t="shared" si="15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61.802325581395344</v>
      </c>
      <c r="G183" t="s">
        <v>14</v>
      </c>
      <c r="H183" s="7">
        <f t="shared" si="16"/>
        <v>39.080882352941174</v>
      </c>
      <c r="I183">
        <v>136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13"/>
        <v>43012.208333333328</v>
      </c>
      <c r="O183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7"/>
        <v>technology</v>
      </c>
      <c r="T183" t="str">
        <f t="shared" si="15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722.32472324723244</v>
      </c>
      <c r="G184" t="s">
        <v>20</v>
      </c>
      <c r="H184" s="7">
        <f t="shared" si="16"/>
        <v>58.996383363471971</v>
      </c>
      <c r="I184">
        <v>3318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13"/>
        <v>43631.208333333328</v>
      </c>
      <c r="O184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7"/>
        <v>theater</v>
      </c>
      <c r="T184" t="str">
        <f t="shared" si="15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69.117647058823522</v>
      </c>
      <c r="G185" t="s">
        <v>14</v>
      </c>
      <c r="H185" s="7">
        <f t="shared" si="16"/>
        <v>40.988372093023258</v>
      </c>
      <c r="I185">
        <v>86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13"/>
        <v>40430.208333333336</v>
      </c>
      <c r="O185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7"/>
        <v>music</v>
      </c>
      <c r="T185" t="str">
        <f t="shared" si="15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293.05555555555554</v>
      </c>
      <c r="G186" t="s">
        <v>20</v>
      </c>
      <c r="H186" s="7">
        <f t="shared" si="16"/>
        <v>31.029411764705884</v>
      </c>
      <c r="I186">
        <v>340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13"/>
        <v>43588.208333333328</v>
      </c>
      <c r="O186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7"/>
        <v>theater</v>
      </c>
      <c r="T186" t="str">
        <f t="shared" si="15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71.8</v>
      </c>
      <c r="G187" t="s">
        <v>14</v>
      </c>
      <c r="H187" s="7">
        <f t="shared" si="16"/>
        <v>37.789473684210527</v>
      </c>
      <c r="I187">
        <v>19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13"/>
        <v>43233.208333333328</v>
      </c>
      <c r="O187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7"/>
        <v>film &amp; video</v>
      </c>
      <c r="T187" t="str">
        <f t="shared" si="15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31.934684684684683</v>
      </c>
      <c r="G188" t="s">
        <v>14</v>
      </c>
      <c r="H188" s="7">
        <f t="shared" si="16"/>
        <v>32.006772009029348</v>
      </c>
      <c r="I188">
        <v>886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13"/>
        <v>41782.208333333336</v>
      </c>
      <c r="O188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7"/>
        <v>theater</v>
      </c>
      <c r="T188" t="str">
        <f t="shared" si="15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229.87375415282392</v>
      </c>
      <c r="G189" t="s">
        <v>20</v>
      </c>
      <c r="H189" s="7">
        <f t="shared" si="16"/>
        <v>95.966712898751737</v>
      </c>
      <c r="I189">
        <v>1442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13"/>
        <v>41328.25</v>
      </c>
      <c r="O189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7"/>
        <v>film &amp; video</v>
      </c>
      <c r="T189" t="str">
        <f t="shared" si="15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32.012195121951223</v>
      </c>
      <c r="G190" t="s">
        <v>14</v>
      </c>
      <c r="H190" s="7">
        <f t="shared" si="16"/>
        <v>75</v>
      </c>
      <c r="I190">
        <v>35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13"/>
        <v>41975.25</v>
      </c>
      <c r="O190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7"/>
        <v>theater</v>
      </c>
      <c r="T190" t="str">
        <f t="shared" si="15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23.525352848928385</v>
      </c>
      <c r="G191" t="s">
        <v>74</v>
      </c>
      <c r="H191" s="7">
        <f t="shared" si="16"/>
        <v>102.0498866213152</v>
      </c>
      <c r="I191">
        <v>441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13"/>
        <v>42433.25</v>
      </c>
      <c r="O191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7"/>
        <v>theater</v>
      </c>
      <c r="T191" t="str">
        <f t="shared" si="15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68.594594594594597</v>
      </c>
      <c r="G192" t="s">
        <v>14</v>
      </c>
      <c r="H192" s="7">
        <f t="shared" si="16"/>
        <v>105.75</v>
      </c>
      <c r="I192">
        <v>24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13"/>
        <v>41429.208333333336</v>
      </c>
      <c r="O192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7"/>
        <v>theater</v>
      </c>
      <c r="T192" t="str">
        <f t="shared" si="15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37.952380952380956</v>
      </c>
      <c r="G193" t="s">
        <v>14</v>
      </c>
      <c r="H193" s="7">
        <f t="shared" si="16"/>
        <v>37.069767441860463</v>
      </c>
      <c r="I193">
        <v>86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13"/>
        <v>43536.208333333328</v>
      </c>
      <c r="O193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7"/>
        <v>theater</v>
      </c>
      <c r="T193" t="str">
        <f t="shared" si="15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ref="F194:F257" si="18">E194/D194*100</f>
        <v>19.992957746478872</v>
      </c>
      <c r="G194" t="s">
        <v>14</v>
      </c>
      <c r="H194" s="7">
        <f t="shared" si="16"/>
        <v>35.049382716049379</v>
      </c>
      <c r="I194">
        <v>243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13"/>
        <v>41817.208333333336</v>
      </c>
      <c r="O194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7"/>
        <v>music</v>
      </c>
      <c r="T194" t="str">
        <f t="shared" si="15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8"/>
        <v>45.636363636363633</v>
      </c>
      <c r="G195" t="s">
        <v>14</v>
      </c>
      <c r="H195" s="7">
        <f t="shared" si="16"/>
        <v>46.338461538461537</v>
      </c>
      <c r="I195">
        <v>65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N258" si="19">(((L195/60)/60)/24)+DATE(1970,1,1)</f>
        <v>43198.208333333328</v>
      </c>
      <c r="O195">
        <f t="shared" ref="O195:O258" si="20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si="17"/>
        <v>music</v>
      </c>
      <c r="T195" t="str">
        <f t="shared" ref="T195:T258" si="21">RIGHT(R195,LEN(R195)-LEN(S195)-1)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122.7605633802817</v>
      </c>
      <c r="G196" t="s">
        <v>20</v>
      </c>
      <c r="H196" s="7">
        <f t="shared" ref="H196:H259" si="22">E196/I196</f>
        <v>69.174603174603178</v>
      </c>
      <c r="I196">
        <v>126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19"/>
        <v>42261.208333333328</v>
      </c>
      <c r="O196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ref="S196:S259" si="23">LEFT(R196,FIND("/",R196)-1)</f>
        <v>music</v>
      </c>
      <c r="T196" t="str">
        <f t="shared" si="21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361.75316455696202</v>
      </c>
      <c r="G197" t="s">
        <v>20</v>
      </c>
      <c r="H197" s="7">
        <f t="shared" si="22"/>
        <v>109.07824427480917</v>
      </c>
      <c r="I197">
        <v>524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19"/>
        <v>43310.208333333328</v>
      </c>
      <c r="O197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3"/>
        <v>music</v>
      </c>
      <c r="T197" t="str">
        <f t="shared" si="21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63.146341463414636</v>
      </c>
      <c r="G198" t="s">
        <v>14</v>
      </c>
      <c r="H198" s="7">
        <f t="shared" si="22"/>
        <v>51.78</v>
      </c>
      <c r="I198">
        <v>100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19"/>
        <v>42616.208333333328</v>
      </c>
      <c r="O198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3"/>
        <v>technology</v>
      </c>
      <c r="T198" t="str">
        <f t="shared" si="21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298.20475319926874</v>
      </c>
      <c r="G199" t="s">
        <v>20</v>
      </c>
      <c r="H199" s="7">
        <f t="shared" si="22"/>
        <v>82.010055304172951</v>
      </c>
      <c r="I199">
        <v>1989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19"/>
        <v>42909.208333333328</v>
      </c>
      <c r="O199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3"/>
        <v>film &amp; video</v>
      </c>
      <c r="T199" t="str">
        <f t="shared" si="21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9.5585443037974684</v>
      </c>
      <c r="G200" t="s">
        <v>14</v>
      </c>
      <c r="H200" s="7">
        <f t="shared" si="22"/>
        <v>35.958333333333336</v>
      </c>
      <c r="I200">
        <v>168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19"/>
        <v>40396.208333333336</v>
      </c>
      <c r="O200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3"/>
        <v>music</v>
      </c>
      <c r="T200" t="str">
        <f t="shared" si="21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53.777777777777779</v>
      </c>
      <c r="G201" t="s">
        <v>14</v>
      </c>
      <c r="H201" s="7">
        <f t="shared" si="22"/>
        <v>74.461538461538467</v>
      </c>
      <c r="I201">
        <v>13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19"/>
        <v>42192.208333333328</v>
      </c>
      <c r="O201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3"/>
        <v>music</v>
      </c>
      <c r="T201" t="str">
        <f t="shared" si="21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2</v>
      </c>
      <c r="G202" t="s">
        <v>14</v>
      </c>
      <c r="H202" s="7">
        <f t="shared" si="22"/>
        <v>2</v>
      </c>
      <c r="I202">
        <v>1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19"/>
        <v>40262.208333333336</v>
      </c>
      <c r="O202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3"/>
        <v>theater</v>
      </c>
      <c r="T202" t="str">
        <f t="shared" si="21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681.19047619047615</v>
      </c>
      <c r="G203" t="s">
        <v>20</v>
      </c>
      <c r="H203" s="7">
        <f t="shared" si="22"/>
        <v>91.114649681528661</v>
      </c>
      <c r="I203">
        <v>157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19"/>
        <v>41845.208333333336</v>
      </c>
      <c r="O203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3"/>
        <v>technology</v>
      </c>
      <c r="T203" t="str">
        <f t="shared" si="21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78.831325301204828</v>
      </c>
      <c r="G204" t="s">
        <v>74</v>
      </c>
      <c r="H204" s="7">
        <f t="shared" si="22"/>
        <v>79.792682926829272</v>
      </c>
      <c r="I204">
        <v>82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19"/>
        <v>40818.208333333336</v>
      </c>
      <c r="O204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3"/>
        <v>food</v>
      </c>
      <c r="T204" t="str">
        <f t="shared" si="21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134.40792216817235</v>
      </c>
      <c r="G205" t="s">
        <v>20</v>
      </c>
      <c r="H205" s="7">
        <f t="shared" si="22"/>
        <v>42.999777678968428</v>
      </c>
      <c r="I205">
        <v>4498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19"/>
        <v>42752.25</v>
      </c>
      <c r="O205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3"/>
        <v>theater</v>
      </c>
      <c r="T205" t="str">
        <f t="shared" si="21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3.3719999999999999</v>
      </c>
      <c r="G206" t="s">
        <v>14</v>
      </c>
      <c r="H206" s="7">
        <f t="shared" si="22"/>
        <v>63.225000000000001</v>
      </c>
      <c r="I206">
        <v>40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19"/>
        <v>40636.208333333336</v>
      </c>
      <c r="O206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3"/>
        <v>music</v>
      </c>
      <c r="T206" t="str">
        <f t="shared" si="21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431.84615384615387</v>
      </c>
      <c r="G207" t="s">
        <v>20</v>
      </c>
      <c r="H207" s="7">
        <f t="shared" si="22"/>
        <v>70.174999999999997</v>
      </c>
      <c r="I207">
        <v>80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19"/>
        <v>43390.208333333328</v>
      </c>
      <c r="O207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3"/>
        <v>theater</v>
      </c>
      <c r="T207" t="str">
        <f t="shared" si="21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38.844444444444441</v>
      </c>
      <c r="G208" t="s">
        <v>74</v>
      </c>
      <c r="H208" s="7">
        <f t="shared" si="22"/>
        <v>61.333333333333336</v>
      </c>
      <c r="I208">
        <v>57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19"/>
        <v>40236.25</v>
      </c>
      <c r="O208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3"/>
        <v>publishing</v>
      </c>
      <c r="T208" t="str">
        <f t="shared" si="21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425.7</v>
      </c>
      <c r="G209" t="s">
        <v>20</v>
      </c>
      <c r="H209" s="7">
        <f t="shared" si="22"/>
        <v>99</v>
      </c>
      <c r="I209">
        <v>43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19"/>
        <v>43340.208333333328</v>
      </c>
      <c r="O209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3"/>
        <v>music</v>
      </c>
      <c r="T209" t="str">
        <f t="shared" si="21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101.12239715591672</v>
      </c>
      <c r="G210" t="s">
        <v>20</v>
      </c>
      <c r="H210" s="7">
        <f t="shared" si="22"/>
        <v>96.984900146127615</v>
      </c>
      <c r="I210">
        <v>2053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19"/>
        <v>43048.25</v>
      </c>
      <c r="O210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3"/>
        <v>film &amp; video</v>
      </c>
      <c r="T210" t="str">
        <f t="shared" si="21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21.188688946015425</v>
      </c>
      <c r="G211" t="s">
        <v>47</v>
      </c>
      <c r="H211" s="7">
        <f t="shared" si="22"/>
        <v>51.004950495049506</v>
      </c>
      <c r="I211">
        <v>808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19"/>
        <v>42496.208333333328</v>
      </c>
      <c r="O211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3"/>
        <v>film &amp; video</v>
      </c>
      <c r="T211" t="str">
        <f t="shared" si="21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67.425531914893625</v>
      </c>
      <c r="G212" t="s">
        <v>14</v>
      </c>
      <c r="H212" s="7">
        <f t="shared" si="22"/>
        <v>28.044247787610619</v>
      </c>
      <c r="I212">
        <v>226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19"/>
        <v>42797.25</v>
      </c>
      <c r="O212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3"/>
        <v>film &amp; video</v>
      </c>
      <c r="T212" t="str">
        <f t="shared" si="21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94.923371647509583</v>
      </c>
      <c r="G213" t="s">
        <v>14</v>
      </c>
      <c r="H213" s="7">
        <f t="shared" si="22"/>
        <v>60.984615384615381</v>
      </c>
      <c r="I213">
        <v>1625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19"/>
        <v>41513.208333333336</v>
      </c>
      <c r="O213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3"/>
        <v>theater</v>
      </c>
      <c r="T213" t="str">
        <f t="shared" si="21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151.85185185185185</v>
      </c>
      <c r="G214" t="s">
        <v>20</v>
      </c>
      <c r="H214" s="7">
        <f t="shared" si="22"/>
        <v>73.214285714285708</v>
      </c>
      <c r="I214">
        <v>168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19"/>
        <v>43814.25</v>
      </c>
      <c r="O214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3"/>
        <v>theater</v>
      </c>
      <c r="T214" t="str">
        <f t="shared" si="21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195.16382252559728</v>
      </c>
      <c r="G215" t="s">
        <v>20</v>
      </c>
      <c r="H215" s="7">
        <f t="shared" si="22"/>
        <v>39.997435299603637</v>
      </c>
      <c r="I215">
        <v>4289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19"/>
        <v>40488.208333333336</v>
      </c>
      <c r="O215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3"/>
        <v>music</v>
      </c>
      <c r="T215" t="str">
        <f t="shared" si="21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1023.1428571428571</v>
      </c>
      <c r="G216" t="s">
        <v>20</v>
      </c>
      <c r="H216" s="7">
        <f t="shared" si="22"/>
        <v>86.812121212121212</v>
      </c>
      <c r="I216">
        <v>165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19"/>
        <v>40409.208333333336</v>
      </c>
      <c r="O216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3"/>
        <v>music</v>
      </c>
      <c r="T216" t="str">
        <f t="shared" si="21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3.841836734693878</v>
      </c>
      <c r="G217" t="s">
        <v>14</v>
      </c>
      <c r="H217" s="7">
        <f t="shared" si="22"/>
        <v>42.125874125874127</v>
      </c>
      <c r="I217">
        <v>143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19"/>
        <v>43509.25</v>
      </c>
      <c r="O217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3"/>
        <v>theater</v>
      </c>
      <c r="T217" t="str">
        <f t="shared" si="21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155.07066557107643</v>
      </c>
      <c r="G218" t="s">
        <v>20</v>
      </c>
      <c r="H218" s="7">
        <f t="shared" si="22"/>
        <v>103.97851239669421</v>
      </c>
      <c r="I218">
        <v>1815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19"/>
        <v>40869.25</v>
      </c>
      <c r="O218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3"/>
        <v>theater</v>
      </c>
      <c r="T218" t="str">
        <f t="shared" si="21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44.753477588871718</v>
      </c>
      <c r="G219" t="s">
        <v>14</v>
      </c>
      <c r="H219" s="7">
        <f t="shared" si="22"/>
        <v>62.003211991434689</v>
      </c>
      <c r="I219">
        <v>934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19"/>
        <v>43583.208333333328</v>
      </c>
      <c r="O219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3"/>
        <v>film &amp; video</v>
      </c>
      <c r="T219" t="str">
        <f t="shared" si="21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215.94736842105263</v>
      </c>
      <c r="G220" t="s">
        <v>20</v>
      </c>
      <c r="H220" s="7">
        <f t="shared" si="22"/>
        <v>31.005037783375315</v>
      </c>
      <c r="I220">
        <v>397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19"/>
        <v>40858.25</v>
      </c>
      <c r="O220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3"/>
        <v>film &amp; video</v>
      </c>
      <c r="T220" t="str">
        <f t="shared" si="21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332.12709832134288</v>
      </c>
      <c r="G221" t="s">
        <v>20</v>
      </c>
      <c r="H221" s="7">
        <f t="shared" si="22"/>
        <v>89.991552956465242</v>
      </c>
      <c r="I221">
        <v>1539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19"/>
        <v>41137.208333333336</v>
      </c>
      <c r="O221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3"/>
        <v>film &amp; video</v>
      </c>
      <c r="T221" t="str">
        <f t="shared" si="21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8.4430379746835449</v>
      </c>
      <c r="G222" t="s">
        <v>14</v>
      </c>
      <c r="H222" s="7">
        <f t="shared" si="22"/>
        <v>39.235294117647058</v>
      </c>
      <c r="I222">
        <v>17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19"/>
        <v>40725.208333333336</v>
      </c>
      <c r="O222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3"/>
        <v>theater</v>
      </c>
      <c r="T222" t="str">
        <f t="shared" si="21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98.625514403292186</v>
      </c>
      <c r="G223" t="s">
        <v>14</v>
      </c>
      <c r="H223" s="7">
        <f t="shared" si="22"/>
        <v>54.993116108306566</v>
      </c>
      <c r="I223">
        <v>2179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19"/>
        <v>41081.208333333336</v>
      </c>
      <c r="O223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3"/>
        <v>food</v>
      </c>
      <c r="T223" t="str">
        <f t="shared" si="21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137.97916666666669</v>
      </c>
      <c r="G224" t="s">
        <v>20</v>
      </c>
      <c r="H224" s="7">
        <f t="shared" si="22"/>
        <v>47.992753623188406</v>
      </c>
      <c r="I224">
        <v>138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19"/>
        <v>41914.208333333336</v>
      </c>
      <c r="O224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3"/>
        <v>photography</v>
      </c>
      <c r="T224" t="str">
        <f t="shared" si="21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93.81099656357388</v>
      </c>
      <c r="G225" t="s">
        <v>14</v>
      </c>
      <c r="H225" s="7">
        <f t="shared" si="22"/>
        <v>87.966702470461868</v>
      </c>
      <c r="I225">
        <v>931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19"/>
        <v>42445.208333333328</v>
      </c>
      <c r="O225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3"/>
        <v>theater</v>
      </c>
      <c r="T225" t="str">
        <f t="shared" si="21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403.63930885529157</v>
      </c>
      <c r="G226" t="s">
        <v>20</v>
      </c>
      <c r="H226" s="7">
        <f t="shared" si="22"/>
        <v>51.999165275459099</v>
      </c>
      <c r="I226">
        <v>3594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19"/>
        <v>41906.208333333336</v>
      </c>
      <c r="O226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3"/>
        <v>film &amp; video</v>
      </c>
      <c r="T226" t="str">
        <f t="shared" si="21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260.1740412979351</v>
      </c>
      <c r="G227" t="s">
        <v>20</v>
      </c>
      <c r="H227" s="7">
        <f t="shared" si="22"/>
        <v>29.999659863945578</v>
      </c>
      <c r="I227">
        <v>5880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19"/>
        <v>41762.208333333336</v>
      </c>
      <c r="O227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3"/>
        <v>music</v>
      </c>
      <c r="T227" t="str">
        <f t="shared" si="21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366.63333333333333</v>
      </c>
      <c r="G228" t="s">
        <v>20</v>
      </c>
      <c r="H228" s="7">
        <f t="shared" si="22"/>
        <v>98.205357142857139</v>
      </c>
      <c r="I228">
        <v>112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19"/>
        <v>40276.208333333336</v>
      </c>
      <c r="O228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3"/>
        <v>photography</v>
      </c>
      <c r="T228" t="str">
        <f t="shared" si="21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168.72085385878489</v>
      </c>
      <c r="G229" t="s">
        <v>20</v>
      </c>
      <c r="H229" s="7">
        <f t="shared" si="22"/>
        <v>108.96182396606575</v>
      </c>
      <c r="I229">
        <v>943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19"/>
        <v>42139.208333333328</v>
      </c>
      <c r="O229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3"/>
        <v>games</v>
      </c>
      <c r="T229" t="str">
        <f t="shared" si="21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119.90717911530093</v>
      </c>
      <c r="G230" t="s">
        <v>20</v>
      </c>
      <c r="H230" s="7">
        <f t="shared" si="22"/>
        <v>66.998379254457049</v>
      </c>
      <c r="I230">
        <v>2468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19"/>
        <v>42613.208333333328</v>
      </c>
      <c r="O230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3"/>
        <v>film &amp; video</v>
      </c>
      <c r="T230" t="str">
        <f t="shared" si="21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193.68925233644859</v>
      </c>
      <c r="G231" t="s">
        <v>20</v>
      </c>
      <c r="H231" s="7">
        <f t="shared" si="22"/>
        <v>64.99333594668758</v>
      </c>
      <c r="I231">
        <v>2551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19"/>
        <v>42887.208333333328</v>
      </c>
      <c r="O231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3"/>
        <v>games</v>
      </c>
      <c r="T231" t="str">
        <f t="shared" si="21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420.16666666666669</v>
      </c>
      <c r="G232" t="s">
        <v>20</v>
      </c>
      <c r="H232" s="7">
        <f t="shared" si="22"/>
        <v>99.841584158415841</v>
      </c>
      <c r="I232">
        <v>101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19"/>
        <v>43805.25</v>
      </c>
      <c r="O232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3"/>
        <v>games</v>
      </c>
      <c r="T232" t="str">
        <f t="shared" si="21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76.708333333333329</v>
      </c>
      <c r="G233" t="s">
        <v>74</v>
      </c>
      <c r="H233" s="7">
        <f t="shared" si="22"/>
        <v>82.432835820895519</v>
      </c>
      <c r="I233">
        <v>67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19"/>
        <v>41415.208333333336</v>
      </c>
      <c r="O233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3"/>
        <v>theater</v>
      </c>
      <c r="T233" t="str">
        <f t="shared" si="21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171.26470588235293</v>
      </c>
      <c r="G234" t="s">
        <v>20</v>
      </c>
      <c r="H234" s="7">
        <f t="shared" si="22"/>
        <v>63.293478260869563</v>
      </c>
      <c r="I234">
        <v>92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19"/>
        <v>42576.208333333328</v>
      </c>
      <c r="O234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3"/>
        <v>theater</v>
      </c>
      <c r="T234" t="str">
        <f t="shared" si="21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157.89473684210526</v>
      </c>
      <c r="G235" t="s">
        <v>20</v>
      </c>
      <c r="H235" s="7">
        <f t="shared" si="22"/>
        <v>96.774193548387103</v>
      </c>
      <c r="I235">
        <v>62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19"/>
        <v>40706.208333333336</v>
      </c>
      <c r="O235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3"/>
        <v>film &amp; video</v>
      </c>
      <c r="T235" t="str">
        <f t="shared" si="21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109.08</v>
      </c>
      <c r="G236" t="s">
        <v>20</v>
      </c>
      <c r="H236" s="7">
        <f t="shared" si="22"/>
        <v>54.906040268456373</v>
      </c>
      <c r="I236">
        <v>149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19"/>
        <v>42969.208333333328</v>
      </c>
      <c r="O236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3"/>
        <v>games</v>
      </c>
      <c r="T236" t="str">
        <f t="shared" si="21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41.732558139534881</v>
      </c>
      <c r="G237" t="s">
        <v>14</v>
      </c>
      <c r="H237" s="7">
        <f t="shared" si="22"/>
        <v>39.010869565217391</v>
      </c>
      <c r="I237">
        <v>92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19"/>
        <v>42779.25</v>
      </c>
      <c r="O237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3"/>
        <v>film &amp; video</v>
      </c>
      <c r="T237" t="str">
        <f t="shared" si="21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10.944303797468354</v>
      </c>
      <c r="G238" t="s">
        <v>14</v>
      </c>
      <c r="H238" s="7">
        <f t="shared" si="22"/>
        <v>75.84210526315789</v>
      </c>
      <c r="I238">
        <v>57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19"/>
        <v>43641.208333333328</v>
      </c>
      <c r="O238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3"/>
        <v>music</v>
      </c>
      <c r="T238" t="str">
        <f t="shared" si="21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159.3763440860215</v>
      </c>
      <c r="G239" t="s">
        <v>20</v>
      </c>
      <c r="H239" s="7">
        <f t="shared" si="22"/>
        <v>45.051671732522799</v>
      </c>
      <c r="I239">
        <v>329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19"/>
        <v>41754.208333333336</v>
      </c>
      <c r="O239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3"/>
        <v>film &amp; video</v>
      </c>
      <c r="T239" t="str">
        <f t="shared" si="21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422.41666666666669</v>
      </c>
      <c r="G240" t="s">
        <v>20</v>
      </c>
      <c r="H240" s="7">
        <f t="shared" si="22"/>
        <v>104.51546391752578</v>
      </c>
      <c r="I240">
        <v>97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19"/>
        <v>43083.25</v>
      </c>
      <c r="O240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3"/>
        <v>theater</v>
      </c>
      <c r="T240" t="str">
        <f t="shared" si="21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97.71875</v>
      </c>
      <c r="G241" t="s">
        <v>14</v>
      </c>
      <c r="H241" s="7">
        <f t="shared" si="22"/>
        <v>76.268292682926827</v>
      </c>
      <c r="I241">
        <v>41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19"/>
        <v>42245.208333333328</v>
      </c>
      <c r="O241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3"/>
        <v>technology</v>
      </c>
      <c r="T241" t="str">
        <f t="shared" si="21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418.78911564625849</v>
      </c>
      <c r="G242" t="s">
        <v>20</v>
      </c>
      <c r="H242" s="7">
        <f t="shared" si="22"/>
        <v>69.015695067264573</v>
      </c>
      <c r="I242">
        <v>1784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19"/>
        <v>40396.208333333336</v>
      </c>
      <c r="O242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3"/>
        <v>theater</v>
      </c>
      <c r="T242" t="str">
        <f t="shared" si="21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101.91632047477745</v>
      </c>
      <c r="G243" t="s">
        <v>20</v>
      </c>
      <c r="H243" s="7">
        <f t="shared" si="22"/>
        <v>101.97684085510689</v>
      </c>
      <c r="I243">
        <v>1684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19"/>
        <v>41742.208333333336</v>
      </c>
      <c r="O243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3"/>
        <v>publishing</v>
      </c>
      <c r="T243" t="str">
        <f t="shared" si="21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127.72619047619047</v>
      </c>
      <c r="G244" t="s">
        <v>20</v>
      </c>
      <c r="H244" s="7">
        <f t="shared" si="22"/>
        <v>42.915999999999997</v>
      </c>
      <c r="I244">
        <v>250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19"/>
        <v>42865.208333333328</v>
      </c>
      <c r="O244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3"/>
        <v>music</v>
      </c>
      <c r="T244" t="str">
        <f t="shared" si="21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445.21739130434781</v>
      </c>
      <c r="G245" t="s">
        <v>20</v>
      </c>
      <c r="H245" s="7">
        <f t="shared" si="22"/>
        <v>43.025210084033617</v>
      </c>
      <c r="I245">
        <v>238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19"/>
        <v>43163.25</v>
      </c>
      <c r="O245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3"/>
        <v>theater</v>
      </c>
      <c r="T245" t="str">
        <f t="shared" si="21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569.71428571428578</v>
      </c>
      <c r="G246" t="s">
        <v>20</v>
      </c>
      <c r="H246" s="7">
        <f t="shared" si="22"/>
        <v>75.245283018867923</v>
      </c>
      <c r="I246">
        <v>53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19"/>
        <v>41834.208333333336</v>
      </c>
      <c r="O246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3"/>
        <v>theater</v>
      </c>
      <c r="T246" t="str">
        <f t="shared" si="21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509.34482758620686</v>
      </c>
      <c r="G247" t="s">
        <v>20</v>
      </c>
      <c r="H247" s="7">
        <f t="shared" si="22"/>
        <v>69.023364485981304</v>
      </c>
      <c r="I247">
        <v>214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19"/>
        <v>41736.208333333336</v>
      </c>
      <c r="O247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3"/>
        <v>theater</v>
      </c>
      <c r="T247" t="str">
        <f t="shared" si="21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325.5333333333333</v>
      </c>
      <c r="G248" t="s">
        <v>20</v>
      </c>
      <c r="H248" s="7">
        <f t="shared" si="22"/>
        <v>65.986486486486484</v>
      </c>
      <c r="I248">
        <v>222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19"/>
        <v>41491.208333333336</v>
      </c>
      <c r="O248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3"/>
        <v>technology</v>
      </c>
      <c r="T248" t="str">
        <f t="shared" si="21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932.61616161616166</v>
      </c>
      <c r="G249" t="s">
        <v>20</v>
      </c>
      <c r="H249" s="7">
        <f t="shared" si="22"/>
        <v>98.013800424628457</v>
      </c>
      <c r="I249">
        <v>1884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19"/>
        <v>42726.25</v>
      </c>
      <c r="O249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3"/>
        <v>publishing</v>
      </c>
      <c r="T249" t="str">
        <f t="shared" si="21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211.33870967741933</v>
      </c>
      <c r="G250" t="s">
        <v>20</v>
      </c>
      <c r="H250" s="7">
        <f t="shared" si="22"/>
        <v>60.105504587155963</v>
      </c>
      <c r="I250">
        <v>218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19"/>
        <v>42004.25</v>
      </c>
      <c r="O250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3"/>
        <v>games</v>
      </c>
      <c r="T250" t="str">
        <f t="shared" si="21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273.32520325203251</v>
      </c>
      <c r="G251" t="s">
        <v>20</v>
      </c>
      <c r="H251" s="7">
        <f t="shared" si="22"/>
        <v>26.000773395204948</v>
      </c>
      <c r="I251">
        <v>6465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19"/>
        <v>42006.25</v>
      </c>
      <c r="O251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3"/>
        <v>publishing</v>
      </c>
      <c r="T251" t="str">
        <f t="shared" si="21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3</v>
      </c>
      <c r="G252" t="s">
        <v>14</v>
      </c>
      <c r="H252" s="7">
        <f t="shared" si="22"/>
        <v>3</v>
      </c>
      <c r="I252">
        <v>1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19"/>
        <v>40203.25</v>
      </c>
      <c r="O252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3"/>
        <v>music</v>
      </c>
      <c r="T252" t="str">
        <f t="shared" si="21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54.084507042253513</v>
      </c>
      <c r="G253" t="s">
        <v>14</v>
      </c>
      <c r="H253" s="7">
        <f t="shared" si="22"/>
        <v>38.019801980198018</v>
      </c>
      <c r="I253">
        <v>101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19"/>
        <v>41252.25</v>
      </c>
      <c r="O253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3"/>
        <v>theater</v>
      </c>
      <c r="T253" t="str">
        <f t="shared" si="21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626.29999999999995</v>
      </c>
      <c r="G254" t="s">
        <v>20</v>
      </c>
      <c r="H254" s="7">
        <f t="shared" si="22"/>
        <v>106.15254237288136</v>
      </c>
      <c r="I254">
        <v>59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19"/>
        <v>41572.208333333336</v>
      </c>
      <c r="O254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3"/>
        <v>theater</v>
      </c>
      <c r="T254" t="str">
        <f t="shared" si="21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89.021399176954731</v>
      </c>
      <c r="G255" t="s">
        <v>14</v>
      </c>
      <c r="H255" s="7">
        <f t="shared" si="22"/>
        <v>81.019475655430711</v>
      </c>
      <c r="I255">
        <v>1335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19"/>
        <v>40641.208333333336</v>
      </c>
      <c r="O255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3"/>
        <v>film &amp; video</v>
      </c>
      <c r="T255" t="str">
        <f t="shared" si="21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184.89130434782609</v>
      </c>
      <c r="G256" t="s">
        <v>20</v>
      </c>
      <c r="H256" s="7">
        <f t="shared" si="22"/>
        <v>96.647727272727266</v>
      </c>
      <c r="I256">
        <v>88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19"/>
        <v>42787.25</v>
      </c>
      <c r="O256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3"/>
        <v>publishing</v>
      </c>
      <c r="T256" t="str">
        <f t="shared" si="21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120.16770186335404</v>
      </c>
      <c r="G257" t="s">
        <v>20</v>
      </c>
      <c r="H257" s="7">
        <f t="shared" si="22"/>
        <v>57.003535651149086</v>
      </c>
      <c r="I257">
        <v>1697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19"/>
        <v>40590.25</v>
      </c>
      <c r="O257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3"/>
        <v>music</v>
      </c>
      <c r="T257" t="str">
        <f t="shared" si="21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ref="F258:F321" si="24">E258/D258*100</f>
        <v>23.390243902439025</v>
      </c>
      <c r="G258" t="s">
        <v>14</v>
      </c>
      <c r="H258" s="7">
        <f t="shared" si="22"/>
        <v>63.93333333333333</v>
      </c>
      <c r="I258">
        <v>15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19"/>
        <v>42393.25</v>
      </c>
      <c r="O258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3"/>
        <v>music</v>
      </c>
      <c r="T258" t="str">
        <f t="shared" si="21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24"/>
        <v>146</v>
      </c>
      <c r="G259" t="s">
        <v>20</v>
      </c>
      <c r="H259" s="7">
        <f t="shared" si="22"/>
        <v>90.456521739130437</v>
      </c>
      <c r="I259">
        <v>92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N322" si="25">(((L259/60)/60)/24)+DATE(1970,1,1)</f>
        <v>41338.25</v>
      </c>
      <c r="O259">
        <f t="shared" ref="O259:O322" si="26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si="23"/>
        <v>theater</v>
      </c>
      <c r="T259" t="str">
        <f t="shared" ref="T259:T322" si="27">RIGHT(R259,LEN(R259)-LEN(S259)-1)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268.48</v>
      </c>
      <c r="G260" t="s">
        <v>20</v>
      </c>
      <c r="H260" s="7">
        <f t="shared" ref="H260:H323" si="28">E260/I260</f>
        <v>72.172043010752688</v>
      </c>
      <c r="I260">
        <v>186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25"/>
        <v>42712.25</v>
      </c>
      <c r="O260">
        <f t="shared" si="26"/>
        <v>42732.25</v>
      </c>
      <c r="P260" t="b">
        <v>0</v>
      </c>
      <c r="Q260" t="b">
        <v>1</v>
      </c>
      <c r="R260" t="s">
        <v>33</v>
      </c>
      <c r="S260" t="str">
        <f t="shared" ref="S260:S323" si="29">LEFT(R260,FIND("/",R260)-1)</f>
        <v>theater</v>
      </c>
      <c r="T260" t="str">
        <f t="shared" si="27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597.5</v>
      </c>
      <c r="G261" t="s">
        <v>20</v>
      </c>
      <c r="H261" s="7">
        <f t="shared" si="28"/>
        <v>77.934782608695656</v>
      </c>
      <c r="I261">
        <v>138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25"/>
        <v>41251.25</v>
      </c>
      <c r="O261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9"/>
        <v>photography</v>
      </c>
      <c r="T261" t="str">
        <f t="shared" si="27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157.69841269841268</v>
      </c>
      <c r="G262" t="s">
        <v>20</v>
      </c>
      <c r="H262" s="7">
        <f t="shared" si="28"/>
        <v>38.065134099616856</v>
      </c>
      <c r="I262">
        <v>261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25"/>
        <v>41180.208333333336</v>
      </c>
      <c r="O262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9"/>
        <v>music</v>
      </c>
      <c r="T262" t="str">
        <f t="shared" si="27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31.201660735468568</v>
      </c>
      <c r="G263" t="s">
        <v>14</v>
      </c>
      <c r="H263" s="7">
        <f t="shared" si="28"/>
        <v>57.936123348017624</v>
      </c>
      <c r="I263">
        <v>454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25"/>
        <v>40415.208333333336</v>
      </c>
      <c r="O263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9"/>
        <v>music</v>
      </c>
      <c r="T263" t="str">
        <f t="shared" si="27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313.41176470588238</v>
      </c>
      <c r="G264" t="s">
        <v>20</v>
      </c>
      <c r="H264" s="7">
        <f t="shared" si="28"/>
        <v>49.794392523364486</v>
      </c>
      <c r="I264">
        <v>107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25"/>
        <v>40638.208333333336</v>
      </c>
      <c r="O264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9"/>
        <v>music</v>
      </c>
      <c r="T264" t="str">
        <f t="shared" si="27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370.89655172413791</v>
      </c>
      <c r="G265" t="s">
        <v>20</v>
      </c>
      <c r="H265" s="7">
        <f t="shared" si="28"/>
        <v>54.050251256281406</v>
      </c>
      <c r="I265">
        <v>199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25"/>
        <v>40187.25</v>
      </c>
      <c r="O265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9"/>
        <v>photography</v>
      </c>
      <c r="T265" t="str">
        <f t="shared" si="27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362.66447368421052</v>
      </c>
      <c r="G266" t="s">
        <v>20</v>
      </c>
      <c r="H266" s="7">
        <f t="shared" si="28"/>
        <v>30.002721335268504</v>
      </c>
      <c r="I266">
        <v>5512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25"/>
        <v>41317.25</v>
      </c>
      <c r="O266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9"/>
        <v>theater</v>
      </c>
      <c r="T266" t="str">
        <f t="shared" si="27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123.08163265306122</v>
      </c>
      <c r="G267" t="s">
        <v>20</v>
      </c>
      <c r="H267" s="7">
        <f t="shared" si="28"/>
        <v>70.127906976744185</v>
      </c>
      <c r="I267">
        <v>86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25"/>
        <v>42372.25</v>
      </c>
      <c r="O267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9"/>
        <v>theater</v>
      </c>
      <c r="T267" t="str">
        <f t="shared" si="27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76.766756032171585</v>
      </c>
      <c r="G268" t="s">
        <v>14</v>
      </c>
      <c r="H268" s="7">
        <f t="shared" si="28"/>
        <v>26.996228786926462</v>
      </c>
      <c r="I268">
        <v>3182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25"/>
        <v>41950.25</v>
      </c>
      <c r="O268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9"/>
        <v>music</v>
      </c>
      <c r="T268" t="str">
        <f t="shared" si="27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233.62012987012989</v>
      </c>
      <c r="G269" t="s">
        <v>20</v>
      </c>
      <c r="H269" s="7">
        <f t="shared" si="28"/>
        <v>51.990606936416185</v>
      </c>
      <c r="I269">
        <v>2768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25"/>
        <v>41206.208333333336</v>
      </c>
      <c r="O269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9"/>
        <v>theater</v>
      </c>
      <c r="T269" t="str">
        <f t="shared" si="27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180.53333333333333</v>
      </c>
      <c r="G270" t="s">
        <v>20</v>
      </c>
      <c r="H270" s="7">
        <f t="shared" si="28"/>
        <v>56.416666666666664</v>
      </c>
      <c r="I270">
        <v>48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25"/>
        <v>41186.208333333336</v>
      </c>
      <c r="O270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9"/>
        <v>film &amp; video</v>
      </c>
      <c r="T270" t="str">
        <f t="shared" si="27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252.62857142857143</v>
      </c>
      <c r="G271" t="s">
        <v>20</v>
      </c>
      <c r="H271" s="7">
        <f t="shared" si="28"/>
        <v>101.63218390804597</v>
      </c>
      <c r="I271">
        <v>87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25"/>
        <v>43496.25</v>
      </c>
      <c r="O271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9"/>
        <v>film &amp; video</v>
      </c>
      <c r="T271" t="str">
        <f t="shared" si="27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27.176538240368025</v>
      </c>
      <c r="G272" t="s">
        <v>74</v>
      </c>
      <c r="H272" s="7">
        <f t="shared" si="28"/>
        <v>25.005291005291006</v>
      </c>
      <c r="I272">
        <v>1890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25"/>
        <v>40514.25</v>
      </c>
      <c r="O272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9"/>
        <v>games</v>
      </c>
      <c r="T272" t="str">
        <f t="shared" si="27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</v>
      </c>
      <c r="G273" t="s">
        <v>47</v>
      </c>
      <c r="H273" s="7">
        <f t="shared" si="28"/>
        <v>32.016393442622949</v>
      </c>
      <c r="I273">
        <v>61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25"/>
        <v>42345.25</v>
      </c>
      <c r="O273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9"/>
        <v>photography</v>
      </c>
      <c r="T273" t="str">
        <f t="shared" si="27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304.0097847358121</v>
      </c>
      <c r="G274" t="s">
        <v>20</v>
      </c>
      <c r="H274" s="7">
        <f t="shared" si="28"/>
        <v>82.021647307286173</v>
      </c>
      <c r="I274">
        <v>1894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25"/>
        <v>43656.208333333328</v>
      </c>
      <c r="O274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9"/>
        <v>theater</v>
      </c>
      <c r="T274" t="str">
        <f t="shared" si="27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137.23076923076923</v>
      </c>
      <c r="G275" t="s">
        <v>20</v>
      </c>
      <c r="H275" s="7">
        <f t="shared" si="28"/>
        <v>37.957446808510639</v>
      </c>
      <c r="I275">
        <v>282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25"/>
        <v>42995.208333333328</v>
      </c>
      <c r="O275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9"/>
        <v>theater</v>
      </c>
      <c r="T275" t="str">
        <f t="shared" si="27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32.208333333333336</v>
      </c>
      <c r="G276" t="s">
        <v>14</v>
      </c>
      <c r="H276" s="7">
        <f t="shared" si="28"/>
        <v>51.533333333333331</v>
      </c>
      <c r="I276">
        <v>15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25"/>
        <v>43045.25</v>
      </c>
      <c r="O276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9"/>
        <v>theater</v>
      </c>
      <c r="T276" t="str">
        <f t="shared" si="27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241.51282051282053</v>
      </c>
      <c r="G277" t="s">
        <v>20</v>
      </c>
      <c r="H277" s="7">
        <f t="shared" si="28"/>
        <v>81.198275862068968</v>
      </c>
      <c r="I277">
        <v>116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25"/>
        <v>43561.208333333328</v>
      </c>
      <c r="O277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9"/>
        <v>publishing</v>
      </c>
      <c r="T277" t="str">
        <f t="shared" si="27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96.8</v>
      </c>
      <c r="G278" t="s">
        <v>14</v>
      </c>
      <c r="H278" s="7">
        <f t="shared" si="28"/>
        <v>40.030075187969928</v>
      </c>
      <c r="I278">
        <v>133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25"/>
        <v>41018.208333333336</v>
      </c>
      <c r="O278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9"/>
        <v>games</v>
      </c>
      <c r="T278" t="str">
        <f t="shared" si="27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1066.4285714285716</v>
      </c>
      <c r="G279" t="s">
        <v>20</v>
      </c>
      <c r="H279" s="7">
        <f t="shared" si="28"/>
        <v>89.939759036144579</v>
      </c>
      <c r="I279">
        <v>83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25"/>
        <v>40378.208333333336</v>
      </c>
      <c r="O279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9"/>
        <v>theater</v>
      </c>
      <c r="T279" t="str">
        <f t="shared" si="27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325.88888888888891</v>
      </c>
      <c r="G280" t="s">
        <v>20</v>
      </c>
      <c r="H280" s="7">
        <f t="shared" si="28"/>
        <v>96.692307692307693</v>
      </c>
      <c r="I280">
        <v>91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25"/>
        <v>41239.25</v>
      </c>
      <c r="O280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9"/>
        <v>technology</v>
      </c>
      <c r="T280" t="str">
        <f t="shared" si="27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170.70000000000002</v>
      </c>
      <c r="G281" t="s">
        <v>20</v>
      </c>
      <c r="H281" s="7">
        <f t="shared" si="28"/>
        <v>25.010989010989011</v>
      </c>
      <c r="I281">
        <v>546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25"/>
        <v>43346.208333333328</v>
      </c>
      <c r="O281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9"/>
        <v>theater</v>
      </c>
      <c r="T281" t="str">
        <f t="shared" si="27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581.44000000000005</v>
      </c>
      <c r="G282" t="s">
        <v>20</v>
      </c>
      <c r="H282" s="7">
        <f t="shared" si="28"/>
        <v>36.987277353689571</v>
      </c>
      <c r="I282">
        <v>393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25"/>
        <v>43060.25</v>
      </c>
      <c r="O282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9"/>
        <v>film &amp; video</v>
      </c>
      <c r="T282" t="str">
        <f t="shared" si="27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91.520972644376897</v>
      </c>
      <c r="G283" t="s">
        <v>14</v>
      </c>
      <c r="H283" s="7">
        <f t="shared" si="28"/>
        <v>73.012609117361791</v>
      </c>
      <c r="I283">
        <v>2062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25"/>
        <v>40979.25</v>
      </c>
      <c r="O283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9"/>
        <v>theater</v>
      </c>
      <c r="T283" t="str">
        <f t="shared" si="27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108.04761904761904</v>
      </c>
      <c r="G284" t="s">
        <v>20</v>
      </c>
      <c r="H284" s="7">
        <f t="shared" si="28"/>
        <v>68.240601503759393</v>
      </c>
      <c r="I284">
        <v>133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25"/>
        <v>42701.25</v>
      </c>
      <c r="O284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9"/>
        <v>film &amp; video</v>
      </c>
      <c r="T284" t="str">
        <f t="shared" si="27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18.728395061728396</v>
      </c>
      <c r="G285" t="s">
        <v>14</v>
      </c>
      <c r="H285" s="7">
        <f t="shared" si="28"/>
        <v>52.310344827586206</v>
      </c>
      <c r="I285">
        <v>29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25"/>
        <v>42520.208333333328</v>
      </c>
      <c r="O285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9"/>
        <v>music</v>
      </c>
      <c r="T285" t="str">
        <f t="shared" si="27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83.193877551020407</v>
      </c>
      <c r="G286" t="s">
        <v>14</v>
      </c>
      <c r="H286" s="7">
        <f t="shared" si="28"/>
        <v>61.765151515151516</v>
      </c>
      <c r="I286">
        <v>132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25"/>
        <v>41030.208333333336</v>
      </c>
      <c r="O286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9"/>
        <v>technology</v>
      </c>
      <c r="T286" t="str">
        <f t="shared" si="27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706.33333333333337</v>
      </c>
      <c r="G287" t="s">
        <v>20</v>
      </c>
      <c r="H287" s="7">
        <f t="shared" si="28"/>
        <v>25.027559055118111</v>
      </c>
      <c r="I287">
        <v>254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25"/>
        <v>42623.208333333328</v>
      </c>
      <c r="O287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9"/>
        <v>theater</v>
      </c>
      <c r="T287" t="str">
        <f t="shared" si="27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17.446030330062445</v>
      </c>
      <c r="G288" t="s">
        <v>74</v>
      </c>
      <c r="H288" s="7">
        <f t="shared" si="28"/>
        <v>106.28804347826087</v>
      </c>
      <c r="I288">
        <v>184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25"/>
        <v>42697.25</v>
      </c>
      <c r="O288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9"/>
        <v>theater</v>
      </c>
      <c r="T288" t="str">
        <f t="shared" si="27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209.73015873015873</v>
      </c>
      <c r="G289" t="s">
        <v>20</v>
      </c>
      <c r="H289" s="7">
        <f t="shared" si="28"/>
        <v>75.07386363636364</v>
      </c>
      <c r="I289">
        <v>176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25"/>
        <v>42122.208333333328</v>
      </c>
      <c r="O289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9"/>
        <v>music</v>
      </c>
      <c r="T289" t="str">
        <f t="shared" si="27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97.785714285714292</v>
      </c>
      <c r="G290" t="s">
        <v>14</v>
      </c>
      <c r="H290" s="7">
        <f t="shared" si="28"/>
        <v>39.970802919708028</v>
      </c>
      <c r="I290">
        <v>137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25"/>
        <v>40982.208333333336</v>
      </c>
      <c r="O290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9"/>
        <v>music</v>
      </c>
      <c r="T290" t="str">
        <f t="shared" si="27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1684.25</v>
      </c>
      <c r="G291" t="s">
        <v>20</v>
      </c>
      <c r="H291" s="7">
        <f t="shared" si="28"/>
        <v>39.982195845697326</v>
      </c>
      <c r="I291">
        <v>337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25"/>
        <v>42219.208333333328</v>
      </c>
      <c r="O291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9"/>
        <v>theater</v>
      </c>
      <c r="T291" t="str">
        <f t="shared" si="27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54.402135231316727</v>
      </c>
      <c r="G292" t="s">
        <v>14</v>
      </c>
      <c r="H292" s="7">
        <f t="shared" si="28"/>
        <v>101.01541850220265</v>
      </c>
      <c r="I292">
        <v>908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25"/>
        <v>41404.208333333336</v>
      </c>
      <c r="O292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9"/>
        <v>film &amp; video</v>
      </c>
      <c r="T292" t="str">
        <f t="shared" si="27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456.61111111111109</v>
      </c>
      <c r="G293" t="s">
        <v>20</v>
      </c>
      <c r="H293" s="7">
        <f t="shared" si="28"/>
        <v>76.813084112149539</v>
      </c>
      <c r="I293">
        <v>107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25"/>
        <v>40831.208333333336</v>
      </c>
      <c r="O293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9"/>
        <v>technology</v>
      </c>
      <c r="T293" t="str">
        <f t="shared" si="27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9.8219178082191778</v>
      </c>
      <c r="G294" t="s">
        <v>14</v>
      </c>
      <c r="H294" s="7">
        <f t="shared" si="28"/>
        <v>71.7</v>
      </c>
      <c r="I294">
        <v>10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25"/>
        <v>40984.208333333336</v>
      </c>
      <c r="O294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9"/>
        <v>food</v>
      </c>
      <c r="T294" t="str">
        <f t="shared" si="27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16.384615384615383</v>
      </c>
      <c r="G295" t="s">
        <v>74</v>
      </c>
      <c r="H295" s="7">
        <f t="shared" si="28"/>
        <v>33.28125</v>
      </c>
      <c r="I295">
        <v>32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25"/>
        <v>40456.208333333336</v>
      </c>
      <c r="O295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9"/>
        <v>theater</v>
      </c>
      <c r="T295" t="str">
        <f t="shared" si="27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1339.6666666666667</v>
      </c>
      <c r="G296" t="s">
        <v>20</v>
      </c>
      <c r="H296" s="7">
        <f t="shared" si="28"/>
        <v>43.923497267759565</v>
      </c>
      <c r="I296">
        <v>183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25"/>
        <v>43399.208333333328</v>
      </c>
      <c r="O296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9"/>
        <v>theater</v>
      </c>
      <c r="T296" t="str">
        <f t="shared" si="27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35.650077760497666</v>
      </c>
      <c r="G297" t="s">
        <v>14</v>
      </c>
      <c r="H297" s="7">
        <f t="shared" si="28"/>
        <v>36.004712041884815</v>
      </c>
      <c r="I297">
        <v>1910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25"/>
        <v>41562.208333333336</v>
      </c>
      <c r="O297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9"/>
        <v>theater</v>
      </c>
      <c r="T297" t="str">
        <f t="shared" si="27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54.950819672131146</v>
      </c>
      <c r="G298" t="s">
        <v>14</v>
      </c>
      <c r="H298" s="7">
        <f t="shared" si="28"/>
        <v>88.21052631578948</v>
      </c>
      <c r="I298">
        <v>38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25"/>
        <v>43493.25</v>
      </c>
      <c r="O298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9"/>
        <v>theater</v>
      </c>
      <c r="T298" t="str">
        <f t="shared" si="27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94.236111111111114</v>
      </c>
      <c r="G299" t="s">
        <v>14</v>
      </c>
      <c r="H299" s="7">
        <f t="shared" si="28"/>
        <v>65.240384615384613</v>
      </c>
      <c r="I299">
        <v>104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25"/>
        <v>41653.25</v>
      </c>
      <c r="O299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9"/>
        <v>theater</v>
      </c>
      <c r="T299" t="str">
        <f t="shared" si="27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143.91428571428571</v>
      </c>
      <c r="G300" t="s">
        <v>20</v>
      </c>
      <c r="H300" s="7">
        <f t="shared" si="28"/>
        <v>69.958333333333329</v>
      </c>
      <c r="I300">
        <v>72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25"/>
        <v>42426.25</v>
      </c>
      <c r="O300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9"/>
        <v>music</v>
      </c>
      <c r="T300" t="str">
        <f t="shared" si="27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51.421052631578945</v>
      </c>
      <c r="G301" t="s">
        <v>14</v>
      </c>
      <c r="H301" s="7">
        <f t="shared" si="28"/>
        <v>39.877551020408163</v>
      </c>
      <c r="I301">
        <v>49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25"/>
        <v>42432.25</v>
      </c>
      <c r="O301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9"/>
        <v>food</v>
      </c>
      <c r="T301" t="str">
        <f t="shared" si="27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5</v>
      </c>
      <c r="G302" t="s">
        <v>14</v>
      </c>
      <c r="H302" s="7">
        <f t="shared" si="28"/>
        <v>5</v>
      </c>
      <c r="I302">
        <v>1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25"/>
        <v>42977.208333333328</v>
      </c>
      <c r="O302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9"/>
        <v>publishing</v>
      </c>
      <c r="T302" t="str">
        <f t="shared" si="27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1344.6666666666667</v>
      </c>
      <c r="G303" t="s">
        <v>20</v>
      </c>
      <c r="H303" s="7">
        <f t="shared" si="28"/>
        <v>41.023728813559323</v>
      </c>
      <c r="I303">
        <v>295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25"/>
        <v>42061.25</v>
      </c>
      <c r="O303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9"/>
        <v>film &amp; video</v>
      </c>
      <c r="T303" t="str">
        <f t="shared" si="27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31.844940867279899</v>
      </c>
      <c r="G304" t="s">
        <v>14</v>
      </c>
      <c r="H304" s="7">
        <f t="shared" si="28"/>
        <v>98.914285714285711</v>
      </c>
      <c r="I304">
        <v>245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25"/>
        <v>43345.208333333328</v>
      </c>
      <c r="O304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9"/>
        <v>theater</v>
      </c>
      <c r="T304" t="str">
        <f t="shared" si="27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82.617647058823536</v>
      </c>
      <c r="G305" t="s">
        <v>14</v>
      </c>
      <c r="H305" s="7">
        <f t="shared" si="28"/>
        <v>87.78125</v>
      </c>
      <c r="I305">
        <v>32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25"/>
        <v>42376.25</v>
      </c>
      <c r="O305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9"/>
        <v>music</v>
      </c>
      <c r="T305" t="str">
        <f t="shared" si="27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546.14285714285722</v>
      </c>
      <c r="G306" t="s">
        <v>20</v>
      </c>
      <c r="H306" s="7">
        <f t="shared" si="28"/>
        <v>80.767605633802816</v>
      </c>
      <c r="I306">
        <v>142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25"/>
        <v>42589.208333333328</v>
      </c>
      <c r="O306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9"/>
        <v>film &amp; video</v>
      </c>
      <c r="T306" t="str">
        <f t="shared" si="27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286.21428571428572</v>
      </c>
      <c r="G307" t="s">
        <v>20</v>
      </c>
      <c r="H307" s="7">
        <f t="shared" si="28"/>
        <v>94.28235294117647</v>
      </c>
      <c r="I307">
        <v>85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25"/>
        <v>42448.208333333328</v>
      </c>
      <c r="O307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9"/>
        <v>theater</v>
      </c>
      <c r="T307" t="str">
        <f t="shared" si="27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7.9076923076923071</v>
      </c>
      <c r="G308" t="s">
        <v>14</v>
      </c>
      <c r="H308" s="7">
        <f t="shared" si="28"/>
        <v>73.428571428571431</v>
      </c>
      <c r="I308">
        <v>7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25"/>
        <v>42930.208333333328</v>
      </c>
      <c r="O308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9"/>
        <v>theater</v>
      </c>
      <c r="T308" t="str">
        <f t="shared" si="27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132.13677811550153</v>
      </c>
      <c r="G309" t="s">
        <v>20</v>
      </c>
      <c r="H309" s="7">
        <f t="shared" si="28"/>
        <v>65.968133535660087</v>
      </c>
      <c r="I309">
        <v>659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25"/>
        <v>41066.208333333336</v>
      </c>
      <c r="O309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9"/>
        <v>publishing</v>
      </c>
      <c r="T309" t="str">
        <f t="shared" si="27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74.077834179357026</v>
      </c>
      <c r="G310" t="s">
        <v>14</v>
      </c>
      <c r="H310" s="7">
        <f t="shared" si="28"/>
        <v>109.04109589041096</v>
      </c>
      <c r="I310">
        <v>803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25"/>
        <v>40651.208333333336</v>
      </c>
      <c r="O310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9"/>
        <v>theater</v>
      </c>
      <c r="T310" t="str">
        <f t="shared" si="27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75.292682926829272</v>
      </c>
      <c r="G311" t="s">
        <v>74</v>
      </c>
      <c r="H311" s="7">
        <f t="shared" si="28"/>
        <v>41.16</v>
      </c>
      <c r="I311">
        <v>75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25"/>
        <v>40807.208333333336</v>
      </c>
      <c r="O311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9"/>
        <v>music</v>
      </c>
      <c r="T311" t="str">
        <f t="shared" si="27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20.333333333333332</v>
      </c>
      <c r="G312" t="s">
        <v>14</v>
      </c>
      <c r="H312" s="7">
        <f t="shared" si="28"/>
        <v>99.125</v>
      </c>
      <c r="I312">
        <v>16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25"/>
        <v>40277.208333333336</v>
      </c>
      <c r="O312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9"/>
        <v>games</v>
      </c>
      <c r="T312" t="str">
        <f t="shared" si="27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203.36507936507937</v>
      </c>
      <c r="G313" t="s">
        <v>20</v>
      </c>
      <c r="H313" s="7">
        <f t="shared" si="28"/>
        <v>105.88429752066116</v>
      </c>
      <c r="I313">
        <v>121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25"/>
        <v>40590.25</v>
      </c>
      <c r="O313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9"/>
        <v>theater</v>
      </c>
      <c r="T313" t="str">
        <f t="shared" si="27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310.2284263959391</v>
      </c>
      <c r="G314" t="s">
        <v>20</v>
      </c>
      <c r="H314" s="7">
        <f t="shared" si="28"/>
        <v>48.996525921966864</v>
      </c>
      <c r="I314">
        <v>3742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25"/>
        <v>41572.208333333336</v>
      </c>
      <c r="O314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9"/>
        <v>theater</v>
      </c>
      <c r="T314" t="str">
        <f t="shared" si="27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395.31818181818181</v>
      </c>
      <c r="G315" t="s">
        <v>20</v>
      </c>
      <c r="H315" s="7">
        <f t="shared" si="28"/>
        <v>39</v>
      </c>
      <c r="I315">
        <v>223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25"/>
        <v>40966.25</v>
      </c>
      <c r="O315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9"/>
        <v>music</v>
      </c>
      <c r="T315" t="str">
        <f t="shared" si="27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294.71428571428572</v>
      </c>
      <c r="G316" t="s">
        <v>20</v>
      </c>
      <c r="H316" s="7">
        <f t="shared" si="28"/>
        <v>31.022556390977442</v>
      </c>
      <c r="I316">
        <v>133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25"/>
        <v>43536.208333333328</v>
      </c>
      <c r="O316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9"/>
        <v>film &amp; video</v>
      </c>
      <c r="T316" t="str">
        <f t="shared" si="27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33.89473684210526</v>
      </c>
      <c r="G317" t="s">
        <v>14</v>
      </c>
      <c r="H317" s="7">
        <f t="shared" si="28"/>
        <v>103.87096774193549</v>
      </c>
      <c r="I317">
        <v>31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25"/>
        <v>41783.208333333336</v>
      </c>
      <c r="O317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9"/>
        <v>theater</v>
      </c>
      <c r="T317" t="str">
        <f t="shared" si="27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66.677083333333329</v>
      </c>
      <c r="G318" t="s">
        <v>14</v>
      </c>
      <c r="H318" s="7">
        <f t="shared" si="28"/>
        <v>59.268518518518519</v>
      </c>
      <c r="I318">
        <v>108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25"/>
        <v>43788.25</v>
      </c>
      <c r="O318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9"/>
        <v>food</v>
      </c>
      <c r="T318" t="str">
        <f t="shared" si="27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19.227272727272727</v>
      </c>
      <c r="G319" t="s">
        <v>14</v>
      </c>
      <c r="H319" s="7">
        <f t="shared" si="28"/>
        <v>42.3</v>
      </c>
      <c r="I319">
        <v>30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25"/>
        <v>42869.208333333328</v>
      </c>
      <c r="O319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9"/>
        <v>theater</v>
      </c>
      <c r="T319" t="str">
        <f t="shared" si="27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15.842105263157894</v>
      </c>
      <c r="G320" t="s">
        <v>14</v>
      </c>
      <c r="H320" s="7">
        <f t="shared" si="28"/>
        <v>53.117647058823529</v>
      </c>
      <c r="I320">
        <v>17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25"/>
        <v>41684.25</v>
      </c>
      <c r="O320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9"/>
        <v>music</v>
      </c>
      <c r="T320" t="str">
        <f t="shared" si="27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38.702380952380956</v>
      </c>
      <c r="G321" t="s">
        <v>74</v>
      </c>
      <c r="H321" s="7">
        <f t="shared" si="28"/>
        <v>50.796875</v>
      </c>
      <c r="I321">
        <v>64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25"/>
        <v>40402.208333333336</v>
      </c>
      <c r="O321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9"/>
        <v>technology</v>
      </c>
      <c r="T321" t="str">
        <f t="shared" si="27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ref="F322:F385" si="30">E322/D322*100</f>
        <v>9.5876777251184837</v>
      </c>
      <c r="G322" t="s">
        <v>14</v>
      </c>
      <c r="H322" s="7">
        <f t="shared" si="28"/>
        <v>101.15</v>
      </c>
      <c r="I322">
        <v>80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25"/>
        <v>40673.208333333336</v>
      </c>
      <c r="O322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9"/>
        <v>publishing</v>
      </c>
      <c r="T322" t="str">
        <f t="shared" si="27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30"/>
        <v>94.144366197183089</v>
      </c>
      <c r="G323" t="s">
        <v>14</v>
      </c>
      <c r="H323" s="7">
        <f t="shared" si="28"/>
        <v>65.000810372771468</v>
      </c>
      <c r="I323">
        <v>2468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N386" si="31">(((L323/60)/60)/24)+DATE(1970,1,1)</f>
        <v>40634.208333333336</v>
      </c>
      <c r="O323">
        <f t="shared" ref="O323:O386" si="32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si="29"/>
        <v>film &amp; video</v>
      </c>
      <c r="T323" t="str">
        <f t="shared" ref="T323:T386" si="33">RIGHT(R323,LEN(R323)-LEN(S323)-1)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166.56234096692114</v>
      </c>
      <c r="G324" t="s">
        <v>20</v>
      </c>
      <c r="H324" s="7">
        <f t="shared" ref="H324:H387" si="34">E324/I324</f>
        <v>37.998645510835914</v>
      </c>
      <c r="I324">
        <v>5168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31"/>
        <v>40507.25</v>
      </c>
      <c r="O324">
        <f t="shared" si="32"/>
        <v>40520.25</v>
      </c>
      <c r="P324" t="b">
        <v>0</v>
      </c>
      <c r="Q324" t="b">
        <v>0</v>
      </c>
      <c r="R324" t="s">
        <v>33</v>
      </c>
      <c r="S324" t="str">
        <f t="shared" ref="S324:S387" si="35">LEFT(R324,FIND("/",R324)-1)</f>
        <v>theater</v>
      </c>
      <c r="T324" t="str">
        <f t="shared" si="33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24.134831460674157</v>
      </c>
      <c r="G325" t="s">
        <v>14</v>
      </c>
      <c r="H325" s="7">
        <f t="shared" si="34"/>
        <v>82.615384615384613</v>
      </c>
      <c r="I325">
        <v>26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31"/>
        <v>41725.208333333336</v>
      </c>
      <c r="O325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5"/>
        <v>film &amp; video</v>
      </c>
      <c r="T325" t="str">
        <f t="shared" si="33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164.05633802816902</v>
      </c>
      <c r="G326" t="s">
        <v>20</v>
      </c>
      <c r="H326" s="7">
        <f t="shared" si="34"/>
        <v>37.941368078175898</v>
      </c>
      <c r="I326">
        <v>307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31"/>
        <v>42176.208333333328</v>
      </c>
      <c r="O326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5"/>
        <v>theater</v>
      </c>
      <c r="T326" t="str">
        <f t="shared" si="33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90.723076923076931</v>
      </c>
      <c r="G327" t="s">
        <v>14</v>
      </c>
      <c r="H327" s="7">
        <f t="shared" si="34"/>
        <v>80.780821917808225</v>
      </c>
      <c r="I327">
        <v>73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31"/>
        <v>43267.208333333328</v>
      </c>
      <c r="O327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5"/>
        <v>theater</v>
      </c>
      <c r="T327" t="str">
        <f t="shared" si="33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46.194444444444443</v>
      </c>
      <c r="G328" t="s">
        <v>14</v>
      </c>
      <c r="H328" s="7">
        <f t="shared" si="34"/>
        <v>25.984375</v>
      </c>
      <c r="I328">
        <v>128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31"/>
        <v>42364.25</v>
      </c>
      <c r="O328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5"/>
        <v>film &amp; video</v>
      </c>
      <c r="T328" t="str">
        <f t="shared" si="33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38.53846153846154</v>
      </c>
      <c r="G329" t="s">
        <v>14</v>
      </c>
      <c r="H329" s="7">
        <f t="shared" si="34"/>
        <v>30.363636363636363</v>
      </c>
      <c r="I329">
        <v>33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31"/>
        <v>43705.208333333328</v>
      </c>
      <c r="O329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5"/>
        <v>theater</v>
      </c>
      <c r="T329" t="str">
        <f t="shared" si="33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133.56231003039514</v>
      </c>
      <c r="G330" t="s">
        <v>20</v>
      </c>
      <c r="H330" s="7">
        <f t="shared" si="34"/>
        <v>54.004916018025398</v>
      </c>
      <c r="I330">
        <v>2441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31"/>
        <v>43434.25</v>
      </c>
      <c r="O330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5"/>
        <v>music</v>
      </c>
      <c r="T330" t="str">
        <f t="shared" si="33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22.896588486140725</v>
      </c>
      <c r="G331" t="s">
        <v>47</v>
      </c>
      <c r="H331" s="7">
        <f t="shared" si="34"/>
        <v>101.78672985781991</v>
      </c>
      <c r="I331">
        <v>211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31"/>
        <v>42716.25</v>
      </c>
      <c r="O331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5"/>
        <v>games</v>
      </c>
      <c r="T331" t="str">
        <f t="shared" si="33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184.95548961424333</v>
      </c>
      <c r="G332" t="s">
        <v>20</v>
      </c>
      <c r="H332" s="7">
        <f t="shared" si="34"/>
        <v>45.003610108303249</v>
      </c>
      <c r="I332">
        <v>1385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31"/>
        <v>43077.25</v>
      </c>
      <c r="O332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5"/>
        <v>film &amp; video</v>
      </c>
      <c r="T332" t="str">
        <f t="shared" si="33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443.72727272727275</v>
      </c>
      <c r="G333" t="s">
        <v>20</v>
      </c>
      <c r="H333" s="7">
        <f t="shared" si="34"/>
        <v>77.068421052631578</v>
      </c>
      <c r="I333">
        <v>190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31"/>
        <v>40896.25</v>
      </c>
      <c r="O333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5"/>
        <v>food</v>
      </c>
      <c r="T333" t="str">
        <f t="shared" si="33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199.9806763285024</v>
      </c>
      <c r="G334" t="s">
        <v>20</v>
      </c>
      <c r="H334" s="7">
        <f t="shared" si="34"/>
        <v>88.076595744680844</v>
      </c>
      <c r="I334">
        <v>470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31"/>
        <v>41361.208333333336</v>
      </c>
      <c r="O334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5"/>
        <v>technology</v>
      </c>
      <c r="T334" t="str">
        <f t="shared" si="33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123.95833333333333</v>
      </c>
      <c r="G335" t="s">
        <v>20</v>
      </c>
      <c r="H335" s="7">
        <f t="shared" si="34"/>
        <v>47.035573122529641</v>
      </c>
      <c r="I335">
        <v>253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31"/>
        <v>43424.25</v>
      </c>
      <c r="O335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5"/>
        <v>theater</v>
      </c>
      <c r="T335" t="str">
        <f t="shared" si="33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186.61329305135951</v>
      </c>
      <c r="G336" t="s">
        <v>20</v>
      </c>
      <c r="H336" s="7">
        <f t="shared" si="34"/>
        <v>110.99550763701707</v>
      </c>
      <c r="I336">
        <v>1113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31"/>
        <v>43110.25</v>
      </c>
      <c r="O336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5"/>
        <v>music</v>
      </c>
      <c r="T336" t="str">
        <f t="shared" si="33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114.28538550057536</v>
      </c>
      <c r="G337" t="s">
        <v>20</v>
      </c>
      <c r="H337" s="7">
        <f t="shared" si="34"/>
        <v>87.003066141042481</v>
      </c>
      <c r="I337">
        <v>2283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31"/>
        <v>43784.25</v>
      </c>
      <c r="O337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5"/>
        <v>music</v>
      </c>
      <c r="T337" t="str">
        <f t="shared" si="33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97.032531824611041</v>
      </c>
      <c r="G338" t="s">
        <v>14</v>
      </c>
      <c r="H338" s="7">
        <f t="shared" si="34"/>
        <v>63.994402985074629</v>
      </c>
      <c r="I338">
        <v>1072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31"/>
        <v>40527.25</v>
      </c>
      <c r="O338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5"/>
        <v>music</v>
      </c>
      <c r="T338" t="str">
        <f t="shared" si="33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122.81904761904762</v>
      </c>
      <c r="G339" t="s">
        <v>20</v>
      </c>
      <c r="H339" s="7">
        <f t="shared" si="34"/>
        <v>105.9945205479452</v>
      </c>
      <c r="I339">
        <v>1095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31"/>
        <v>43780.25</v>
      </c>
      <c r="O339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5"/>
        <v>theater</v>
      </c>
      <c r="T339" t="str">
        <f t="shared" si="33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179.14326647564468</v>
      </c>
      <c r="G340" t="s">
        <v>20</v>
      </c>
      <c r="H340" s="7">
        <f t="shared" si="34"/>
        <v>73.989349112426041</v>
      </c>
      <c r="I340">
        <v>1690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31"/>
        <v>40821.208333333336</v>
      </c>
      <c r="O340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5"/>
        <v>theater</v>
      </c>
      <c r="T340" t="str">
        <f t="shared" si="33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79.951577402787962</v>
      </c>
      <c r="G341" t="s">
        <v>74</v>
      </c>
      <c r="H341" s="7">
        <f t="shared" si="34"/>
        <v>84.02004626060139</v>
      </c>
      <c r="I341">
        <v>1297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31"/>
        <v>42949.208333333328</v>
      </c>
      <c r="O341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5"/>
        <v>theater</v>
      </c>
      <c r="T341" t="str">
        <f t="shared" si="33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94.242587601078171</v>
      </c>
      <c r="G342" t="s">
        <v>14</v>
      </c>
      <c r="H342" s="7">
        <f t="shared" si="34"/>
        <v>88.966921119592882</v>
      </c>
      <c r="I342">
        <v>393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31"/>
        <v>40889.25</v>
      </c>
      <c r="O342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5"/>
        <v>photography</v>
      </c>
      <c r="T342" t="str">
        <f t="shared" si="33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84.669291338582681</v>
      </c>
      <c r="G343" t="s">
        <v>14</v>
      </c>
      <c r="H343" s="7">
        <f t="shared" si="34"/>
        <v>76.990453460620529</v>
      </c>
      <c r="I343">
        <v>1257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31"/>
        <v>42244.208333333328</v>
      </c>
      <c r="O343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5"/>
        <v>music</v>
      </c>
      <c r="T343" t="str">
        <f t="shared" si="33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66.521920668058456</v>
      </c>
      <c r="G344" t="s">
        <v>14</v>
      </c>
      <c r="H344" s="7">
        <f t="shared" si="34"/>
        <v>97.146341463414629</v>
      </c>
      <c r="I344">
        <v>328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31"/>
        <v>41475.208333333336</v>
      </c>
      <c r="O344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5"/>
        <v>theater</v>
      </c>
      <c r="T344" t="str">
        <f t="shared" si="33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53.922222222222224</v>
      </c>
      <c r="G345" t="s">
        <v>14</v>
      </c>
      <c r="H345" s="7">
        <f t="shared" si="34"/>
        <v>33.013605442176868</v>
      </c>
      <c r="I345">
        <v>147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31"/>
        <v>41597.25</v>
      </c>
      <c r="O345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5"/>
        <v>theater</v>
      </c>
      <c r="T345" t="str">
        <f t="shared" si="33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41.983299595141702</v>
      </c>
      <c r="G346" t="s">
        <v>14</v>
      </c>
      <c r="H346" s="7">
        <f t="shared" si="34"/>
        <v>99.950602409638549</v>
      </c>
      <c r="I346">
        <v>830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31"/>
        <v>43122.25</v>
      </c>
      <c r="O346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5"/>
        <v>games</v>
      </c>
      <c r="T346" t="str">
        <f t="shared" si="33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14.69479695431472</v>
      </c>
      <c r="G347" t="s">
        <v>14</v>
      </c>
      <c r="H347" s="7">
        <f t="shared" si="34"/>
        <v>69.966767371601208</v>
      </c>
      <c r="I347">
        <v>331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31"/>
        <v>42194.208333333328</v>
      </c>
      <c r="O347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5"/>
        <v>film &amp; video</v>
      </c>
      <c r="T347" t="str">
        <f t="shared" si="33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34.475000000000001</v>
      </c>
      <c r="G348" t="s">
        <v>14</v>
      </c>
      <c r="H348" s="7">
        <f t="shared" si="34"/>
        <v>110.32</v>
      </c>
      <c r="I348">
        <v>25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31"/>
        <v>42971.208333333328</v>
      </c>
      <c r="O348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5"/>
        <v>music</v>
      </c>
      <c r="T348" t="str">
        <f t="shared" si="33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1400.7777777777778</v>
      </c>
      <c r="G349" t="s">
        <v>20</v>
      </c>
      <c r="H349" s="7">
        <f t="shared" si="34"/>
        <v>66.005235602094245</v>
      </c>
      <c r="I349">
        <v>191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31"/>
        <v>42046.25</v>
      </c>
      <c r="O349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5"/>
        <v>technology</v>
      </c>
      <c r="T349" t="str">
        <f t="shared" si="33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71.770351758793964</v>
      </c>
      <c r="G350" t="s">
        <v>14</v>
      </c>
      <c r="H350" s="7">
        <f t="shared" si="34"/>
        <v>41.005742176284812</v>
      </c>
      <c r="I350">
        <v>3483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31"/>
        <v>42782.25</v>
      </c>
      <c r="O350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5"/>
        <v>food</v>
      </c>
      <c r="T350" t="str">
        <f t="shared" si="33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53.074115044247783</v>
      </c>
      <c r="G351" t="s">
        <v>14</v>
      </c>
      <c r="H351" s="7">
        <f t="shared" si="34"/>
        <v>103.96316359696641</v>
      </c>
      <c r="I351">
        <v>923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31"/>
        <v>42930.208333333328</v>
      </c>
      <c r="O351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5"/>
        <v>theater</v>
      </c>
      <c r="T351" t="str">
        <f t="shared" si="33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5</v>
      </c>
      <c r="G352" t="s">
        <v>14</v>
      </c>
      <c r="H352" s="7">
        <f t="shared" si="34"/>
        <v>5</v>
      </c>
      <c r="I352">
        <v>1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31"/>
        <v>42144.208333333328</v>
      </c>
      <c r="O352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5"/>
        <v>music</v>
      </c>
      <c r="T352" t="str">
        <f t="shared" si="33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127.70715249662618</v>
      </c>
      <c r="G353" t="s">
        <v>20</v>
      </c>
      <c r="H353" s="7">
        <f t="shared" si="34"/>
        <v>47.009935419771487</v>
      </c>
      <c r="I353">
        <v>2013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31"/>
        <v>42240.208333333328</v>
      </c>
      <c r="O353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5"/>
        <v>music</v>
      </c>
      <c r="T353" t="str">
        <f t="shared" si="33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34.892857142857139</v>
      </c>
      <c r="G354" t="s">
        <v>14</v>
      </c>
      <c r="H354" s="7">
        <f t="shared" si="34"/>
        <v>29.606060606060606</v>
      </c>
      <c r="I354">
        <v>33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31"/>
        <v>42315.25</v>
      </c>
      <c r="O354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5"/>
        <v>theater</v>
      </c>
      <c r="T354" t="str">
        <f t="shared" si="33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410.59821428571428</v>
      </c>
      <c r="G355" t="s">
        <v>20</v>
      </c>
      <c r="H355" s="7">
        <f t="shared" si="34"/>
        <v>81.010569583088667</v>
      </c>
      <c r="I355">
        <v>1703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31"/>
        <v>43651.208333333328</v>
      </c>
      <c r="O355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5"/>
        <v>theater</v>
      </c>
      <c r="T355" t="str">
        <f t="shared" si="33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123.73770491803278</v>
      </c>
      <c r="G356" t="s">
        <v>20</v>
      </c>
      <c r="H356" s="7">
        <f t="shared" si="34"/>
        <v>94.35</v>
      </c>
      <c r="I356">
        <v>80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31"/>
        <v>41520.208333333336</v>
      </c>
      <c r="O356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5"/>
        <v>film &amp; video</v>
      </c>
      <c r="T356" t="str">
        <f t="shared" si="33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58.973684210526315</v>
      </c>
      <c r="G357" t="s">
        <v>47</v>
      </c>
      <c r="H357" s="7">
        <f t="shared" si="34"/>
        <v>26.058139534883722</v>
      </c>
      <c r="I357">
        <v>86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31"/>
        <v>42757.25</v>
      </c>
      <c r="O357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5"/>
        <v>technology</v>
      </c>
      <c r="T357" t="str">
        <f t="shared" si="33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36.892473118279568</v>
      </c>
      <c r="G358" t="s">
        <v>14</v>
      </c>
      <c r="H358" s="7">
        <f t="shared" si="34"/>
        <v>85.775000000000006</v>
      </c>
      <c r="I358">
        <v>40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31"/>
        <v>40922.25</v>
      </c>
      <c r="O358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5"/>
        <v>theater</v>
      </c>
      <c r="T358" t="str">
        <f t="shared" si="33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184.91304347826087</v>
      </c>
      <c r="G359" t="s">
        <v>20</v>
      </c>
      <c r="H359" s="7">
        <f t="shared" si="34"/>
        <v>103.73170731707317</v>
      </c>
      <c r="I359">
        <v>41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31"/>
        <v>42250.208333333328</v>
      </c>
      <c r="O359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5"/>
        <v>games</v>
      </c>
      <c r="T359" t="str">
        <f t="shared" si="33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11.814432989690722</v>
      </c>
      <c r="G360" t="s">
        <v>14</v>
      </c>
      <c r="H360" s="7">
        <f t="shared" si="34"/>
        <v>49.826086956521742</v>
      </c>
      <c r="I360">
        <v>23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31"/>
        <v>43322.208333333328</v>
      </c>
      <c r="O360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5"/>
        <v>photography</v>
      </c>
      <c r="T360" t="str">
        <f t="shared" si="33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298.7</v>
      </c>
      <c r="G361" t="s">
        <v>20</v>
      </c>
      <c r="H361" s="7">
        <f t="shared" si="34"/>
        <v>63.893048128342244</v>
      </c>
      <c r="I361">
        <v>187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31"/>
        <v>40782.208333333336</v>
      </c>
      <c r="O361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5"/>
        <v>film &amp; video</v>
      </c>
      <c r="T361" t="str">
        <f t="shared" si="33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226.35175879396985</v>
      </c>
      <c r="G362" t="s">
        <v>20</v>
      </c>
      <c r="H362" s="7">
        <f t="shared" si="34"/>
        <v>47.002434782608695</v>
      </c>
      <c r="I362">
        <v>2875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31"/>
        <v>40544.25</v>
      </c>
      <c r="O362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5"/>
        <v>theater</v>
      </c>
      <c r="T362" t="str">
        <f t="shared" si="33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173.56363636363636</v>
      </c>
      <c r="G363" t="s">
        <v>20</v>
      </c>
      <c r="H363" s="7">
        <f t="shared" si="34"/>
        <v>108.47727272727273</v>
      </c>
      <c r="I363">
        <v>88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31"/>
        <v>43015.208333333328</v>
      </c>
      <c r="O363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5"/>
        <v>theater</v>
      </c>
      <c r="T363" t="str">
        <f t="shared" si="33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371.75675675675677</v>
      </c>
      <c r="G364" t="s">
        <v>20</v>
      </c>
      <c r="H364" s="7">
        <f t="shared" si="34"/>
        <v>72.015706806282722</v>
      </c>
      <c r="I364">
        <v>191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31"/>
        <v>40570.25</v>
      </c>
      <c r="O364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5"/>
        <v>music</v>
      </c>
      <c r="T364" t="str">
        <f t="shared" si="33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160.19230769230771</v>
      </c>
      <c r="G365" t="s">
        <v>20</v>
      </c>
      <c r="H365" s="7">
        <f t="shared" si="34"/>
        <v>59.928057553956833</v>
      </c>
      <c r="I365">
        <v>139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31"/>
        <v>40904.25</v>
      </c>
      <c r="O365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5"/>
        <v>music</v>
      </c>
      <c r="T365" t="str">
        <f t="shared" si="33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1616.3333333333335</v>
      </c>
      <c r="G366" t="s">
        <v>20</v>
      </c>
      <c r="H366" s="7">
        <f t="shared" si="34"/>
        <v>78.209677419354833</v>
      </c>
      <c r="I366">
        <v>186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31"/>
        <v>43164.25</v>
      </c>
      <c r="O366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5"/>
        <v>music</v>
      </c>
      <c r="T366" t="str">
        <f t="shared" si="33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733.4375</v>
      </c>
      <c r="G367" t="s">
        <v>20</v>
      </c>
      <c r="H367" s="7">
        <f t="shared" si="34"/>
        <v>104.77678571428571</v>
      </c>
      <c r="I367">
        <v>112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31"/>
        <v>42733.25</v>
      </c>
      <c r="O367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5"/>
        <v>theater</v>
      </c>
      <c r="T367" t="str">
        <f t="shared" si="33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592.11111111111109</v>
      </c>
      <c r="G368" t="s">
        <v>20</v>
      </c>
      <c r="H368" s="7">
        <f t="shared" si="34"/>
        <v>105.52475247524752</v>
      </c>
      <c r="I368">
        <v>101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31"/>
        <v>40546.25</v>
      </c>
      <c r="O368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5"/>
        <v>theater</v>
      </c>
      <c r="T368" t="str">
        <f t="shared" si="33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18.888888888888889</v>
      </c>
      <c r="G369" t="s">
        <v>14</v>
      </c>
      <c r="H369" s="7">
        <f t="shared" si="34"/>
        <v>24.933333333333334</v>
      </c>
      <c r="I369">
        <v>75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31"/>
        <v>41930.208333333336</v>
      </c>
      <c r="O369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5"/>
        <v>theater</v>
      </c>
      <c r="T369" t="str">
        <f t="shared" si="33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276.80769230769232</v>
      </c>
      <c r="G370" t="s">
        <v>20</v>
      </c>
      <c r="H370" s="7">
        <f t="shared" si="34"/>
        <v>69.873786407766985</v>
      </c>
      <c r="I370">
        <v>206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31"/>
        <v>40464.208333333336</v>
      </c>
      <c r="O370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5"/>
        <v>film &amp; video</v>
      </c>
      <c r="T370" t="str">
        <f t="shared" si="33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273.01851851851848</v>
      </c>
      <c r="G371" t="s">
        <v>20</v>
      </c>
      <c r="H371" s="7">
        <f t="shared" si="34"/>
        <v>95.733766233766232</v>
      </c>
      <c r="I371">
        <v>154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31"/>
        <v>41308.25</v>
      </c>
      <c r="O371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5"/>
        <v>film &amp; video</v>
      </c>
      <c r="T371" t="str">
        <f t="shared" si="33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159.36331255565449</v>
      </c>
      <c r="G372" t="s">
        <v>20</v>
      </c>
      <c r="H372" s="7">
        <f t="shared" si="34"/>
        <v>29.997485752598056</v>
      </c>
      <c r="I372">
        <v>5966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31"/>
        <v>43570.208333333328</v>
      </c>
      <c r="O372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5"/>
        <v>theater</v>
      </c>
      <c r="T372" t="str">
        <f t="shared" si="33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67.869978858350947</v>
      </c>
      <c r="G373" t="s">
        <v>14</v>
      </c>
      <c r="H373" s="7">
        <f t="shared" si="34"/>
        <v>59.011948529411768</v>
      </c>
      <c r="I373">
        <v>2176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31"/>
        <v>42043.25</v>
      </c>
      <c r="O373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5"/>
        <v>theater</v>
      </c>
      <c r="T373" t="str">
        <f t="shared" si="33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1591.5555555555554</v>
      </c>
      <c r="G374" t="s">
        <v>20</v>
      </c>
      <c r="H374" s="7">
        <f t="shared" si="34"/>
        <v>84.757396449704146</v>
      </c>
      <c r="I374">
        <v>169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31"/>
        <v>42012.25</v>
      </c>
      <c r="O374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5"/>
        <v>film &amp; video</v>
      </c>
      <c r="T374" t="str">
        <f t="shared" si="33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730.18222222222221</v>
      </c>
      <c r="G375" t="s">
        <v>20</v>
      </c>
      <c r="H375" s="7">
        <f t="shared" si="34"/>
        <v>78.010921177587846</v>
      </c>
      <c r="I375">
        <v>2106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31"/>
        <v>42964.208333333328</v>
      </c>
      <c r="O375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5"/>
        <v>theater</v>
      </c>
      <c r="T375" t="str">
        <f t="shared" si="33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13.185782556750297</v>
      </c>
      <c r="G376" t="s">
        <v>14</v>
      </c>
      <c r="H376" s="7">
        <f t="shared" si="34"/>
        <v>50.05215419501134</v>
      </c>
      <c r="I376">
        <v>441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31"/>
        <v>43476.25</v>
      </c>
      <c r="O376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5"/>
        <v>film &amp; video</v>
      </c>
      <c r="T376" t="str">
        <f t="shared" si="33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54.777777777777779</v>
      </c>
      <c r="G377" t="s">
        <v>14</v>
      </c>
      <c r="H377" s="7">
        <f t="shared" si="34"/>
        <v>59.16</v>
      </c>
      <c r="I377">
        <v>25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31"/>
        <v>42293.208333333328</v>
      </c>
      <c r="O377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5"/>
        <v>music</v>
      </c>
      <c r="T377" t="str">
        <f t="shared" si="33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361.02941176470591</v>
      </c>
      <c r="G378" t="s">
        <v>20</v>
      </c>
      <c r="H378" s="7">
        <f t="shared" si="34"/>
        <v>93.702290076335885</v>
      </c>
      <c r="I378">
        <v>131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31"/>
        <v>41826.208333333336</v>
      </c>
      <c r="O378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5"/>
        <v>music</v>
      </c>
      <c r="T378" t="str">
        <f t="shared" si="33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10.257545271629779</v>
      </c>
      <c r="G379" t="s">
        <v>14</v>
      </c>
      <c r="H379" s="7">
        <f t="shared" si="34"/>
        <v>40.14173228346457</v>
      </c>
      <c r="I379">
        <v>127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31"/>
        <v>43760.208333333328</v>
      </c>
      <c r="O379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5"/>
        <v>theater</v>
      </c>
      <c r="T379" t="str">
        <f t="shared" si="33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13.962962962962964</v>
      </c>
      <c r="G380" t="s">
        <v>14</v>
      </c>
      <c r="H380" s="7">
        <f t="shared" si="34"/>
        <v>70.090140845070422</v>
      </c>
      <c r="I380">
        <v>355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31"/>
        <v>43241.208333333328</v>
      </c>
      <c r="O380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5"/>
        <v>film &amp; video</v>
      </c>
      <c r="T380" t="str">
        <f t="shared" si="33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40.444444444444443</v>
      </c>
      <c r="G381" t="s">
        <v>14</v>
      </c>
      <c r="H381" s="7">
        <f t="shared" si="34"/>
        <v>66.181818181818187</v>
      </c>
      <c r="I381">
        <v>44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31"/>
        <v>40843.208333333336</v>
      </c>
      <c r="O381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5"/>
        <v>theater</v>
      </c>
      <c r="T381" t="str">
        <f t="shared" si="33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160.32</v>
      </c>
      <c r="G382" t="s">
        <v>20</v>
      </c>
      <c r="H382" s="7">
        <f t="shared" si="34"/>
        <v>47.714285714285715</v>
      </c>
      <c r="I382">
        <v>84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31"/>
        <v>41448.208333333336</v>
      </c>
      <c r="O382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5"/>
        <v>theater</v>
      </c>
      <c r="T382" t="str">
        <f t="shared" si="33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183.9433962264151</v>
      </c>
      <c r="G383" t="s">
        <v>20</v>
      </c>
      <c r="H383" s="7">
        <f t="shared" si="34"/>
        <v>62.896774193548389</v>
      </c>
      <c r="I383">
        <v>155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31"/>
        <v>42163.208333333328</v>
      </c>
      <c r="O383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5"/>
        <v>theater</v>
      </c>
      <c r="T383" t="str">
        <f t="shared" si="33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63.769230769230766</v>
      </c>
      <c r="G384" t="s">
        <v>14</v>
      </c>
      <c r="H384" s="7">
        <f t="shared" si="34"/>
        <v>86.611940298507463</v>
      </c>
      <c r="I384">
        <v>67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31"/>
        <v>43024.208333333328</v>
      </c>
      <c r="O384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5"/>
        <v>photography</v>
      </c>
      <c r="T384" t="str">
        <f t="shared" si="33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225.38095238095238</v>
      </c>
      <c r="G385" t="s">
        <v>20</v>
      </c>
      <c r="H385" s="7">
        <f t="shared" si="34"/>
        <v>75.126984126984127</v>
      </c>
      <c r="I385">
        <v>189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31"/>
        <v>43509.25</v>
      </c>
      <c r="O385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5"/>
        <v>food</v>
      </c>
      <c r="T385" t="str">
        <f t="shared" si="33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ref="F386:F449" si="36">E386/D386*100</f>
        <v>172.00961538461539</v>
      </c>
      <c r="G386" t="s">
        <v>20</v>
      </c>
      <c r="H386" s="7">
        <f t="shared" si="34"/>
        <v>41.004167534903104</v>
      </c>
      <c r="I386">
        <v>4799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31"/>
        <v>42776.25</v>
      </c>
      <c r="O386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5"/>
        <v>film &amp; video</v>
      </c>
      <c r="T386" t="str">
        <f t="shared" si="33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36"/>
        <v>146.16709511568124</v>
      </c>
      <c r="G387" t="s">
        <v>20</v>
      </c>
      <c r="H387" s="7">
        <f t="shared" si="34"/>
        <v>50.007915567282325</v>
      </c>
      <c r="I387">
        <v>1137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N450" si="37">(((L387/60)/60)/24)+DATE(1970,1,1)</f>
        <v>43553.208333333328</v>
      </c>
      <c r="O387">
        <f t="shared" ref="O387:O450" si="38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si="35"/>
        <v>publishing</v>
      </c>
      <c r="T387" t="str">
        <f t="shared" ref="T387:T450" si="39">RIGHT(R387,LEN(R387)-LEN(S387)-1)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76.42361623616236</v>
      </c>
      <c r="G388" t="s">
        <v>14</v>
      </c>
      <c r="H388" s="7">
        <f t="shared" ref="H388:H451" si="40">E388/I388</f>
        <v>96.960674157303373</v>
      </c>
      <c r="I388">
        <v>1068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37"/>
        <v>40355.208333333336</v>
      </c>
      <c r="O388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ref="S388:S451" si="41">LEFT(R388,FIND("/",R388)-1)</f>
        <v>theater</v>
      </c>
      <c r="T388" t="str">
        <f t="shared" si="39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39.261467889908261</v>
      </c>
      <c r="G389" t="s">
        <v>14</v>
      </c>
      <c r="H389" s="7">
        <f t="shared" si="40"/>
        <v>100.93160377358491</v>
      </c>
      <c r="I389">
        <v>424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37"/>
        <v>41072.208333333336</v>
      </c>
      <c r="O389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41"/>
        <v>technology</v>
      </c>
      <c r="T389" t="str">
        <f t="shared" si="39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11.270034843205574</v>
      </c>
      <c r="G390" t="s">
        <v>74</v>
      </c>
      <c r="H390" s="7">
        <f t="shared" si="40"/>
        <v>89.227586206896547</v>
      </c>
      <c r="I390">
        <v>145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37"/>
        <v>40912.25</v>
      </c>
      <c r="O390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41"/>
        <v>music</v>
      </c>
      <c r="T390" t="str">
        <f t="shared" si="39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122.11084337349398</v>
      </c>
      <c r="G391" t="s">
        <v>20</v>
      </c>
      <c r="H391" s="7">
        <f t="shared" si="40"/>
        <v>87.979166666666671</v>
      </c>
      <c r="I391">
        <v>1152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37"/>
        <v>40479.208333333336</v>
      </c>
      <c r="O391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41"/>
        <v>theater</v>
      </c>
      <c r="T391" t="str">
        <f t="shared" si="39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186.54166666666669</v>
      </c>
      <c r="G392" t="s">
        <v>20</v>
      </c>
      <c r="H392" s="7">
        <f t="shared" si="40"/>
        <v>89.54</v>
      </c>
      <c r="I392">
        <v>50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37"/>
        <v>41530.208333333336</v>
      </c>
      <c r="O392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41"/>
        <v>photography</v>
      </c>
      <c r="T392" t="str">
        <f t="shared" si="39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7.2731788079470201</v>
      </c>
      <c r="G393" t="s">
        <v>14</v>
      </c>
      <c r="H393" s="7">
        <f t="shared" si="40"/>
        <v>29.09271523178808</v>
      </c>
      <c r="I393">
        <v>151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37"/>
        <v>41653.25</v>
      </c>
      <c r="O393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41"/>
        <v>publishing</v>
      </c>
      <c r="T393" t="str">
        <f t="shared" si="39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65.642371234207957</v>
      </c>
      <c r="G394" t="s">
        <v>14</v>
      </c>
      <c r="H394" s="7">
        <f t="shared" si="40"/>
        <v>42.006218905472636</v>
      </c>
      <c r="I394">
        <v>1608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37"/>
        <v>40549.25</v>
      </c>
      <c r="O394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41"/>
        <v>technology</v>
      </c>
      <c r="T394" t="str">
        <f t="shared" si="39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228.96178343949046</v>
      </c>
      <c r="G395" t="s">
        <v>20</v>
      </c>
      <c r="H395" s="7">
        <f t="shared" si="40"/>
        <v>47.004903563255965</v>
      </c>
      <c r="I395">
        <v>3059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37"/>
        <v>42933.208333333328</v>
      </c>
      <c r="O395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41"/>
        <v>music</v>
      </c>
      <c r="T395" t="str">
        <f t="shared" si="39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469.37499999999994</v>
      </c>
      <c r="G396" t="s">
        <v>20</v>
      </c>
      <c r="H396" s="7">
        <f t="shared" si="40"/>
        <v>110.44117647058823</v>
      </c>
      <c r="I396">
        <v>34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37"/>
        <v>41484.208333333336</v>
      </c>
      <c r="O396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41"/>
        <v>film &amp; video</v>
      </c>
      <c r="T396" t="str">
        <f t="shared" si="39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130.11267605633802</v>
      </c>
      <c r="G397" t="s">
        <v>20</v>
      </c>
      <c r="H397" s="7">
        <f t="shared" si="40"/>
        <v>41.990909090909092</v>
      </c>
      <c r="I397">
        <v>220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37"/>
        <v>40885.25</v>
      </c>
      <c r="O397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41"/>
        <v>theater</v>
      </c>
      <c r="T397" t="str">
        <f t="shared" si="39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167.05422993492408</v>
      </c>
      <c r="G398" t="s">
        <v>20</v>
      </c>
      <c r="H398" s="7">
        <f t="shared" si="40"/>
        <v>48.012468827930178</v>
      </c>
      <c r="I398">
        <v>1604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37"/>
        <v>43378.208333333328</v>
      </c>
      <c r="O398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41"/>
        <v>film &amp; video</v>
      </c>
      <c r="T398" t="str">
        <f t="shared" si="39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173.8641975308642</v>
      </c>
      <c r="G399" t="s">
        <v>20</v>
      </c>
      <c r="H399" s="7">
        <f t="shared" si="40"/>
        <v>31.019823788546255</v>
      </c>
      <c r="I399">
        <v>454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37"/>
        <v>41417.208333333336</v>
      </c>
      <c r="O399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41"/>
        <v>music</v>
      </c>
      <c r="T399" t="str">
        <f t="shared" si="39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717.76470588235293</v>
      </c>
      <c r="G400" t="s">
        <v>20</v>
      </c>
      <c r="H400" s="7">
        <f t="shared" si="40"/>
        <v>99.203252032520325</v>
      </c>
      <c r="I400">
        <v>123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37"/>
        <v>43228.208333333328</v>
      </c>
      <c r="O400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41"/>
        <v>film &amp; video</v>
      </c>
      <c r="T400" t="str">
        <f t="shared" si="39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63.850976361767728</v>
      </c>
      <c r="G401" t="s">
        <v>14</v>
      </c>
      <c r="H401" s="7">
        <f t="shared" si="40"/>
        <v>66.022316684378325</v>
      </c>
      <c r="I401">
        <v>941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37"/>
        <v>40576.25</v>
      </c>
      <c r="O401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41"/>
        <v>music</v>
      </c>
      <c r="T401" t="str">
        <f t="shared" si="39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2</v>
      </c>
      <c r="G402" t="s">
        <v>14</v>
      </c>
      <c r="H402" s="7">
        <f t="shared" si="40"/>
        <v>2</v>
      </c>
      <c r="I402">
        <v>1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37"/>
        <v>41502.208333333336</v>
      </c>
      <c r="O402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41"/>
        <v>photography</v>
      </c>
      <c r="T402" t="str">
        <f t="shared" si="39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1530.2222222222222</v>
      </c>
      <c r="G403" t="s">
        <v>20</v>
      </c>
      <c r="H403" s="7">
        <f t="shared" si="40"/>
        <v>46.060200668896321</v>
      </c>
      <c r="I403">
        <v>299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37"/>
        <v>43765.208333333328</v>
      </c>
      <c r="O403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41"/>
        <v>theater</v>
      </c>
      <c r="T403" t="str">
        <f t="shared" si="39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40.356164383561641</v>
      </c>
      <c r="G404" t="s">
        <v>14</v>
      </c>
      <c r="H404" s="7">
        <f t="shared" si="40"/>
        <v>73.650000000000006</v>
      </c>
      <c r="I404">
        <v>40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37"/>
        <v>40914.25</v>
      </c>
      <c r="O404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41"/>
        <v>film &amp; video</v>
      </c>
      <c r="T404" t="str">
        <f t="shared" si="39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86.220633299284984</v>
      </c>
      <c r="G405" t="s">
        <v>14</v>
      </c>
      <c r="H405" s="7">
        <f t="shared" si="40"/>
        <v>55.99336650082919</v>
      </c>
      <c r="I405">
        <v>3015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37"/>
        <v>40310.208333333336</v>
      </c>
      <c r="O405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41"/>
        <v>theater</v>
      </c>
      <c r="T405" t="str">
        <f t="shared" si="39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315.58486707566465</v>
      </c>
      <c r="G406" t="s">
        <v>20</v>
      </c>
      <c r="H406" s="7">
        <f t="shared" si="40"/>
        <v>68.985695127402778</v>
      </c>
      <c r="I406">
        <v>2237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37"/>
        <v>43053.25</v>
      </c>
      <c r="O406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41"/>
        <v>theater</v>
      </c>
      <c r="T406" t="str">
        <f t="shared" si="39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89.618243243243242</v>
      </c>
      <c r="G407" t="s">
        <v>14</v>
      </c>
      <c r="H407" s="7">
        <f t="shared" si="40"/>
        <v>60.981609195402299</v>
      </c>
      <c r="I407">
        <v>435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37"/>
        <v>43255.208333333328</v>
      </c>
      <c r="O407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41"/>
        <v>theater</v>
      </c>
      <c r="T407" t="str">
        <f t="shared" si="39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182.14503816793894</v>
      </c>
      <c r="G408" t="s">
        <v>20</v>
      </c>
      <c r="H408" s="7">
        <f t="shared" si="40"/>
        <v>110.98139534883721</v>
      </c>
      <c r="I408">
        <v>645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37"/>
        <v>41304.25</v>
      </c>
      <c r="O408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41"/>
        <v>film &amp; video</v>
      </c>
      <c r="T408" t="str">
        <f t="shared" si="39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355.88235294117646</v>
      </c>
      <c r="G409" t="s">
        <v>20</v>
      </c>
      <c r="H409" s="7">
        <f t="shared" si="40"/>
        <v>25</v>
      </c>
      <c r="I409">
        <v>484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37"/>
        <v>43751.208333333328</v>
      </c>
      <c r="O409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41"/>
        <v>theater</v>
      </c>
      <c r="T409" t="str">
        <f t="shared" si="39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131.83695652173913</v>
      </c>
      <c r="G410" t="s">
        <v>20</v>
      </c>
      <c r="H410" s="7">
        <f t="shared" si="40"/>
        <v>78.759740259740255</v>
      </c>
      <c r="I410">
        <v>154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37"/>
        <v>42541.208333333328</v>
      </c>
      <c r="O410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41"/>
        <v>film &amp; video</v>
      </c>
      <c r="T410" t="str">
        <f t="shared" si="39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46.315634218289084</v>
      </c>
      <c r="G411" t="s">
        <v>14</v>
      </c>
      <c r="H411" s="7">
        <f t="shared" si="40"/>
        <v>87.960784313725483</v>
      </c>
      <c r="I411">
        <v>714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37"/>
        <v>42843.208333333328</v>
      </c>
      <c r="O411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41"/>
        <v>music</v>
      </c>
      <c r="T411" t="str">
        <f t="shared" si="39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36.132726089785294</v>
      </c>
      <c r="G412" t="s">
        <v>47</v>
      </c>
      <c r="H412" s="7">
        <f t="shared" si="40"/>
        <v>49.987398739873989</v>
      </c>
      <c r="I412">
        <v>1111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37"/>
        <v>42122.208333333328</v>
      </c>
      <c r="O412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41"/>
        <v>games</v>
      </c>
      <c r="T412" t="str">
        <f t="shared" si="39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104.62820512820512</v>
      </c>
      <c r="G413" t="s">
        <v>20</v>
      </c>
      <c r="H413" s="7">
        <f t="shared" si="40"/>
        <v>99.524390243902445</v>
      </c>
      <c r="I413">
        <v>82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37"/>
        <v>42884.208333333328</v>
      </c>
      <c r="O413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41"/>
        <v>theater</v>
      </c>
      <c r="T413" t="str">
        <f t="shared" si="39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668.85714285714289</v>
      </c>
      <c r="G414" t="s">
        <v>20</v>
      </c>
      <c r="H414" s="7">
        <f t="shared" si="40"/>
        <v>104.82089552238806</v>
      </c>
      <c r="I414">
        <v>134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37"/>
        <v>41642.25</v>
      </c>
      <c r="O414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41"/>
        <v>publishing</v>
      </c>
      <c r="T414" t="str">
        <f t="shared" si="39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62.072823218997364</v>
      </c>
      <c r="G415" t="s">
        <v>47</v>
      </c>
      <c r="H415" s="7">
        <f t="shared" si="40"/>
        <v>108.01469237832875</v>
      </c>
      <c r="I415">
        <v>1089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37"/>
        <v>43431.25</v>
      </c>
      <c r="O415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41"/>
        <v>film &amp; video</v>
      </c>
      <c r="T415" t="str">
        <f t="shared" si="39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84.699787460148784</v>
      </c>
      <c r="G416" t="s">
        <v>14</v>
      </c>
      <c r="H416" s="7">
        <f t="shared" si="40"/>
        <v>28.998544660724033</v>
      </c>
      <c r="I416">
        <v>5497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37"/>
        <v>40288.208333333336</v>
      </c>
      <c r="O416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41"/>
        <v>food</v>
      </c>
      <c r="T416" t="str">
        <f t="shared" si="39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11.059030837004405</v>
      </c>
      <c r="G417" t="s">
        <v>14</v>
      </c>
      <c r="H417" s="7">
        <f t="shared" si="40"/>
        <v>30.028708133971293</v>
      </c>
      <c r="I417">
        <v>418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37"/>
        <v>40921.25</v>
      </c>
      <c r="O417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41"/>
        <v>theater</v>
      </c>
      <c r="T417" t="str">
        <f t="shared" si="39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43.838781575037146</v>
      </c>
      <c r="G418" t="s">
        <v>14</v>
      </c>
      <c r="H418" s="7">
        <f t="shared" si="40"/>
        <v>41.005559416261292</v>
      </c>
      <c r="I418">
        <v>1439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37"/>
        <v>40560.25</v>
      </c>
      <c r="O418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41"/>
        <v>film &amp; video</v>
      </c>
      <c r="T418" t="str">
        <f t="shared" si="39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55.470588235294116</v>
      </c>
      <c r="G419" t="s">
        <v>14</v>
      </c>
      <c r="H419" s="7">
        <f t="shared" si="40"/>
        <v>62.866666666666667</v>
      </c>
      <c r="I419">
        <v>15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37"/>
        <v>43407.208333333328</v>
      </c>
      <c r="O419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41"/>
        <v>theater</v>
      </c>
      <c r="T419" t="str">
        <f t="shared" si="39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57.399511301160658</v>
      </c>
      <c r="G420" t="s">
        <v>14</v>
      </c>
      <c r="H420" s="7">
        <f t="shared" si="40"/>
        <v>47.005002501250623</v>
      </c>
      <c r="I420">
        <v>1999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37"/>
        <v>41035.208333333336</v>
      </c>
      <c r="O420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41"/>
        <v>film &amp; video</v>
      </c>
      <c r="T420" t="str">
        <f t="shared" si="39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123.43497363796135</v>
      </c>
      <c r="G421" t="s">
        <v>20</v>
      </c>
      <c r="H421" s="7">
        <f t="shared" si="40"/>
        <v>26.997693638285604</v>
      </c>
      <c r="I421">
        <v>5203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37"/>
        <v>40899.25</v>
      </c>
      <c r="O421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41"/>
        <v>technology</v>
      </c>
      <c r="T421" t="str">
        <f t="shared" si="39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128.46</v>
      </c>
      <c r="G422" t="s">
        <v>20</v>
      </c>
      <c r="H422" s="7">
        <f t="shared" si="40"/>
        <v>68.329787234042556</v>
      </c>
      <c r="I422">
        <v>94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37"/>
        <v>42911.208333333328</v>
      </c>
      <c r="O422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41"/>
        <v>theater</v>
      </c>
      <c r="T422" t="str">
        <f t="shared" si="39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63.989361702127653</v>
      </c>
      <c r="G423" t="s">
        <v>14</v>
      </c>
      <c r="H423" s="7">
        <f t="shared" si="40"/>
        <v>50.974576271186443</v>
      </c>
      <c r="I423">
        <v>118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37"/>
        <v>42915.208333333328</v>
      </c>
      <c r="O423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41"/>
        <v>technology</v>
      </c>
      <c r="T423" t="str">
        <f t="shared" si="39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127.29885057471265</v>
      </c>
      <c r="G424" t="s">
        <v>20</v>
      </c>
      <c r="H424" s="7">
        <f t="shared" si="40"/>
        <v>54.024390243902438</v>
      </c>
      <c r="I424">
        <v>205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37"/>
        <v>40285.208333333336</v>
      </c>
      <c r="O424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41"/>
        <v>theater</v>
      </c>
      <c r="T424" t="str">
        <f t="shared" si="39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10.638024357239512</v>
      </c>
      <c r="G425" t="s">
        <v>14</v>
      </c>
      <c r="H425" s="7">
        <f t="shared" si="40"/>
        <v>97.055555555555557</v>
      </c>
      <c r="I425">
        <v>162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37"/>
        <v>40808.208333333336</v>
      </c>
      <c r="O425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41"/>
        <v>food</v>
      </c>
      <c r="T425" t="str">
        <f t="shared" si="39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40.470588235294116</v>
      </c>
      <c r="G426" t="s">
        <v>14</v>
      </c>
      <c r="H426" s="7">
        <f t="shared" si="40"/>
        <v>24.867469879518072</v>
      </c>
      <c r="I426">
        <v>83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37"/>
        <v>43208.208333333328</v>
      </c>
      <c r="O426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41"/>
        <v>music</v>
      </c>
      <c r="T426" t="str">
        <f t="shared" si="39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287.66666666666663</v>
      </c>
      <c r="G427" t="s">
        <v>20</v>
      </c>
      <c r="H427" s="7">
        <f t="shared" si="40"/>
        <v>84.423913043478265</v>
      </c>
      <c r="I427">
        <v>92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37"/>
        <v>42213.208333333328</v>
      </c>
      <c r="O427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41"/>
        <v>photography</v>
      </c>
      <c r="T427" t="str">
        <f t="shared" si="39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572.94444444444446</v>
      </c>
      <c r="G428" t="s">
        <v>20</v>
      </c>
      <c r="H428" s="7">
        <f t="shared" si="40"/>
        <v>47.091324200913242</v>
      </c>
      <c r="I428">
        <v>219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37"/>
        <v>41332.25</v>
      </c>
      <c r="O428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41"/>
        <v>theater</v>
      </c>
      <c r="T428" t="str">
        <f t="shared" si="39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112.90429799426933</v>
      </c>
      <c r="G429" t="s">
        <v>20</v>
      </c>
      <c r="H429" s="7">
        <f t="shared" si="40"/>
        <v>77.996041171813147</v>
      </c>
      <c r="I429">
        <v>2526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37"/>
        <v>41895.208333333336</v>
      </c>
      <c r="O429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41"/>
        <v>theater</v>
      </c>
      <c r="T429" t="str">
        <f t="shared" si="39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46.387573964497044</v>
      </c>
      <c r="G430" t="s">
        <v>14</v>
      </c>
      <c r="H430" s="7">
        <f t="shared" si="40"/>
        <v>62.967871485943775</v>
      </c>
      <c r="I430">
        <v>747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37"/>
        <v>40585.25</v>
      </c>
      <c r="O430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41"/>
        <v>film &amp; video</v>
      </c>
      <c r="T430" t="str">
        <f t="shared" si="39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90.675916230366497</v>
      </c>
      <c r="G431" t="s">
        <v>74</v>
      </c>
      <c r="H431" s="7">
        <f t="shared" si="40"/>
        <v>81.006080449017773</v>
      </c>
      <c r="I431">
        <v>2138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37"/>
        <v>41680.25</v>
      </c>
      <c r="O431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41"/>
        <v>photography</v>
      </c>
      <c r="T431" t="str">
        <f t="shared" si="39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67.740740740740748</v>
      </c>
      <c r="G432" t="s">
        <v>14</v>
      </c>
      <c r="H432" s="7">
        <f t="shared" si="40"/>
        <v>65.321428571428569</v>
      </c>
      <c r="I432">
        <v>84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37"/>
        <v>43737.208333333328</v>
      </c>
      <c r="O432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41"/>
        <v>theater</v>
      </c>
      <c r="T432" t="str">
        <f t="shared" si="39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192.49019607843135</v>
      </c>
      <c r="G433" t="s">
        <v>20</v>
      </c>
      <c r="H433" s="7">
        <f t="shared" si="40"/>
        <v>104.43617021276596</v>
      </c>
      <c r="I433">
        <v>94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37"/>
        <v>43273.208333333328</v>
      </c>
      <c r="O433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41"/>
        <v>theater</v>
      </c>
      <c r="T433" t="str">
        <f t="shared" si="39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82.714285714285722</v>
      </c>
      <c r="G434" t="s">
        <v>14</v>
      </c>
      <c r="H434" s="7">
        <f t="shared" si="40"/>
        <v>69.989010989010993</v>
      </c>
      <c r="I434">
        <v>91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37"/>
        <v>41761.208333333336</v>
      </c>
      <c r="O434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41"/>
        <v>theater</v>
      </c>
      <c r="T434" t="str">
        <f t="shared" si="39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54.163920922570021</v>
      </c>
      <c r="G435" t="s">
        <v>14</v>
      </c>
      <c r="H435" s="7">
        <f t="shared" si="40"/>
        <v>83.023989898989896</v>
      </c>
      <c r="I435">
        <v>792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37"/>
        <v>41603.25</v>
      </c>
      <c r="O435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41"/>
        <v>film &amp; video</v>
      </c>
      <c r="T435" t="str">
        <f t="shared" si="39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16.722222222222221</v>
      </c>
      <c r="G436" t="s">
        <v>74</v>
      </c>
      <c r="H436" s="7">
        <f t="shared" si="40"/>
        <v>90.3</v>
      </c>
      <c r="I436">
        <v>10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37"/>
        <v>42705.25</v>
      </c>
      <c r="O436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41"/>
        <v>theater</v>
      </c>
      <c r="T436" t="str">
        <f t="shared" si="39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116.87664041994749</v>
      </c>
      <c r="G437" t="s">
        <v>20</v>
      </c>
      <c r="H437" s="7">
        <f t="shared" si="40"/>
        <v>103.98131932282546</v>
      </c>
      <c r="I437">
        <v>1713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37"/>
        <v>41988.25</v>
      </c>
      <c r="O437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41"/>
        <v>theater</v>
      </c>
      <c r="T437" t="str">
        <f t="shared" si="39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1052.1538461538462</v>
      </c>
      <c r="G438" t="s">
        <v>20</v>
      </c>
      <c r="H438" s="7">
        <f t="shared" si="40"/>
        <v>54.931726907630519</v>
      </c>
      <c r="I438">
        <v>249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37"/>
        <v>43575.208333333328</v>
      </c>
      <c r="O438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41"/>
        <v>music</v>
      </c>
      <c r="T438" t="str">
        <f t="shared" si="39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123.07407407407408</v>
      </c>
      <c r="G439" t="s">
        <v>20</v>
      </c>
      <c r="H439" s="7">
        <f t="shared" si="40"/>
        <v>51.921875</v>
      </c>
      <c r="I439">
        <v>192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37"/>
        <v>42260.208333333328</v>
      </c>
      <c r="O439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41"/>
        <v>film &amp; video</v>
      </c>
      <c r="T439" t="str">
        <f t="shared" si="39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178.63855421686748</v>
      </c>
      <c r="G440" t="s">
        <v>20</v>
      </c>
      <c r="H440" s="7">
        <f t="shared" si="40"/>
        <v>60.02834008097166</v>
      </c>
      <c r="I440">
        <v>247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37"/>
        <v>41337.25</v>
      </c>
      <c r="O440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41"/>
        <v>theater</v>
      </c>
      <c r="T440" t="str">
        <f t="shared" si="39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355.28169014084506</v>
      </c>
      <c r="G441" t="s">
        <v>20</v>
      </c>
      <c r="H441" s="7">
        <f t="shared" si="40"/>
        <v>44.003488879197555</v>
      </c>
      <c r="I441">
        <v>2293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37"/>
        <v>42680.208333333328</v>
      </c>
      <c r="O441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41"/>
        <v>film &amp; video</v>
      </c>
      <c r="T441" t="str">
        <f t="shared" si="39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161.90634146341463</v>
      </c>
      <c r="G442" t="s">
        <v>20</v>
      </c>
      <c r="H442" s="7">
        <f t="shared" si="40"/>
        <v>53.003513254551258</v>
      </c>
      <c r="I442">
        <v>3131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37"/>
        <v>42916.208333333328</v>
      </c>
      <c r="O442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41"/>
        <v>film &amp; video</v>
      </c>
      <c r="T442" t="str">
        <f t="shared" si="39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24.914285714285715</v>
      </c>
      <c r="G443" t="s">
        <v>14</v>
      </c>
      <c r="H443" s="7">
        <f t="shared" si="40"/>
        <v>54.5</v>
      </c>
      <c r="I443">
        <v>32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37"/>
        <v>41025.208333333336</v>
      </c>
      <c r="O443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41"/>
        <v>technology</v>
      </c>
      <c r="T443" t="str">
        <f t="shared" si="39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198.72222222222223</v>
      </c>
      <c r="G444" t="s">
        <v>20</v>
      </c>
      <c r="H444" s="7">
        <f t="shared" si="40"/>
        <v>75.04195804195804</v>
      </c>
      <c r="I444">
        <v>143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37"/>
        <v>42980.208333333328</v>
      </c>
      <c r="O444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41"/>
        <v>theater</v>
      </c>
      <c r="T444" t="str">
        <f t="shared" si="39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34.752688172043008</v>
      </c>
      <c r="G445" t="s">
        <v>74</v>
      </c>
      <c r="H445" s="7">
        <f t="shared" si="40"/>
        <v>35.911111111111111</v>
      </c>
      <c r="I445">
        <v>90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37"/>
        <v>40451.208333333336</v>
      </c>
      <c r="O445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41"/>
        <v>theater</v>
      </c>
      <c r="T445" t="str">
        <f t="shared" si="39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176.41935483870967</v>
      </c>
      <c r="G446" t="s">
        <v>20</v>
      </c>
      <c r="H446" s="7">
        <f t="shared" si="40"/>
        <v>36.952702702702702</v>
      </c>
      <c r="I446">
        <v>296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37"/>
        <v>40748.208333333336</v>
      </c>
      <c r="O446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41"/>
        <v>music</v>
      </c>
      <c r="T446" t="str">
        <f t="shared" si="39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511.38095238095235</v>
      </c>
      <c r="G447" t="s">
        <v>20</v>
      </c>
      <c r="H447" s="7">
        <f t="shared" si="40"/>
        <v>63.170588235294119</v>
      </c>
      <c r="I447">
        <v>170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37"/>
        <v>40515.25</v>
      </c>
      <c r="O447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41"/>
        <v>theater</v>
      </c>
      <c r="T447" t="str">
        <f t="shared" si="39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82.044117647058826</v>
      </c>
      <c r="G448" t="s">
        <v>14</v>
      </c>
      <c r="H448" s="7">
        <f t="shared" si="40"/>
        <v>29.99462365591398</v>
      </c>
      <c r="I448">
        <v>186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37"/>
        <v>41261.25</v>
      </c>
      <c r="O448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41"/>
        <v>technology</v>
      </c>
      <c r="T448" t="str">
        <f t="shared" si="39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24.326030927835053</v>
      </c>
      <c r="G449" t="s">
        <v>74</v>
      </c>
      <c r="H449" s="7">
        <f t="shared" si="40"/>
        <v>86</v>
      </c>
      <c r="I449">
        <v>439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37"/>
        <v>43088.25</v>
      </c>
      <c r="O449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41"/>
        <v>film &amp; video</v>
      </c>
      <c r="T449" t="str">
        <f t="shared" si="39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ref="F450:F513" si="42">E450/D450*100</f>
        <v>50.482758620689658</v>
      </c>
      <c r="G450" t="s">
        <v>14</v>
      </c>
      <c r="H450" s="7">
        <f t="shared" si="40"/>
        <v>75.014876033057845</v>
      </c>
      <c r="I450">
        <v>605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37"/>
        <v>41378.208333333336</v>
      </c>
      <c r="O450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41"/>
        <v>games</v>
      </c>
      <c r="T450" t="str">
        <f t="shared" si="39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42"/>
        <v>967</v>
      </c>
      <c r="G451" t="s">
        <v>20</v>
      </c>
      <c r="H451" s="7">
        <f t="shared" si="40"/>
        <v>101.19767441860465</v>
      </c>
      <c r="I451">
        <v>86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ref="N451:N514" si="43">(((L451/60)/60)/24)+DATE(1970,1,1)</f>
        <v>43530.25</v>
      </c>
      <c r="O451">
        <f t="shared" ref="O451:O514" si="44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si="41"/>
        <v>games</v>
      </c>
      <c r="T451" t="str">
        <f t="shared" ref="T451:T514" si="45">RIGHT(R451,LEN(R451)-LEN(S451)-1)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4</v>
      </c>
      <c r="G452" t="s">
        <v>14</v>
      </c>
      <c r="H452" s="7">
        <f t="shared" ref="H452:H515" si="46">E452/I452</f>
        <v>4</v>
      </c>
      <c r="I452">
        <v>1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43"/>
        <v>43394.208333333328</v>
      </c>
      <c r="O452">
        <f t="shared" si="44"/>
        <v>43417.25</v>
      </c>
      <c r="P452" t="b">
        <v>0</v>
      </c>
      <c r="Q452" t="b">
        <v>0</v>
      </c>
      <c r="R452" t="s">
        <v>71</v>
      </c>
      <c r="S452" t="str">
        <f t="shared" ref="S452:S515" si="47">LEFT(R452,FIND("/",R452)-1)</f>
        <v>film &amp; video</v>
      </c>
      <c r="T452" t="str">
        <f t="shared" si="45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122.84501347708894</v>
      </c>
      <c r="G453" t="s">
        <v>20</v>
      </c>
      <c r="H453" s="7">
        <f t="shared" si="46"/>
        <v>29.001272669424118</v>
      </c>
      <c r="I453">
        <v>6286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43"/>
        <v>42935.208333333328</v>
      </c>
      <c r="O453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7"/>
        <v>music</v>
      </c>
      <c r="T453" t="str">
        <f t="shared" si="45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63.4375</v>
      </c>
      <c r="G454" t="s">
        <v>14</v>
      </c>
      <c r="H454" s="7">
        <f t="shared" si="46"/>
        <v>98.225806451612897</v>
      </c>
      <c r="I454">
        <v>31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43"/>
        <v>40365.208333333336</v>
      </c>
      <c r="O454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7"/>
        <v>film &amp; video</v>
      </c>
      <c r="T454" t="str">
        <f t="shared" si="45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56.331688596491226</v>
      </c>
      <c r="G455" t="s">
        <v>14</v>
      </c>
      <c r="H455" s="7">
        <f t="shared" si="46"/>
        <v>87.001693480101608</v>
      </c>
      <c r="I455">
        <v>1181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43"/>
        <v>42705.25</v>
      </c>
      <c r="O455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7"/>
        <v>film &amp; video</v>
      </c>
      <c r="T455" t="str">
        <f t="shared" si="45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44.074999999999996</v>
      </c>
      <c r="G456" t="s">
        <v>14</v>
      </c>
      <c r="H456" s="7">
        <f t="shared" si="46"/>
        <v>45.205128205128204</v>
      </c>
      <c r="I456">
        <v>39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43"/>
        <v>41568.208333333336</v>
      </c>
      <c r="O456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7"/>
        <v>film &amp; video</v>
      </c>
      <c r="T456" t="str">
        <f t="shared" si="45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118.37253218884121</v>
      </c>
      <c r="G457" t="s">
        <v>20</v>
      </c>
      <c r="H457" s="7">
        <f t="shared" si="46"/>
        <v>37.001341561577675</v>
      </c>
      <c r="I457">
        <v>3727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43"/>
        <v>40809.208333333336</v>
      </c>
      <c r="O457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7"/>
        <v>theater</v>
      </c>
      <c r="T457" t="str">
        <f t="shared" si="45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104.1243169398907</v>
      </c>
      <c r="G458" t="s">
        <v>20</v>
      </c>
      <c r="H458" s="7">
        <f t="shared" si="46"/>
        <v>94.976947040498445</v>
      </c>
      <c r="I458">
        <v>1605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43"/>
        <v>43141.25</v>
      </c>
      <c r="O458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7"/>
        <v>music</v>
      </c>
      <c r="T458" t="str">
        <f t="shared" si="45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26.640000000000004</v>
      </c>
      <c r="G459" t="s">
        <v>14</v>
      </c>
      <c r="H459" s="7">
        <f t="shared" si="46"/>
        <v>28.956521739130434</v>
      </c>
      <c r="I459">
        <v>46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43"/>
        <v>42657.208333333328</v>
      </c>
      <c r="O459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7"/>
        <v>theater</v>
      </c>
      <c r="T459" t="str">
        <f t="shared" si="45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351.20118343195264</v>
      </c>
      <c r="G460" t="s">
        <v>20</v>
      </c>
      <c r="H460" s="7">
        <f t="shared" si="46"/>
        <v>55.993396226415094</v>
      </c>
      <c r="I460">
        <v>2120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43"/>
        <v>40265.208333333336</v>
      </c>
      <c r="O460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7"/>
        <v>theater</v>
      </c>
      <c r="T460" t="str">
        <f t="shared" si="45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90.063492063492063</v>
      </c>
      <c r="G461" t="s">
        <v>14</v>
      </c>
      <c r="H461" s="7">
        <f t="shared" si="46"/>
        <v>54.038095238095238</v>
      </c>
      <c r="I461">
        <v>105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43"/>
        <v>42001.25</v>
      </c>
      <c r="O461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7"/>
        <v>film &amp; video</v>
      </c>
      <c r="T461" t="str">
        <f t="shared" si="45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171.625</v>
      </c>
      <c r="G462" t="s">
        <v>20</v>
      </c>
      <c r="H462" s="7">
        <f t="shared" si="46"/>
        <v>82.38</v>
      </c>
      <c r="I462">
        <v>50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43"/>
        <v>40399.208333333336</v>
      </c>
      <c r="O462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7"/>
        <v>theater</v>
      </c>
      <c r="T462" t="str">
        <f t="shared" si="45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141.04655870445345</v>
      </c>
      <c r="G463" t="s">
        <v>20</v>
      </c>
      <c r="H463" s="7">
        <f t="shared" si="46"/>
        <v>66.997115384615384</v>
      </c>
      <c r="I463">
        <v>2080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43"/>
        <v>41757.208333333336</v>
      </c>
      <c r="O463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7"/>
        <v>film &amp; video</v>
      </c>
      <c r="T463" t="str">
        <f t="shared" si="45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30.57944915254237</v>
      </c>
      <c r="G464" t="s">
        <v>14</v>
      </c>
      <c r="H464" s="7">
        <f t="shared" si="46"/>
        <v>107.91401869158878</v>
      </c>
      <c r="I464">
        <v>535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43"/>
        <v>41304.25</v>
      </c>
      <c r="O464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7"/>
        <v>games</v>
      </c>
      <c r="T464" t="str">
        <f t="shared" si="45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108.16455696202532</v>
      </c>
      <c r="G465" t="s">
        <v>20</v>
      </c>
      <c r="H465" s="7">
        <f t="shared" si="46"/>
        <v>69.009501187648453</v>
      </c>
      <c r="I465">
        <v>2105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43"/>
        <v>41639.25</v>
      </c>
      <c r="O465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7"/>
        <v>film &amp; video</v>
      </c>
      <c r="T465" t="str">
        <f t="shared" si="45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133.45505617977528</v>
      </c>
      <c r="G466" t="s">
        <v>20</v>
      </c>
      <c r="H466" s="7">
        <f t="shared" si="46"/>
        <v>39.006568144499177</v>
      </c>
      <c r="I466">
        <v>2436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43"/>
        <v>43142.25</v>
      </c>
      <c r="O466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7"/>
        <v>theater</v>
      </c>
      <c r="T466" t="str">
        <f t="shared" si="45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187.85106382978722</v>
      </c>
      <c r="G467" t="s">
        <v>20</v>
      </c>
      <c r="H467" s="7">
        <f t="shared" si="46"/>
        <v>110.3625</v>
      </c>
      <c r="I467">
        <v>80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43"/>
        <v>43127.25</v>
      </c>
      <c r="O467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7"/>
        <v>publishing</v>
      </c>
      <c r="T467" t="str">
        <f t="shared" si="45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332</v>
      </c>
      <c r="G468" t="s">
        <v>20</v>
      </c>
      <c r="H468" s="7">
        <f t="shared" si="46"/>
        <v>94.857142857142861</v>
      </c>
      <c r="I468">
        <v>42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43"/>
        <v>41409.208333333336</v>
      </c>
      <c r="O468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7"/>
        <v>technology</v>
      </c>
      <c r="T468" t="str">
        <f t="shared" si="45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575.21428571428578</v>
      </c>
      <c r="G469" t="s">
        <v>20</v>
      </c>
      <c r="H469" s="7">
        <f t="shared" si="46"/>
        <v>57.935251798561154</v>
      </c>
      <c r="I469">
        <v>139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43"/>
        <v>42331.25</v>
      </c>
      <c r="O469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7"/>
        <v>technology</v>
      </c>
      <c r="T469" t="str">
        <f t="shared" si="45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40.5</v>
      </c>
      <c r="G470" t="s">
        <v>14</v>
      </c>
      <c r="H470" s="7">
        <f t="shared" si="46"/>
        <v>101.25</v>
      </c>
      <c r="I470">
        <v>16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43"/>
        <v>43569.208333333328</v>
      </c>
      <c r="O470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7"/>
        <v>theater</v>
      </c>
      <c r="T470" t="str">
        <f t="shared" si="45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184.42857142857144</v>
      </c>
      <c r="G471" t="s">
        <v>20</v>
      </c>
      <c r="H471" s="7">
        <f t="shared" si="46"/>
        <v>64.95597484276729</v>
      </c>
      <c r="I471">
        <v>159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43"/>
        <v>42142.208333333328</v>
      </c>
      <c r="O471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7"/>
        <v>film &amp; video</v>
      </c>
      <c r="T471" t="str">
        <f t="shared" si="45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285.80555555555554</v>
      </c>
      <c r="G472" t="s">
        <v>20</v>
      </c>
      <c r="H472" s="7">
        <f t="shared" si="46"/>
        <v>27.00524934383202</v>
      </c>
      <c r="I472">
        <v>381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43"/>
        <v>42716.25</v>
      </c>
      <c r="O472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7"/>
        <v>technology</v>
      </c>
      <c r="T472" t="str">
        <f t="shared" si="45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319</v>
      </c>
      <c r="G473" t="s">
        <v>20</v>
      </c>
      <c r="H473" s="7">
        <f t="shared" si="46"/>
        <v>50.97422680412371</v>
      </c>
      <c r="I473">
        <v>194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43"/>
        <v>41031.208333333336</v>
      </c>
      <c r="O473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7"/>
        <v>food</v>
      </c>
      <c r="T473" t="str">
        <f t="shared" si="45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39.234070221066318</v>
      </c>
      <c r="G474" t="s">
        <v>14</v>
      </c>
      <c r="H474" s="7">
        <f t="shared" si="46"/>
        <v>104.94260869565217</v>
      </c>
      <c r="I474">
        <v>575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43"/>
        <v>43535.208333333328</v>
      </c>
      <c r="O474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7"/>
        <v>music</v>
      </c>
      <c r="T474" t="str">
        <f t="shared" si="45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178.14000000000001</v>
      </c>
      <c r="G475" t="s">
        <v>20</v>
      </c>
      <c r="H475" s="7">
        <f t="shared" si="46"/>
        <v>84.028301886792448</v>
      </c>
      <c r="I475">
        <v>106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43"/>
        <v>43277.208333333328</v>
      </c>
      <c r="O475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7"/>
        <v>music</v>
      </c>
      <c r="T475" t="str">
        <f t="shared" si="45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365.15</v>
      </c>
      <c r="G476" t="s">
        <v>20</v>
      </c>
      <c r="H476" s="7">
        <f t="shared" si="46"/>
        <v>102.85915492957747</v>
      </c>
      <c r="I476">
        <v>142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43"/>
        <v>41989.25</v>
      </c>
      <c r="O476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7"/>
        <v>film &amp; video</v>
      </c>
      <c r="T476" t="str">
        <f t="shared" si="45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113.94594594594594</v>
      </c>
      <c r="G477" t="s">
        <v>20</v>
      </c>
      <c r="H477" s="7">
        <f t="shared" si="46"/>
        <v>39.962085308056871</v>
      </c>
      <c r="I477">
        <v>211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43"/>
        <v>41450.208333333336</v>
      </c>
      <c r="O477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7"/>
        <v>publishing</v>
      </c>
      <c r="T477" t="str">
        <f t="shared" si="45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29.828720626631856</v>
      </c>
      <c r="G478" t="s">
        <v>14</v>
      </c>
      <c r="H478" s="7">
        <f t="shared" si="46"/>
        <v>51.001785714285717</v>
      </c>
      <c r="I478">
        <v>1120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43"/>
        <v>43322.208333333328</v>
      </c>
      <c r="O478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7"/>
        <v>publishing</v>
      </c>
      <c r="T478" t="str">
        <f t="shared" si="45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54.270588235294113</v>
      </c>
      <c r="G479" t="s">
        <v>14</v>
      </c>
      <c r="H479" s="7">
        <f t="shared" si="46"/>
        <v>40.823008849557525</v>
      </c>
      <c r="I479">
        <v>113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43"/>
        <v>40720.208333333336</v>
      </c>
      <c r="O479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7"/>
        <v>film &amp; video</v>
      </c>
      <c r="T479" t="str">
        <f t="shared" si="45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236.34156976744185</v>
      </c>
      <c r="G480" t="s">
        <v>20</v>
      </c>
      <c r="H480" s="7">
        <f t="shared" si="46"/>
        <v>58.999637155297535</v>
      </c>
      <c r="I480">
        <v>2756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43"/>
        <v>42072.208333333328</v>
      </c>
      <c r="O480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7"/>
        <v>technology</v>
      </c>
      <c r="T480" t="str">
        <f t="shared" si="45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512.91666666666663</v>
      </c>
      <c r="G481" t="s">
        <v>20</v>
      </c>
      <c r="H481" s="7">
        <f t="shared" si="46"/>
        <v>71.156069364161851</v>
      </c>
      <c r="I481">
        <v>173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43"/>
        <v>42945.208333333328</v>
      </c>
      <c r="O481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7"/>
        <v>food</v>
      </c>
      <c r="T481" t="str">
        <f t="shared" si="45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100.65116279069768</v>
      </c>
      <c r="G482" t="s">
        <v>20</v>
      </c>
      <c r="H482" s="7">
        <f t="shared" si="46"/>
        <v>99.494252873563212</v>
      </c>
      <c r="I482">
        <v>87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43"/>
        <v>40248.25</v>
      </c>
      <c r="O482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7"/>
        <v>photography</v>
      </c>
      <c r="T482" t="str">
        <f t="shared" si="45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81.348423194303152</v>
      </c>
      <c r="G483" t="s">
        <v>14</v>
      </c>
      <c r="H483" s="7">
        <f t="shared" si="46"/>
        <v>103.98634590377114</v>
      </c>
      <c r="I483">
        <v>1538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43"/>
        <v>41913.208333333336</v>
      </c>
      <c r="O483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7"/>
        <v>theater</v>
      </c>
      <c r="T483" t="str">
        <f t="shared" si="45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16.404761904761905</v>
      </c>
      <c r="G484" t="s">
        <v>14</v>
      </c>
      <c r="H484" s="7">
        <f t="shared" si="46"/>
        <v>76.555555555555557</v>
      </c>
      <c r="I484">
        <v>9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43"/>
        <v>40963.25</v>
      </c>
      <c r="O484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7"/>
        <v>publishing</v>
      </c>
      <c r="T484" t="str">
        <f t="shared" si="45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52.774617067833695</v>
      </c>
      <c r="G485" t="s">
        <v>14</v>
      </c>
      <c r="H485" s="7">
        <f t="shared" si="46"/>
        <v>87.068592057761734</v>
      </c>
      <c r="I485">
        <v>554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43"/>
        <v>43811.25</v>
      </c>
      <c r="O485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7"/>
        <v>theater</v>
      </c>
      <c r="T485" t="str">
        <f t="shared" si="45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260.20608108108109</v>
      </c>
      <c r="G486" t="s">
        <v>20</v>
      </c>
      <c r="H486" s="7">
        <f t="shared" si="46"/>
        <v>48.99554707379135</v>
      </c>
      <c r="I486">
        <v>1572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43"/>
        <v>41855.208333333336</v>
      </c>
      <c r="O486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7"/>
        <v>food</v>
      </c>
      <c r="T486" t="str">
        <f t="shared" si="45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30.73289183222958</v>
      </c>
      <c r="G487" t="s">
        <v>14</v>
      </c>
      <c r="H487" s="7">
        <f t="shared" si="46"/>
        <v>42.969135802469133</v>
      </c>
      <c r="I487">
        <v>648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43"/>
        <v>43626.208333333328</v>
      </c>
      <c r="O487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7"/>
        <v>theater</v>
      </c>
      <c r="T487" t="str">
        <f t="shared" si="45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13.5</v>
      </c>
      <c r="G488" t="s">
        <v>14</v>
      </c>
      <c r="H488" s="7">
        <f t="shared" si="46"/>
        <v>33.428571428571431</v>
      </c>
      <c r="I488">
        <v>21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43"/>
        <v>43168.25</v>
      </c>
      <c r="O488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7"/>
        <v>publishing</v>
      </c>
      <c r="T488" t="str">
        <f t="shared" si="45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178.62556663644605</v>
      </c>
      <c r="G489" t="s">
        <v>20</v>
      </c>
      <c r="H489" s="7">
        <f t="shared" si="46"/>
        <v>83.982949701619773</v>
      </c>
      <c r="I489">
        <v>2346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43"/>
        <v>42845.208333333328</v>
      </c>
      <c r="O489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7"/>
        <v>theater</v>
      </c>
      <c r="T489" t="str">
        <f t="shared" si="45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220.0566037735849</v>
      </c>
      <c r="G490" t="s">
        <v>20</v>
      </c>
      <c r="H490" s="7">
        <f t="shared" si="46"/>
        <v>101.41739130434783</v>
      </c>
      <c r="I490">
        <v>115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43"/>
        <v>42403.25</v>
      </c>
      <c r="O490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7"/>
        <v>theater</v>
      </c>
      <c r="T490" t="str">
        <f t="shared" si="45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101.5108695652174</v>
      </c>
      <c r="G491" t="s">
        <v>20</v>
      </c>
      <c r="H491" s="7">
        <f t="shared" si="46"/>
        <v>109.87058823529412</v>
      </c>
      <c r="I491">
        <v>85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43"/>
        <v>40406.208333333336</v>
      </c>
      <c r="O491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7"/>
        <v>technology</v>
      </c>
      <c r="T491" t="str">
        <f t="shared" si="45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191.5</v>
      </c>
      <c r="G492" t="s">
        <v>20</v>
      </c>
      <c r="H492" s="7">
        <f t="shared" si="46"/>
        <v>31.916666666666668</v>
      </c>
      <c r="I492">
        <v>144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43"/>
        <v>43786.25</v>
      </c>
      <c r="O492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7"/>
        <v>journalism</v>
      </c>
      <c r="T492" t="str">
        <f t="shared" si="45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305.34683098591546</v>
      </c>
      <c r="G493" t="s">
        <v>20</v>
      </c>
      <c r="H493" s="7">
        <f t="shared" si="46"/>
        <v>70.993450675399103</v>
      </c>
      <c r="I493">
        <v>2443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43"/>
        <v>41456.208333333336</v>
      </c>
      <c r="O493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7"/>
        <v>food</v>
      </c>
      <c r="T493" t="str">
        <f t="shared" si="45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23.995287958115181</v>
      </c>
      <c r="G494" t="s">
        <v>74</v>
      </c>
      <c r="H494" s="7">
        <f t="shared" si="46"/>
        <v>77.026890756302521</v>
      </c>
      <c r="I494">
        <v>595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43"/>
        <v>40336.208333333336</v>
      </c>
      <c r="O494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7"/>
        <v>film &amp; video</v>
      </c>
      <c r="T494" t="str">
        <f t="shared" si="45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723.77777777777771</v>
      </c>
      <c r="G495" t="s">
        <v>20</v>
      </c>
      <c r="H495" s="7">
        <f t="shared" si="46"/>
        <v>101.78125</v>
      </c>
      <c r="I495">
        <v>64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43"/>
        <v>43645.208333333328</v>
      </c>
      <c r="O495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7"/>
        <v>photography</v>
      </c>
      <c r="T495" t="str">
        <f t="shared" si="45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547.36</v>
      </c>
      <c r="G496" t="s">
        <v>20</v>
      </c>
      <c r="H496" s="7">
        <f t="shared" si="46"/>
        <v>51.059701492537314</v>
      </c>
      <c r="I496">
        <v>268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43"/>
        <v>40990.208333333336</v>
      </c>
      <c r="O496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7"/>
        <v>technology</v>
      </c>
      <c r="T496" t="str">
        <f t="shared" si="45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414.49999999999994</v>
      </c>
      <c r="G497" t="s">
        <v>20</v>
      </c>
      <c r="H497" s="7">
        <f t="shared" si="46"/>
        <v>68.02051282051282</v>
      </c>
      <c r="I497">
        <v>195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43"/>
        <v>41800.208333333336</v>
      </c>
      <c r="O497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7"/>
        <v>theater</v>
      </c>
      <c r="T497" t="str">
        <f t="shared" si="45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0.90696409140369971</v>
      </c>
      <c r="G498" t="s">
        <v>14</v>
      </c>
      <c r="H498" s="7">
        <f t="shared" si="46"/>
        <v>30.87037037037037</v>
      </c>
      <c r="I498">
        <v>54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43"/>
        <v>42876.208333333328</v>
      </c>
      <c r="O498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7"/>
        <v>film &amp; video</v>
      </c>
      <c r="T498" t="str">
        <f t="shared" si="45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34.173469387755098</v>
      </c>
      <c r="G499" t="s">
        <v>14</v>
      </c>
      <c r="H499" s="7">
        <f t="shared" si="46"/>
        <v>27.908333333333335</v>
      </c>
      <c r="I499">
        <v>120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43"/>
        <v>42724.25</v>
      </c>
      <c r="O499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7"/>
        <v>technology</v>
      </c>
      <c r="T499" t="str">
        <f t="shared" si="45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23.948810754912099</v>
      </c>
      <c r="G500" t="s">
        <v>14</v>
      </c>
      <c r="H500" s="7">
        <f t="shared" si="46"/>
        <v>79.994818652849744</v>
      </c>
      <c r="I500">
        <v>579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43"/>
        <v>42005.25</v>
      </c>
      <c r="O500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7"/>
        <v>technology</v>
      </c>
      <c r="T500" t="str">
        <f t="shared" si="45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48.072649572649574</v>
      </c>
      <c r="G501" t="s">
        <v>14</v>
      </c>
      <c r="H501" s="7">
        <f t="shared" si="46"/>
        <v>38.003378378378379</v>
      </c>
      <c r="I501">
        <v>2072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43"/>
        <v>42444.208333333328</v>
      </c>
      <c r="O501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7"/>
        <v>film &amp; video</v>
      </c>
      <c r="T501" t="str">
        <f t="shared" si="45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 s="7" t="e">
        <f t="shared" si="46"/>
        <v>#DIV/0!</v>
      </c>
      <c r="I502">
        <v>0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43"/>
        <v>41395.208333333336</v>
      </c>
      <c r="O502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7"/>
        <v>theater</v>
      </c>
      <c r="T502" t="str">
        <f t="shared" si="45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70.145182291666657</v>
      </c>
      <c r="G503" t="s">
        <v>14</v>
      </c>
      <c r="H503" s="7">
        <f t="shared" si="46"/>
        <v>59.990534521158132</v>
      </c>
      <c r="I503">
        <v>1796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43"/>
        <v>41345.208333333336</v>
      </c>
      <c r="O503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7"/>
        <v>film &amp; video</v>
      </c>
      <c r="T503" t="str">
        <f t="shared" si="45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529.92307692307691</v>
      </c>
      <c r="G504" t="s">
        <v>20</v>
      </c>
      <c r="H504" s="7">
        <f t="shared" si="46"/>
        <v>37.037634408602152</v>
      </c>
      <c r="I504">
        <v>186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43"/>
        <v>41117.208333333336</v>
      </c>
      <c r="O504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7"/>
        <v>games</v>
      </c>
      <c r="T504" t="str">
        <f t="shared" si="45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180.32549019607845</v>
      </c>
      <c r="G505" t="s">
        <v>20</v>
      </c>
      <c r="H505" s="7">
        <f t="shared" si="46"/>
        <v>99.963043478260872</v>
      </c>
      <c r="I505">
        <v>460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43"/>
        <v>42186.208333333328</v>
      </c>
      <c r="O505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7"/>
        <v>film &amp; video</v>
      </c>
      <c r="T505" t="str">
        <f t="shared" si="45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92.320000000000007</v>
      </c>
      <c r="G506" t="s">
        <v>14</v>
      </c>
      <c r="H506" s="7">
        <f t="shared" si="46"/>
        <v>111.6774193548387</v>
      </c>
      <c r="I506">
        <v>62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43"/>
        <v>42142.208333333328</v>
      </c>
      <c r="O506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7"/>
        <v>music</v>
      </c>
      <c r="T506" t="str">
        <f t="shared" si="45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13.901001112347053</v>
      </c>
      <c r="G507" t="s">
        <v>14</v>
      </c>
      <c r="H507" s="7">
        <f t="shared" si="46"/>
        <v>36.014409221902014</v>
      </c>
      <c r="I507">
        <v>347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43"/>
        <v>41341.25</v>
      </c>
      <c r="O507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7"/>
        <v>publishing</v>
      </c>
      <c r="T507" t="str">
        <f t="shared" si="45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927.07777777777767</v>
      </c>
      <c r="G508" t="s">
        <v>20</v>
      </c>
      <c r="H508" s="7">
        <f t="shared" si="46"/>
        <v>66.010284810126578</v>
      </c>
      <c r="I508">
        <v>2528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43"/>
        <v>43062.25</v>
      </c>
      <c r="O508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7"/>
        <v>theater</v>
      </c>
      <c r="T508" t="str">
        <f t="shared" si="45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39.857142857142861</v>
      </c>
      <c r="G509" t="s">
        <v>14</v>
      </c>
      <c r="H509" s="7">
        <f t="shared" si="46"/>
        <v>44.05263157894737</v>
      </c>
      <c r="I509">
        <v>19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43"/>
        <v>41373.208333333336</v>
      </c>
      <c r="O509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7"/>
        <v>technology</v>
      </c>
      <c r="T509" t="str">
        <f t="shared" si="45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112.22929936305732</v>
      </c>
      <c r="G510" t="s">
        <v>20</v>
      </c>
      <c r="H510" s="7">
        <f t="shared" si="46"/>
        <v>52.999726551818434</v>
      </c>
      <c r="I510">
        <v>3657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43"/>
        <v>43310.208333333328</v>
      </c>
      <c r="O510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7"/>
        <v>theater</v>
      </c>
      <c r="T510" t="str">
        <f t="shared" si="45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70.925816023738875</v>
      </c>
      <c r="G511" t="s">
        <v>14</v>
      </c>
      <c r="H511" s="7">
        <f t="shared" si="46"/>
        <v>95</v>
      </c>
      <c r="I511">
        <v>1258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43"/>
        <v>41034.208333333336</v>
      </c>
      <c r="O511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7"/>
        <v>theater</v>
      </c>
      <c r="T511" t="str">
        <f t="shared" si="45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119.08974358974358</v>
      </c>
      <c r="G512" t="s">
        <v>20</v>
      </c>
      <c r="H512" s="7">
        <f t="shared" si="46"/>
        <v>70.908396946564892</v>
      </c>
      <c r="I512">
        <v>131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43"/>
        <v>43251.208333333328</v>
      </c>
      <c r="O512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7"/>
        <v>film &amp; video</v>
      </c>
      <c r="T512" t="str">
        <f t="shared" si="45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24.017591339648174</v>
      </c>
      <c r="G513" t="s">
        <v>14</v>
      </c>
      <c r="H513" s="7">
        <f t="shared" si="46"/>
        <v>98.060773480662988</v>
      </c>
      <c r="I513">
        <v>362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43"/>
        <v>43671.208333333328</v>
      </c>
      <c r="O513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7"/>
        <v>theater</v>
      </c>
      <c r="T513" t="str">
        <f t="shared" si="45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ref="F514:F577" si="48">E514/D514*100</f>
        <v>139.31868131868131</v>
      </c>
      <c r="G514" t="s">
        <v>20</v>
      </c>
      <c r="H514" s="7">
        <f t="shared" si="46"/>
        <v>53.046025104602514</v>
      </c>
      <c r="I514">
        <v>239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43"/>
        <v>41825.208333333336</v>
      </c>
      <c r="O514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7"/>
        <v>games</v>
      </c>
      <c r="T514" t="str">
        <f t="shared" si="45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48"/>
        <v>39.277108433734945</v>
      </c>
      <c r="G515" t="s">
        <v>74</v>
      </c>
      <c r="H515" s="7">
        <f t="shared" si="46"/>
        <v>93.142857142857139</v>
      </c>
      <c r="I515">
        <v>35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N578" si="49">(((L515/60)/60)/24)+DATE(1970,1,1)</f>
        <v>40430.208333333336</v>
      </c>
      <c r="O515">
        <f t="shared" ref="O515:O578" si="50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si="47"/>
        <v>film &amp; video</v>
      </c>
      <c r="T515" t="str">
        <f t="shared" ref="T515:T578" si="51">RIGHT(R515,LEN(R515)-LEN(S515)-1)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22.439077144917089</v>
      </c>
      <c r="G516" t="s">
        <v>74</v>
      </c>
      <c r="H516" s="7">
        <f t="shared" ref="H516:H579" si="52">E516/I516</f>
        <v>58.945075757575758</v>
      </c>
      <c r="I516">
        <v>528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49"/>
        <v>41614.25</v>
      </c>
      <c r="O516">
        <f t="shared" si="50"/>
        <v>41619.25</v>
      </c>
      <c r="P516" t="b">
        <v>0</v>
      </c>
      <c r="Q516" t="b">
        <v>1</v>
      </c>
      <c r="R516" t="s">
        <v>23</v>
      </c>
      <c r="S516" t="str">
        <f t="shared" ref="S516:S579" si="53">LEFT(R516,FIND("/",R516)-1)</f>
        <v>music</v>
      </c>
      <c r="T516" t="str">
        <f t="shared" si="51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55.779069767441861</v>
      </c>
      <c r="G517" t="s">
        <v>14</v>
      </c>
      <c r="H517" s="7">
        <f t="shared" si="52"/>
        <v>36.067669172932334</v>
      </c>
      <c r="I517">
        <v>133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49"/>
        <v>40900.25</v>
      </c>
      <c r="O517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3"/>
        <v>theater</v>
      </c>
      <c r="T517" t="str">
        <f t="shared" si="51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42.523125996810208</v>
      </c>
      <c r="G518" t="s">
        <v>14</v>
      </c>
      <c r="H518" s="7">
        <f t="shared" si="52"/>
        <v>63.030732860520096</v>
      </c>
      <c r="I518">
        <v>846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49"/>
        <v>40396.208333333336</v>
      </c>
      <c r="O518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3"/>
        <v>publishing</v>
      </c>
      <c r="T518" t="str">
        <f t="shared" si="51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112.00000000000001</v>
      </c>
      <c r="G519" t="s">
        <v>20</v>
      </c>
      <c r="H519" s="7">
        <f t="shared" si="52"/>
        <v>84.717948717948715</v>
      </c>
      <c r="I519">
        <v>78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49"/>
        <v>42860.208333333328</v>
      </c>
      <c r="O519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3"/>
        <v>food</v>
      </c>
      <c r="T519" t="str">
        <f t="shared" si="51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7.0681818181818183</v>
      </c>
      <c r="G520" t="s">
        <v>14</v>
      </c>
      <c r="H520" s="7">
        <f t="shared" si="52"/>
        <v>62.2</v>
      </c>
      <c r="I520">
        <v>10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49"/>
        <v>43154.25</v>
      </c>
      <c r="O520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3"/>
        <v>film &amp; video</v>
      </c>
      <c r="T520" t="str">
        <f t="shared" si="51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101.74563871693867</v>
      </c>
      <c r="G521" t="s">
        <v>20</v>
      </c>
      <c r="H521" s="7">
        <f t="shared" si="52"/>
        <v>101.97518330513255</v>
      </c>
      <c r="I521">
        <v>1773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49"/>
        <v>42012.25</v>
      </c>
      <c r="O521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3"/>
        <v>music</v>
      </c>
      <c r="T521" t="str">
        <f t="shared" si="51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425.75</v>
      </c>
      <c r="G522" t="s">
        <v>20</v>
      </c>
      <c r="H522" s="7">
        <f t="shared" si="52"/>
        <v>106.4375</v>
      </c>
      <c r="I522">
        <v>32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49"/>
        <v>43574.208333333328</v>
      </c>
      <c r="O522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3"/>
        <v>theater</v>
      </c>
      <c r="T522" t="str">
        <f t="shared" si="51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145.53947368421052</v>
      </c>
      <c r="G523" t="s">
        <v>20</v>
      </c>
      <c r="H523" s="7">
        <f t="shared" si="52"/>
        <v>29.975609756097562</v>
      </c>
      <c r="I523">
        <v>369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49"/>
        <v>42605.208333333328</v>
      </c>
      <c r="O523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3"/>
        <v>film &amp; video</v>
      </c>
      <c r="T523" t="str">
        <f t="shared" si="51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32.453465346534657</v>
      </c>
      <c r="G524" t="s">
        <v>14</v>
      </c>
      <c r="H524" s="7">
        <f t="shared" si="52"/>
        <v>85.806282722513089</v>
      </c>
      <c r="I524">
        <v>191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49"/>
        <v>41093.208333333336</v>
      </c>
      <c r="O524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3"/>
        <v>film &amp; video</v>
      </c>
      <c r="T524" t="str">
        <f t="shared" si="51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700.33333333333326</v>
      </c>
      <c r="G525" t="s">
        <v>20</v>
      </c>
      <c r="H525" s="7">
        <f t="shared" si="52"/>
        <v>70.82022471910112</v>
      </c>
      <c r="I525">
        <v>89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49"/>
        <v>40241.25</v>
      </c>
      <c r="O525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3"/>
        <v>film &amp; video</v>
      </c>
      <c r="T525" t="str">
        <f t="shared" si="51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83.904860392967933</v>
      </c>
      <c r="G526" t="s">
        <v>14</v>
      </c>
      <c r="H526" s="7">
        <f t="shared" si="52"/>
        <v>40.998484082870135</v>
      </c>
      <c r="I526">
        <v>1979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49"/>
        <v>40294.208333333336</v>
      </c>
      <c r="O526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3"/>
        <v>theater</v>
      </c>
      <c r="T526" t="str">
        <f t="shared" si="51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84.19047619047619</v>
      </c>
      <c r="G527" t="s">
        <v>14</v>
      </c>
      <c r="H527" s="7">
        <f t="shared" si="52"/>
        <v>28.063492063492063</v>
      </c>
      <c r="I527">
        <v>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49"/>
        <v>40505.25</v>
      </c>
      <c r="O527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3"/>
        <v>technology</v>
      </c>
      <c r="T527" t="str">
        <f t="shared" si="51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155.95180722891567</v>
      </c>
      <c r="G528" t="s">
        <v>20</v>
      </c>
      <c r="H528" s="7">
        <f t="shared" si="52"/>
        <v>88.054421768707485</v>
      </c>
      <c r="I528">
        <v>147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49"/>
        <v>42364.25</v>
      </c>
      <c r="O528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3"/>
        <v>theater</v>
      </c>
      <c r="T528" t="str">
        <f t="shared" si="51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99.619450317124731</v>
      </c>
      <c r="G529" t="s">
        <v>14</v>
      </c>
      <c r="H529" s="7">
        <f t="shared" si="52"/>
        <v>31</v>
      </c>
      <c r="I529">
        <v>6080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49"/>
        <v>42405.25</v>
      </c>
      <c r="O529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3"/>
        <v>film &amp; video</v>
      </c>
      <c r="T529" t="str">
        <f t="shared" si="51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80.300000000000011</v>
      </c>
      <c r="G530" t="s">
        <v>14</v>
      </c>
      <c r="H530" s="7">
        <f t="shared" si="52"/>
        <v>90.337500000000006</v>
      </c>
      <c r="I530">
        <v>80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49"/>
        <v>41601.25</v>
      </c>
      <c r="O530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3"/>
        <v>music</v>
      </c>
      <c r="T530" t="str">
        <f t="shared" si="51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11.254901960784313</v>
      </c>
      <c r="G531" t="s">
        <v>14</v>
      </c>
      <c r="H531" s="7">
        <f t="shared" si="52"/>
        <v>63.777777777777779</v>
      </c>
      <c r="I531">
        <v>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49"/>
        <v>41769.208333333336</v>
      </c>
      <c r="O531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3"/>
        <v>games</v>
      </c>
      <c r="T531" t="str">
        <f t="shared" si="51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91.740952380952379</v>
      </c>
      <c r="G532" t="s">
        <v>14</v>
      </c>
      <c r="H532" s="7">
        <f t="shared" si="52"/>
        <v>53.995515695067262</v>
      </c>
      <c r="I532">
        <v>1784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49"/>
        <v>40421.208333333336</v>
      </c>
      <c r="O532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3"/>
        <v>publishing</v>
      </c>
      <c r="T532" t="str">
        <f t="shared" si="51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95.521156936261391</v>
      </c>
      <c r="G533" t="s">
        <v>47</v>
      </c>
      <c r="H533" s="7">
        <f t="shared" si="52"/>
        <v>48.993956043956047</v>
      </c>
      <c r="I533">
        <v>3640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49"/>
        <v>41589.25</v>
      </c>
      <c r="O533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3"/>
        <v>games</v>
      </c>
      <c r="T533" t="str">
        <f t="shared" si="51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502.87499999999994</v>
      </c>
      <c r="G534" t="s">
        <v>20</v>
      </c>
      <c r="H534" s="7">
        <f t="shared" si="52"/>
        <v>63.857142857142854</v>
      </c>
      <c r="I534">
        <v>126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49"/>
        <v>43125.25</v>
      </c>
      <c r="O534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3"/>
        <v>theater</v>
      </c>
      <c r="T534" t="str">
        <f t="shared" si="51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159.24394463667818</v>
      </c>
      <c r="G535" t="s">
        <v>20</v>
      </c>
      <c r="H535" s="7">
        <f t="shared" si="52"/>
        <v>82.996393146979258</v>
      </c>
      <c r="I535">
        <v>2218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49"/>
        <v>41479.208333333336</v>
      </c>
      <c r="O535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3"/>
        <v>music</v>
      </c>
      <c r="T535" t="str">
        <f t="shared" si="51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15.022446689113355</v>
      </c>
      <c r="G536" t="s">
        <v>14</v>
      </c>
      <c r="H536" s="7">
        <f t="shared" si="52"/>
        <v>55.08230452674897</v>
      </c>
      <c r="I536">
        <v>243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49"/>
        <v>43329.208333333328</v>
      </c>
      <c r="O536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3"/>
        <v>film &amp; video</v>
      </c>
      <c r="T536" t="str">
        <f t="shared" si="51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482.03846153846149</v>
      </c>
      <c r="G537" t="s">
        <v>20</v>
      </c>
      <c r="H537" s="7">
        <f t="shared" si="52"/>
        <v>62.044554455445542</v>
      </c>
      <c r="I537">
        <v>202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49"/>
        <v>43259.208333333328</v>
      </c>
      <c r="O537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3"/>
        <v>theater</v>
      </c>
      <c r="T537" t="str">
        <f t="shared" si="51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149.96938775510205</v>
      </c>
      <c r="G538" t="s">
        <v>20</v>
      </c>
      <c r="H538" s="7">
        <f t="shared" si="52"/>
        <v>104.97857142857143</v>
      </c>
      <c r="I538">
        <v>140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49"/>
        <v>40414.208333333336</v>
      </c>
      <c r="O538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3"/>
        <v>publishing</v>
      </c>
      <c r="T538" t="str">
        <f t="shared" si="51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117.22156398104266</v>
      </c>
      <c r="G539" t="s">
        <v>20</v>
      </c>
      <c r="H539" s="7">
        <f t="shared" si="52"/>
        <v>94.044676806083643</v>
      </c>
      <c r="I539">
        <v>1052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49"/>
        <v>43342.208333333328</v>
      </c>
      <c r="O539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3"/>
        <v>film &amp; video</v>
      </c>
      <c r="T539" t="str">
        <f t="shared" si="51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37.695968274950431</v>
      </c>
      <c r="G540" t="s">
        <v>14</v>
      </c>
      <c r="H540" s="7">
        <f t="shared" si="52"/>
        <v>44.007716049382715</v>
      </c>
      <c r="I540">
        <v>1296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49"/>
        <v>41539.208333333336</v>
      </c>
      <c r="O540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3"/>
        <v>games</v>
      </c>
      <c r="T540" t="str">
        <f t="shared" si="51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72.653061224489804</v>
      </c>
      <c r="G541" t="s">
        <v>14</v>
      </c>
      <c r="H541" s="7">
        <f t="shared" si="52"/>
        <v>92.467532467532465</v>
      </c>
      <c r="I541">
        <v>77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49"/>
        <v>43647.208333333328</v>
      </c>
      <c r="O541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3"/>
        <v>food</v>
      </c>
      <c r="T541" t="str">
        <f t="shared" si="51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265.98113207547169</v>
      </c>
      <c r="G542" t="s">
        <v>20</v>
      </c>
      <c r="H542" s="7">
        <f t="shared" si="52"/>
        <v>57.072874493927124</v>
      </c>
      <c r="I542">
        <v>247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49"/>
        <v>43225.208333333328</v>
      </c>
      <c r="O542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3"/>
        <v>photography</v>
      </c>
      <c r="T542" t="str">
        <f t="shared" si="51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24.205617977528089</v>
      </c>
      <c r="G543" t="s">
        <v>14</v>
      </c>
      <c r="H543" s="7">
        <f t="shared" si="52"/>
        <v>109.07848101265823</v>
      </c>
      <c r="I543">
        <v>395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49"/>
        <v>42165.208333333328</v>
      </c>
      <c r="O543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3"/>
        <v>games</v>
      </c>
      <c r="T543" t="str">
        <f t="shared" si="51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2.5064935064935066</v>
      </c>
      <c r="G544" t="s">
        <v>14</v>
      </c>
      <c r="H544" s="7">
        <f t="shared" si="52"/>
        <v>39.387755102040813</v>
      </c>
      <c r="I544">
        <v>49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49"/>
        <v>42391.25</v>
      </c>
      <c r="O544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3"/>
        <v>music</v>
      </c>
      <c r="T544" t="str">
        <f t="shared" si="51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16.329799764428738</v>
      </c>
      <c r="G545" t="s">
        <v>14</v>
      </c>
      <c r="H545" s="7">
        <f t="shared" si="52"/>
        <v>77.022222222222226</v>
      </c>
      <c r="I545">
        <v>180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49"/>
        <v>41528.208333333336</v>
      </c>
      <c r="O545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3"/>
        <v>games</v>
      </c>
      <c r="T545" t="str">
        <f t="shared" si="51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276.5</v>
      </c>
      <c r="G546" t="s">
        <v>20</v>
      </c>
      <c r="H546" s="7">
        <f t="shared" si="52"/>
        <v>92.166666666666671</v>
      </c>
      <c r="I546">
        <v>84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49"/>
        <v>42377.25</v>
      </c>
      <c r="O546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3"/>
        <v>music</v>
      </c>
      <c r="T546" t="str">
        <f t="shared" si="51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88.803571428571431</v>
      </c>
      <c r="G547" t="s">
        <v>14</v>
      </c>
      <c r="H547" s="7">
        <f t="shared" si="52"/>
        <v>61.007063197026021</v>
      </c>
      <c r="I547">
        <v>2690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49"/>
        <v>43824.25</v>
      </c>
      <c r="O547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3"/>
        <v>theater</v>
      </c>
      <c r="T547" t="str">
        <f t="shared" si="51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163.57142857142856</v>
      </c>
      <c r="G548" t="s">
        <v>20</v>
      </c>
      <c r="H548" s="7">
        <f t="shared" si="52"/>
        <v>78.068181818181813</v>
      </c>
      <c r="I548">
        <v>88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49"/>
        <v>43360.208333333328</v>
      </c>
      <c r="O548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3"/>
        <v>theater</v>
      </c>
      <c r="T548" t="str">
        <f t="shared" si="51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969</v>
      </c>
      <c r="G549" t="s">
        <v>20</v>
      </c>
      <c r="H549" s="7">
        <f t="shared" si="52"/>
        <v>80.75</v>
      </c>
      <c r="I549">
        <v>156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49"/>
        <v>42029.25</v>
      </c>
      <c r="O549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3"/>
        <v>film &amp; video</v>
      </c>
      <c r="T549" t="str">
        <f t="shared" si="51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270.91376701966715</v>
      </c>
      <c r="G550" t="s">
        <v>20</v>
      </c>
      <c r="H550" s="7">
        <f t="shared" si="52"/>
        <v>59.991289782244557</v>
      </c>
      <c r="I550">
        <v>2985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49"/>
        <v>42461.208333333328</v>
      </c>
      <c r="O550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3"/>
        <v>theater</v>
      </c>
      <c r="T550" t="str">
        <f t="shared" si="51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284.21355932203392</v>
      </c>
      <c r="G551" t="s">
        <v>20</v>
      </c>
      <c r="H551" s="7">
        <f t="shared" si="52"/>
        <v>110.03018372703411</v>
      </c>
      <c r="I551">
        <v>762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49"/>
        <v>41422.208333333336</v>
      </c>
      <c r="O551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3"/>
        <v>technology</v>
      </c>
      <c r="T551" t="str">
        <f t="shared" si="51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4</v>
      </c>
      <c r="G552" t="s">
        <v>74</v>
      </c>
      <c r="H552" s="7">
        <f t="shared" si="52"/>
        <v>4</v>
      </c>
      <c r="I552">
        <v>1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49"/>
        <v>40968.25</v>
      </c>
      <c r="O552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3"/>
        <v>music</v>
      </c>
      <c r="T552" t="str">
        <f t="shared" si="51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58.6329816768462</v>
      </c>
      <c r="G553" t="s">
        <v>14</v>
      </c>
      <c r="H553" s="7">
        <f t="shared" si="52"/>
        <v>37.99856063332134</v>
      </c>
      <c r="I553">
        <v>2779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49"/>
        <v>41993.25</v>
      </c>
      <c r="O553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3"/>
        <v>technology</v>
      </c>
      <c r="T553" t="str">
        <f t="shared" si="51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98.51111111111112</v>
      </c>
      <c r="G554" t="s">
        <v>14</v>
      </c>
      <c r="H554" s="7">
        <f t="shared" si="52"/>
        <v>96.369565217391298</v>
      </c>
      <c r="I554">
        <v>92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49"/>
        <v>42700.25</v>
      </c>
      <c r="O554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3"/>
        <v>theater</v>
      </c>
      <c r="T554" t="str">
        <f t="shared" si="51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43.975381008206334</v>
      </c>
      <c r="G555" t="s">
        <v>14</v>
      </c>
      <c r="H555" s="7">
        <f t="shared" si="52"/>
        <v>72.978599221789878</v>
      </c>
      <c r="I555">
        <v>1028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49"/>
        <v>40545.25</v>
      </c>
      <c r="O555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3"/>
        <v>music</v>
      </c>
      <c r="T555" t="str">
        <f t="shared" si="51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151.66315789473683</v>
      </c>
      <c r="G556" t="s">
        <v>20</v>
      </c>
      <c r="H556" s="7">
        <f t="shared" si="52"/>
        <v>26.007220216606498</v>
      </c>
      <c r="I556">
        <v>554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49"/>
        <v>42723.25</v>
      </c>
      <c r="O556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3"/>
        <v>music</v>
      </c>
      <c r="T556" t="str">
        <f t="shared" si="51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223.63492063492063</v>
      </c>
      <c r="G557" t="s">
        <v>20</v>
      </c>
      <c r="H557" s="7">
        <f t="shared" si="52"/>
        <v>104.36296296296297</v>
      </c>
      <c r="I557">
        <v>135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49"/>
        <v>41731.208333333336</v>
      </c>
      <c r="O557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3"/>
        <v>music</v>
      </c>
      <c r="T557" t="str">
        <f t="shared" si="51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239.75</v>
      </c>
      <c r="G558" t="s">
        <v>20</v>
      </c>
      <c r="H558" s="7">
        <f t="shared" si="52"/>
        <v>102.18852459016394</v>
      </c>
      <c r="I558">
        <v>122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49"/>
        <v>40792.208333333336</v>
      </c>
      <c r="O558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3"/>
        <v>publishing</v>
      </c>
      <c r="T558" t="str">
        <f t="shared" si="51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199.33333333333334</v>
      </c>
      <c r="G559" t="s">
        <v>20</v>
      </c>
      <c r="H559" s="7">
        <f t="shared" si="52"/>
        <v>54.117647058823529</v>
      </c>
      <c r="I559">
        <v>221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49"/>
        <v>42279.208333333328</v>
      </c>
      <c r="O559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3"/>
        <v>film &amp; video</v>
      </c>
      <c r="T559" t="str">
        <f t="shared" si="51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137.34482758620689</v>
      </c>
      <c r="G560" t="s">
        <v>20</v>
      </c>
      <c r="H560" s="7">
        <f t="shared" si="52"/>
        <v>63.222222222222221</v>
      </c>
      <c r="I560">
        <v>126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49"/>
        <v>42424.25</v>
      </c>
      <c r="O560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3"/>
        <v>theater</v>
      </c>
      <c r="T560" t="str">
        <f t="shared" si="51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100.9696106362773</v>
      </c>
      <c r="G561" t="s">
        <v>20</v>
      </c>
      <c r="H561" s="7">
        <f t="shared" si="52"/>
        <v>104.03228962818004</v>
      </c>
      <c r="I561">
        <v>1022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49"/>
        <v>42584.208333333328</v>
      </c>
      <c r="O561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3"/>
        <v>theater</v>
      </c>
      <c r="T561" t="str">
        <f t="shared" si="51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794.16</v>
      </c>
      <c r="G562" t="s">
        <v>20</v>
      </c>
      <c r="H562" s="7">
        <f t="shared" si="52"/>
        <v>49.994334277620396</v>
      </c>
      <c r="I562">
        <v>3177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49"/>
        <v>40865.25</v>
      </c>
      <c r="O562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3"/>
        <v>film &amp; video</v>
      </c>
      <c r="T562" t="str">
        <f t="shared" si="51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369.7</v>
      </c>
      <c r="G563" t="s">
        <v>20</v>
      </c>
      <c r="H563" s="7">
        <f t="shared" si="52"/>
        <v>56.015151515151516</v>
      </c>
      <c r="I563">
        <v>198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49"/>
        <v>40833.208333333336</v>
      </c>
      <c r="O563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3"/>
        <v>theater</v>
      </c>
      <c r="T563" t="str">
        <f t="shared" si="51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12.818181818181817</v>
      </c>
      <c r="G564" t="s">
        <v>14</v>
      </c>
      <c r="H564" s="7">
        <f t="shared" si="52"/>
        <v>48.807692307692307</v>
      </c>
      <c r="I564">
        <v>26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49"/>
        <v>43536.208333333328</v>
      </c>
      <c r="O564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3"/>
        <v>music</v>
      </c>
      <c r="T564" t="str">
        <f t="shared" si="51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138.02702702702703</v>
      </c>
      <c r="G565" t="s">
        <v>20</v>
      </c>
      <c r="H565" s="7">
        <f t="shared" si="52"/>
        <v>60.082352941176474</v>
      </c>
      <c r="I565">
        <v>85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49"/>
        <v>43417.25</v>
      </c>
      <c r="O565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3"/>
        <v>film &amp; video</v>
      </c>
      <c r="T565" t="str">
        <f t="shared" si="51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83.813278008298752</v>
      </c>
      <c r="G566" t="s">
        <v>14</v>
      </c>
      <c r="H566" s="7">
        <f t="shared" si="52"/>
        <v>78.990502793296088</v>
      </c>
      <c r="I566">
        <v>1790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49"/>
        <v>42078.208333333328</v>
      </c>
      <c r="O566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3"/>
        <v>theater</v>
      </c>
      <c r="T566" t="str">
        <f t="shared" si="51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204.60063224446787</v>
      </c>
      <c r="G567" t="s">
        <v>20</v>
      </c>
      <c r="H567" s="7">
        <f t="shared" si="52"/>
        <v>53.99499443826474</v>
      </c>
      <c r="I567">
        <v>3596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49"/>
        <v>40862.25</v>
      </c>
      <c r="O567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3"/>
        <v>theater</v>
      </c>
      <c r="T567" t="str">
        <f t="shared" si="51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44.344086021505376</v>
      </c>
      <c r="G568" t="s">
        <v>14</v>
      </c>
      <c r="H568" s="7">
        <f t="shared" si="52"/>
        <v>111.45945945945945</v>
      </c>
      <c r="I568">
        <v>37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49"/>
        <v>42424.25</v>
      </c>
      <c r="O568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3"/>
        <v>music</v>
      </c>
      <c r="T568" t="str">
        <f t="shared" si="51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218.60294117647058</v>
      </c>
      <c r="G569" t="s">
        <v>20</v>
      </c>
      <c r="H569" s="7">
        <f t="shared" si="52"/>
        <v>60.922131147540981</v>
      </c>
      <c r="I569">
        <v>244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49"/>
        <v>41830.208333333336</v>
      </c>
      <c r="O569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3"/>
        <v>music</v>
      </c>
      <c r="T569" t="str">
        <f t="shared" si="51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186.03314917127071</v>
      </c>
      <c r="G570" t="s">
        <v>20</v>
      </c>
      <c r="H570" s="7">
        <f t="shared" si="52"/>
        <v>26.0015444015444</v>
      </c>
      <c r="I570">
        <v>5180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49"/>
        <v>40374.208333333336</v>
      </c>
      <c r="O570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3"/>
        <v>theater</v>
      </c>
      <c r="T570" t="str">
        <f t="shared" si="51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237.33830845771143</v>
      </c>
      <c r="G571" t="s">
        <v>20</v>
      </c>
      <c r="H571" s="7">
        <f t="shared" si="52"/>
        <v>80.993208828522924</v>
      </c>
      <c r="I571">
        <v>589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49"/>
        <v>40554.25</v>
      </c>
      <c r="O571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3"/>
        <v>film &amp; video</v>
      </c>
      <c r="T571" t="str">
        <f t="shared" si="51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305.65384615384613</v>
      </c>
      <c r="G572" t="s">
        <v>20</v>
      </c>
      <c r="H572" s="7">
        <f t="shared" si="52"/>
        <v>34.995963302752294</v>
      </c>
      <c r="I572">
        <v>2725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49"/>
        <v>41993.25</v>
      </c>
      <c r="O572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3"/>
        <v>music</v>
      </c>
      <c r="T572" t="str">
        <f t="shared" si="51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94.142857142857139</v>
      </c>
      <c r="G573" t="s">
        <v>14</v>
      </c>
      <c r="H573" s="7">
        <f t="shared" si="52"/>
        <v>94.142857142857139</v>
      </c>
      <c r="I573">
        <v>35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49"/>
        <v>42174.208333333328</v>
      </c>
      <c r="O573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3"/>
        <v>film &amp; video</v>
      </c>
      <c r="T573" t="str">
        <f t="shared" si="51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54.400000000000006</v>
      </c>
      <c r="G574" t="s">
        <v>74</v>
      </c>
      <c r="H574" s="7">
        <f t="shared" si="52"/>
        <v>52.085106382978722</v>
      </c>
      <c r="I574">
        <v>94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49"/>
        <v>42275.208333333328</v>
      </c>
      <c r="O574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3"/>
        <v>music</v>
      </c>
      <c r="T574" t="str">
        <f t="shared" si="51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111.88059701492537</v>
      </c>
      <c r="G575" t="s">
        <v>20</v>
      </c>
      <c r="H575" s="7">
        <f t="shared" si="52"/>
        <v>24.986666666666668</v>
      </c>
      <c r="I575">
        <v>300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49"/>
        <v>41761.208333333336</v>
      </c>
      <c r="O575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3"/>
        <v>journalism</v>
      </c>
      <c r="T575" t="str">
        <f t="shared" si="51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369.14814814814815</v>
      </c>
      <c r="G576" t="s">
        <v>20</v>
      </c>
      <c r="H576" s="7">
        <f t="shared" si="52"/>
        <v>69.215277777777771</v>
      </c>
      <c r="I576">
        <v>144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49"/>
        <v>43806.25</v>
      </c>
      <c r="O576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3"/>
        <v>food</v>
      </c>
      <c r="T576" t="str">
        <f t="shared" si="51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62.930372148859547</v>
      </c>
      <c r="G577" t="s">
        <v>14</v>
      </c>
      <c r="H577" s="7">
        <f t="shared" si="52"/>
        <v>93.944444444444443</v>
      </c>
      <c r="I577">
        <v>558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49"/>
        <v>41779.208333333336</v>
      </c>
      <c r="O577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3"/>
        <v>theater</v>
      </c>
      <c r="T577" t="str">
        <f t="shared" si="51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ref="F578:F641" si="54">E578/D578*100</f>
        <v>64.927835051546396</v>
      </c>
      <c r="G578" t="s">
        <v>14</v>
      </c>
      <c r="H578" s="7">
        <f t="shared" si="52"/>
        <v>98.40625</v>
      </c>
      <c r="I578">
        <v>64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49"/>
        <v>43040.208333333328</v>
      </c>
      <c r="O578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3"/>
        <v>theater</v>
      </c>
      <c r="T578" t="str">
        <f t="shared" si="51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54"/>
        <v>18.853658536585368</v>
      </c>
      <c r="G579" t="s">
        <v>74</v>
      </c>
      <c r="H579" s="7">
        <f t="shared" si="52"/>
        <v>41.783783783783782</v>
      </c>
      <c r="I579">
        <v>37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N642" si="55">(((L579/60)/60)/24)+DATE(1970,1,1)</f>
        <v>40613.25</v>
      </c>
      <c r="O579">
        <f t="shared" ref="O579:O642" si="5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si="53"/>
        <v>music</v>
      </c>
      <c r="T579" t="str">
        <f t="shared" ref="T579:T642" si="57">RIGHT(R579,LEN(R579)-LEN(S579)-1)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16.754404145077721</v>
      </c>
      <c r="G580" t="s">
        <v>14</v>
      </c>
      <c r="H580" s="7">
        <f t="shared" ref="H580:H643" si="58">E580/I580</f>
        <v>65.991836734693877</v>
      </c>
      <c r="I580">
        <v>245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55"/>
        <v>40878.25</v>
      </c>
      <c r="O580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ref="S580:S643" si="59">LEFT(R580,FIND("/",R580)-1)</f>
        <v>film &amp; video</v>
      </c>
      <c r="T580" t="str">
        <f t="shared" si="57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101.11290322580646</v>
      </c>
      <c r="G581" t="s">
        <v>20</v>
      </c>
      <c r="H581" s="7">
        <f t="shared" si="58"/>
        <v>72.05747126436782</v>
      </c>
      <c r="I581">
        <v>87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55"/>
        <v>40762.208333333336</v>
      </c>
      <c r="O581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9"/>
        <v>music</v>
      </c>
      <c r="T581" t="str">
        <f t="shared" si="57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341.5022831050228</v>
      </c>
      <c r="G582" t="s">
        <v>20</v>
      </c>
      <c r="H582" s="7">
        <f t="shared" si="58"/>
        <v>48.003209242618745</v>
      </c>
      <c r="I582">
        <v>3116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55"/>
        <v>41696.25</v>
      </c>
      <c r="O582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9"/>
        <v>theater</v>
      </c>
      <c r="T582" t="str">
        <f t="shared" si="57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64.016666666666666</v>
      </c>
      <c r="G583" t="s">
        <v>14</v>
      </c>
      <c r="H583" s="7">
        <f t="shared" si="58"/>
        <v>54.098591549295776</v>
      </c>
      <c r="I583">
        <v>71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55"/>
        <v>40662.208333333336</v>
      </c>
      <c r="O583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9"/>
        <v>technology</v>
      </c>
      <c r="T583" t="str">
        <f t="shared" si="57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52.080459770114942</v>
      </c>
      <c r="G584" t="s">
        <v>14</v>
      </c>
      <c r="H584" s="7">
        <f t="shared" si="58"/>
        <v>107.88095238095238</v>
      </c>
      <c r="I584">
        <v>42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55"/>
        <v>42165.208333333328</v>
      </c>
      <c r="O584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9"/>
        <v>games</v>
      </c>
      <c r="T584" t="str">
        <f t="shared" si="57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322.40211640211641</v>
      </c>
      <c r="G585" t="s">
        <v>20</v>
      </c>
      <c r="H585" s="7">
        <f t="shared" si="58"/>
        <v>67.034103410341032</v>
      </c>
      <c r="I585">
        <v>909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55"/>
        <v>40959.25</v>
      </c>
      <c r="O585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9"/>
        <v>film &amp; video</v>
      </c>
      <c r="T585" t="str">
        <f t="shared" si="57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119.50810185185186</v>
      </c>
      <c r="G586" t="s">
        <v>20</v>
      </c>
      <c r="H586" s="7">
        <f t="shared" si="58"/>
        <v>64.01425914445133</v>
      </c>
      <c r="I586">
        <v>1613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55"/>
        <v>41024.208333333336</v>
      </c>
      <c r="O586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9"/>
        <v>technology</v>
      </c>
      <c r="T586" t="str">
        <f t="shared" si="57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146.79775280898878</v>
      </c>
      <c r="G587" t="s">
        <v>20</v>
      </c>
      <c r="H587" s="7">
        <f t="shared" si="58"/>
        <v>96.066176470588232</v>
      </c>
      <c r="I587">
        <v>136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55"/>
        <v>40255.208333333336</v>
      </c>
      <c r="O587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9"/>
        <v>publishing</v>
      </c>
      <c r="T587" t="str">
        <f t="shared" si="57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950.57142857142856</v>
      </c>
      <c r="G588" t="s">
        <v>20</v>
      </c>
      <c r="H588" s="7">
        <f t="shared" si="58"/>
        <v>51.184615384615384</v>
      </c>
      <c r="I588">
        <v>130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55"/>
        <v>40499.25</v>
      </c>
      <c r="O588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9"/>
        <v>music</v>
      </c>
      <c r="T588" t="str">
        <f t="shared" si="57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72.893617021276597</v>
      </c>
      <c r="G589" t="s">
        <v>14</v>
      </c>
      <c r="H589" s="7">
        <f t="shared" si="58"/>
        <v>43.92307692307692</v>
      </c>
      <c r="I589">
        <v>156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55"/>
        <v>43484.25</v>
      </c>
      <c r="O589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9"/>
        <v>food</v>
      </c>
      <c r="T589" t="str">
        <f t="shared" si="57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79.008248730964468</v>
      </c>
      <c r="G590" t="s">
        <v>14</v>
      </c>
      <c r="H590" s="7">
        <f t="shared" si="58"/>
        <v>91.021198830409361</v>
      </c>
      <c r="I590">
        <v>1368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55"/>
        <v>40262.208333333336</v>
      </c>
      <c r="O590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9"/>
        <v>theater</v>
      </c>
      <c r="T590" t="str">
        <f t="shared" si="57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64.721518987341781</v>
      </c>
      <c r="G591" t="s">
        <v>14</v>
      </c>
      <c r="H591" s="7">
        <f t="shared" si="58"/>
        <v>50.127450980392155</v>
      </c>
      <c r="I591">
        <v>102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55"/>
        <v>42190.208333333328</v>
      </c>
      <c r="O591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9"/>
        <v>film &amp; video</v>
      </c>
      <c r="T591" t="str">
        <f t="shared" si="57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82.028169014084511</v>
      </c>
      <c r="G592" t="s">
        <v>14</v>
      </c>
      <c r="H592" s="7">
        <f t="shared" si="58"/>
        <v>67.720930232558146</v>
      </c>
      <c r="I592">
        <v>86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55"/>
        <v>41994.25</v>
      </c>
      <c r="O592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9"/>
        <v>publishing</v>
      </c>
      <c r="T592" t="str">
        <f t="shared" si="57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1037.6666666666667</v>
      </c>
      <c r="G593" t="s">
        <v>20</v>
      </c>
      <c r="H593" s="7">
        <f t="shared" si="58"/>
        <v>61.03921568627451</v>
      </c>
      <c r="I593">
        <v>102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55"/>
        <v>40373.208333333336</v>
      </c>
      <c r="O593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9"/>
        <v>games</v>
      </c>
      <c r="T593" t="str">
        <f t="shared" si="57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12.910076530612244</v>
      </c>
      <c r="G594" t="s">
        <v>14</v>
      </c>
      <c r="H594" s="7">
        <f t="shared" si="58"/>
        <v>80.011857707509876</v>
      </c>
      <c r="I594">
        <v>253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55"/>
        <v>41789.208333333336</v>
      </c>
      <c r="O594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9"/>
        <v>theater</v>
      </c>
      <c r="T594" t="str">
        <f t="shared" si="57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154.84210526315789</v>
      </c>
      <c r="G595" t="s">
        <v>20</v>
      </c>
      <c r="H595" s="7">
        <f t="shared" si="58"/>
        <v>47.001497753369947</v>
      </c>
      <c r="I595">
        <v>4006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55"/>
        <v>41724.208333333336</v>
      </c>
      <c r="O595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9"/>
        <v>film &amp; video</v>
      </c>
      <c r="T595" t="str">
        <f t="shared" si="57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7.0991735537190088</v>
      </c>
      <c r="G596" t="s">
        <v>14</v>
      </c>
      <c r="H596" s="7">
        <f t="shared" si="58"/>
        <v>71.127388535031841</v>
      </c>
      <c r="I596">
        <v>157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55"/>
        <v>42548.208333333328</v>
      </c>
      <c r="O596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9"/>
        <v>theater</v>
      </c>
      <c r="T596" t="str">
        <f t="shared" si="57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208.52773826458036</v>
      </c>
      <c r="G597" t="s">
        <v>20</v>
      </c>
      <c r="H597" s="7">
        <f t="shared" si="58"/>
        <v>89.99079189686924</v>
      </c>
      <c r="I597">
        <v>1629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55"/>
        <v>40253.208333333336</v>
      </c>
      <c r="O597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9"/>
        <v>theater</v>
      </c>
      <c r="T597" t="str">
        <f t="shared" si="57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99.683544303797461</v>
      </c>
      <c r="G598" t="s">
        <v>14</v>
      </c>
      <c r="H598" s="7">
        <f t="shared" si="58"/>
        <v>43.032786885245905</v>
      </c>
      <c r="I598">
        <v>183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55"/>
        <v>42434.25</v>
      </c>
      <c r="O598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9"/>
        <v>film &amp; video</v>
      </c>
      <c r="T598" t="str">
        <f t="shared" si="57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201.59756097560978</v>
      </c>
      <c r="G599" t="s">
        <v>20</v>
      </c>
      <c r="H599" s="7">
        <f t="shared" si="58"/>
        <v>67.997714808043881</v>
      </c>
      <c r="I599">
        <v>2188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55"/>
        <v>43786.25</v>
      </c>
      <c r="O599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9"/>
        <v>theater</v>
      </c>
      <c r="T599" t="str">
        <f t="shared" si="57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162.09032258064516</v>
      </c>
      <c r="G600" t="s">
        <v>20</v>
      </c>
      <c r="H600" s="7">
        <f t="shared" si="58"/>
        <v>73.004566210045667</v>
      </c>
      <c r="I600">
        <v>2409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55"/>
        <v>40344.208333333336</v>
      </c>
      <c r="O600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9"/>
        <v>music</v>
      </c>
      <c r="T600" t="str">
        <f t="shared" si="57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</v>
      </c>
      <c r="G601" t="s">
        <v>14</v>
      </c>
      <c r="H601" s="7">
        <f t="shared" si="58"/>
        <v>62.341463414634148</v>
      </c>
      <c r="I601">
        <v>82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55"/>
        <v>42047.25</v>
      </c>
      <c r="O601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9"/>
        <v>film &amp; video</v>
      </c>
      <c r="T601" t="str">
        <f t="shared" si="57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5</v>
      </c>
      <c r="G602" t="s">
        <v>14</v>
      </c>
      <c r="H602" s="7">
        <f t="shared" si="58"/>
        <v>5</v>
      </c>
      <c r="I602">
        <v>1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55"/>
        <v>41485.208333333336</v>
      </c>
      <c r="O602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9"/>
        <v>food</v>
      </c>
      <c r="T602" t="str">
        <f t="shared" si="57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206.63492063492063</v>
      </c>
      <c r="G603" t="s">
        <v>20</v>
      </c>
      <c r="H603" s="7">
        <f t="shared" si="58"/>
        <v>67.103092783505161</v>
      </c>
      <c r="I603">
        <v>194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55"/>
        <v>41789.208333333336</v>
      </c>
      <c r="O603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9"/>
        <v>technology</v>
      </c>
      <c r="T603" t="str">
        <f t="shared" si="57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128.23628691983123</v>
      </c>
      <c r="G604" t="s">
        <v>20</v>
      </c>
      <c r="H604" s="7">
        <f t="shared" si="58"/>
        <v>79.978947368421046</v>
      </c>
      <c r="I604">
        <v>1140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55"/>
        <v>42160.208333333328</v>
      </c>
      <c r="O604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9"/>
        <v>theater</v>
      </c>
      <c r="T604" t="str">
        <f t="shared" si="57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119.66037735849055</v>
      </c>
      <c r="G605" t="s">
        <v>20</v>
      </c>
      <c r="H605" s="7">
        <f t="shared" si="58"/>
        <v>62.176470588235297</v>
      </c>
      <c r="I605">
        <v>102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55"/>
        <v>43573.208333333328</v>
      </c>
      <c r="O605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9"/>
        <v>theater</v>
      </c>
      <c r="T605" t="str">
        <f t="shared" si="57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170.73055242390078</v>
      </c>
      <c r="G606" t="s">
        <v>20</v>
      </c>
      <c r="H606" s="7">
        <f t="shared" si="58"/>
        <v>53.005950297514879</v>
      </c>
      <c r="I606">
        <v>2857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55"/>
        <v>40565.25</v>
      </c>
      <c r="O606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9"/>
        <v>theater</v>
      </c>
      <c r="T606" t="str">
        <f t="shared" si="57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187.21212121212122</v>
      </c>
      <c r="G607" t="s">
        <v>20</v>
      </c>
      <c r="H607" s="7">
        <f t="shared" si="58"/>
        <v>57.738317757009348</v>
      </c>
      <c r="I607">
        <v>107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55"/>
        <v>42280.208333333328</v>
      </c>
      <c r="O607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9"/>
        <v>publishing</v>
      </c>
      <c r="T607" t="str">
        <f t="shared" si="57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188.38235294117646</v>
      </c>
      <c r="G608" t="s">
        <v>20</v>
      </c>
      <c r="H608" s="7">
        <f t="shared" si="58"/>
        <v>40.03125</v>
      </c>
      <c r="I608">
        <v>160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55"/>
        <v>42436.25</v>
      </c>
      <c r="O608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9"/>
        <v>music</v>
      </c>
      <c r="T608" t="str">
        <f t="shared" si="57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131.29869186046511</v>
      </c>
      <c r="G609" t="s">
        <v>20</v>
      </c>
      <c r="H609" s="7">
        <f t="shared" si="58"/>
        <v>81.016591928251117</v>
      </c>
      <c r="I609">
        <v>2230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55"/>
        <v>41721.208333333336</v>
      </c>
      <c r="O609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9"/>
        <v>food</v>
      </c>
      <c r="T609" t="str">
        <f t="shared" si="57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283.97435897435901</v>
      </c>
      <c r="G610" t="s">
        <v>20</v>
      </c>
      <c r="H610" s="7">
        <f t="shared" si="58"/>
        <v>35.047468354430379</v>
      </c>
      <c r="I610">
        <v>316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55"/>
        <v>43530.25</v>
      </c>
      <c r="O610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9"/>
        <v>music</v>
      </c>
      <c r="T610" t="str">
        <f t="shared" si="57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120.41999999999999</v>
      </c>
      <c r="G611" t="s">
        <v>20</v>
      </c>
      <c r="H611" s="7">
        <f t="shared" si="58"/>
        <v>102.92307692307692</v>
      </c>
      <c r="I611">
        <v>117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55"/>
        <v>43481.25</v>
      </c>
      <c r="O611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9"/>
        <v>film &amp; video</v>
      </c>
      <c r="T611" t="str">
        <f t="shared" si="57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419.0560747663551</v>
      </c>
      <c r="G612" t="s">
        <v>20</v>
      </c>
      <c r="H612" s="7">
        <f t="shared" si="58"/>
        <v>27.998126756166094</v>
      </c>
      <c r="I612">
        <v>6406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55"/>
        <v>41259.25</v>
      </c>
      <c r="O612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9"/>
        <v>theater</v>
      </c>
      <c r="T612" t="str">
        <f t="shared" si="57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13.853658536585368</v>
      </c>
      <c r="G613" t="s">
        <v>74</v>
      </c>
      <c r="H613" s="7">
        <f t="shared" si="58"/>
        <v>75.733333333333334</v>
      </c>
      <c r="I613">
        <v>15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55"/>
        <v>41480.208333333336</v>
      </c>
      <c r="O613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9"/>
        <v>theater</v>
      </c>
      <c r="T613" t="str">
        <f t="shared" si="57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139.43548387096774</v>
      </c>
      <c r="G614" t="s">
        <v>20</v>
      </c>
      <c r="H614" s="7">
        <f t="shared" si="58"/>
        <v>45.026041666666664</v>
      </c>
      <c r="I614">
        <v>192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55"/>
        <v>40474.208333333336</v>
      </c>
      <c r="O614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9"/>
        <v>music</v>
      </c>
      <c r="T614" t="str">
        <f t="shared" si="57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174</v>
      </c>
      <c r="G615" t="s">
        <v>20</v>
      </c>
      <c r="H615" s="7">
        <f t="shared" si="58"/>
        <v>73.615384615384613</v>
      </c>
      <c r="I615">
        <v>26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55"/>
        <v>42973.208333333328</v>
      </c>
      <c r="O615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9"/>
        <v>theater</v>
      </c>
      <c r="T615" t="str">
        <f t="shared" si="57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155.49056603773585</v>
      </c>
      <c r="G616" t="s">
        <v>20</v>
      </c>
      <c r="H616" s="7">
        <f t="shared" si="58"/>
        <v>56.991701244813278</v>
      </c>
      <c r="I616">
        <v>723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55"/>
        <v>42746.25</v>
      </c>
      <c r="O616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9"/>
        <v>theater</v>
      </c>
      <c r="T616" t="str">
        <f t="shared" si="57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170.44705882352943</v>
      </c>
      <c r="G617" t="s">
        <v>20</v>
      </c>
      <c r="H617" s="7">
        <f t="shared" si="58"/>
        <v>85.223529411764702</v>
      </c>
      <c r="I617">
        <v>170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55"/>
        <v>42489.208333333328</v>
      </c>
      <c r="O617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9"/>
        <v>theater</v>
      </c>
      <c r="T617" t="str">
        <f t="shared" si="57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189.515625</v>
      </c>
      <c r="G618" t="s">
        <v>20</v>
      </c>
      <c r="H618" s="7">
        <f t="shared" si="58"/>
        <v>50.962184873949582</v>
      </c>
      <c r="I618">
        <v>238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55"/>
        <v>41537.208333333336</v>
      </c>
      <c r="O618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9"/>
        <v>music</v>
      </c>
      <c r="T618" t="str">
        <f t="shared" si="57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249.71428571428572</v>
      </c>
      <c r="G619" t="s">
        <v>20</v>
      </c>
      <c r="H619" s="7">
        <f t="shared" si="58"/>
        <v>63.563636363636363</v>
      </c>
      <c r="I619">
        <v>55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55"/>
        <v>41794.208333333336</v>
      </c>
      <c r="O619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9"/>
        <v>theater</v>
      </c>
      <c r="T619" t="str">
        <f t="shared" si="57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48.860523665659613</v>
      </c>
      <c r="G620" t="s">
        <v>14</v>
      </c>
      <c r="H620" s="7">
        <f t="shared" si="58"/>
        <v>80.999165275459092</v>
      </c>
      <c r="I620">
        <v>1198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55"/>
        <v>41396.208333333336</v>
      </c>
      <c r="O620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9"/>
        <v>publishing</v>
      </c>
      <c r="T620" t="str">
        <f t="shared" si="57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28.461970393057683</v>
      </c>
      <c r="G621" t="s">
        <v>14</v>
      </c>
      <c r="H621" s="7">
        <f t="shared" si="58"/>
        <v>86.044753086419746</v>
      </c>
      <c r="I621">
        <v>648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55"/>
        <v>40669.208333333336</v>
      </c>
      <c r="O621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9"/>
        <v>theater</v>
      </c>
      <c r="T621" t="str">
        <f t="shared" si="57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268.02325581395348</v>
      </c>
      <c r="G622" t="s">
        <v>20</v>
      </c>
      <c r="H622" s="7">
        <f t="shared" si="58"/>
        <v>90.0390625</v>
      </c>
      <c r="I622">
        <v>128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55"/>
        <v>42559.208333333328</v>
      </c>
      <c r="O622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9"/>
        <v>photography</v>
      </c>
      <c r="T622" t="str">
        <f t="shared" si="57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619.80078125</v>
      </c>
      <c r="G623" t="s">
        <v>20</v>
      </c>
      <c r="H623" s="7">
        <f t="shared" si="58"/>
        <v>74.006063432835816</v>
      </c>
      <c r="I623">
        <v>2144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55"/>
        <v>42626.208333333328</v>
      </c>
      <c r="O623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9"/>
        <v>theater</v>
      </c>
      <c r="T623" t="str">
        <f t="shared" si="57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3.1301587301587301</v>
      </c>
      <c r="G624" t="s">
        <v>14</v>
      </c>
      <c r="H624" s="7">
        <f t="shared" si="58"/>
        <v>92.4375</v>
      </c>
      <c r="I624">
        <v>64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55"/>
        <v>43205.208333333328</v>
      </c>
      <c r="O624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9"/>
        <v>music</v>
      </c>
      <c r="T624" t="str">
        <f t="shared" si="57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159.92152704135739</v>
      </c>
      <c r="G625" t="s">
        <v>20</v>
      </c>
      <c r="H625" s="7">
        <f t="shared" si="58"/>
        <v>55.999257333828446</v>
      </c>
      <c r="I625">
        <v>2693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55"/>
        <v>42201.208333333328</v>
      </c>
      <c r="O625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9"/>
        <v>theater</v>
      </c>
      <c r="T625" t="str">
        <f t="shared" si="57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279.39215686274508</v>
      </c>
      <c r="G626" t="s">
        <v>20</v>
      </c>
      <c r="H626" s="7">
        <f t="shared" si="58"/>
        <v>32.983796296296298</v>
      </c>
      <c r="I626">
        <v>432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55"/>
        <v>42029.25</v>
      </c>
      <c r="O626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9"/>
        <v>photography</v>
      </c>
      <c r="T626" t="str">
        <f t="shared" si="57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77.373333333333335</v>
      </c>
      <c r="G627" t="s">
        <v>14</v>
      </c>
      <c r="H627" s="7">
        <f t="shared" si="58"/>
        <v>93.596774193548384</v>
      </c>
      <c r="I627">
        <v>62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55"/>
        <v>43857.25</v>
      </c>
      <c r="O627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9"/>
        <v>theater</v>
      </c>
      <c r="T627" t="str">
        <f t="shared" si="57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206.32812500000003</v>
      </c>
      <c r="G628" t="s">
        <v>20</v>
      </c>
      <c r="H628" s="7">
        <f t="shared" si="58"/>
        <v>69.867724867724874</v>
      </c>
      <c r="I628">
        <v>189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55"/>
        <v>40449.208333333336</v>
      </c>
      <c r="O628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9"/>
        <v>theater</v>
      </c>
      <c r="T628" t="str">
        <f t="shared" si="57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694.25</v>
      </c>
      <c r="G629" t="s">
        <v>20</v>
      </c>
      <c r="H629" s="7">
        <f t="shared" si="58"/>
        <v>72.129870129870127</v>
      </c>
      <c r="I629">
        <v>154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55"/>
        <v>40345.208333333336</v>
      </c>
      <c r="O629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9"/>
        <v>food</v>
      </c>
      <c r="T629" t="str">
        <f t="shared" si="57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151.78947368421052</v>
      </c>
      <c r="G630" t="s">
        <v>20</v>
      </c>
      <c r="H630" s="7">
        <f t="shared" si="58"/>
        <v>30.041666666666668</v>
      </c>
      <c r="I630">
        <v>96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55"/>
        <v>40455.208333333336</v>
      </c>
      <c r="O630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9"/>
        <v>music</v>
      </c>
      <c r="T630" t="str">
        <f t="shared" si="57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64.58207217694995</v>
      </c>
      <c r="G631" t="s">
        <v>14</v>
      </c>
      <c r="H631" s="7">
        <f t="shared" si="58"/>
        <v>73.968000000000004</v>
      </c>
      <c r="I631">
        <v>750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55"/>
        <v>42557.208333333328</v>
      </c>
      <c r="O631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9"/>
        <v>theater</v>
      </c>
      <c r="T631" t="str">
        <f t="shared" si="57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62.873684210526314</v>
      </c>
      <c r="G632" t="s">
        <v>74</v>
      </c>
      <c r="H632" s="7">
        <f t="shared" si="58"/>
        <v>68.65517241379311</v>
      </c>
      <c r="I632">
        <v>87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55"/>
        <v>43586.208333333328</v>
      </c>
      <c r="O632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9"/>
        <v>theater</v>
      </c>
      <c r="T632" t="str">
        <f t="shared" si="57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310.39864864864865</v>
      </c>
      <c r="G633" t="s">
        <v>20</v>
      </c>
      <c r="H633" s="7">
        <f t="shared" si="58"/>
        <v>59.992164544564154</v>
      </c>
      <c r="I633">
        <v>3063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55"/>
        <v>43550.208333333328</v>
      </c>
      <c r="O633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9"/>
        <v>theater</v>
      </c>
      <c r="T633" t="str">
        <f t="shared" si="57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42.859916782246884</v>
      </c>
      <c r="G634" t="s">
        <v>47</v>
      </c>
      <c r="H634" s="7">
        <f t="shared" si="58"/>
        <v>111.15827338129496</v>
      </c>
      <c r="I634">
        <v>278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55"/>
        <v>41945.208333333336</v>
      </c>
      <c r="O634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9"/>
        <v>theater</v>
      </c>
      <c r="T634" t="str">
        <f t="shared" si="57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83.119402985074629</v>
      </c>
      <c r="G635" t="s">
        <v>14</v>
      </c>
      <c r="H635" s="7">
        <f t="shared" si="58"/>
        <v>53.038095238095238</v>
      </c>
      <c r="I635">
        <v>105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55"/>
        <v>42315.25</v>
      </c>
      <c r="O635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9"/>
        <v>film &amp; video</v>
      </c>
      <c r="T635" t="str">
        <f t="shared" si="57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78.531302876480552</v>
      </c>
      <c r="G636" t="s">
        <v>74</v>
      </c>
      <c r="H636" s="7">
        <f t="shared" si="58"/>
        <v>55.985524728588658</v>
      </c>
      <c r="I636">
        <v>1658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55"/>
        <v>42819.208333333328</v>
      </c>
      <c r="O636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9"/>
        <v>film &amp; video</v>
      </c>
      <c r="T636" t="str">
        <f t="shared" si="57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114.09352517985612</v>
      </c>
      <c r="G637" t="s">
        <v>20</v>
      </c>
      <c r="H637" s="7">
        <f t="shared" si="58"/>
        <v>69.986760812003524</v>
      </c>
      <c r="I637">
        <v>2266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55"/>
        <v>41314.25</v>
      </c>
      <c r="O637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9"/>
        <v>film &amp; video</v>
      </c>
      <c r="T637" t="str">
        <f t="shared" si="57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64.537683358624179</v>
      </c>
      <c r="G638" t="s">
        <v>14</v>
      </c>
      <c r="H638" s="7">
        <f t="shared" si="58"/>
        <v>48.998079877112133</v>
      </c>
      <c r="I638">
        <v>2604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55"/>
        <v>40926.25</v>
      </c>
      <c r="O638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9"/>
        <v>film &amp; video</v>
      </c>
      <c r="T638" t="str">
        <f t="shared" si="57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79.411764705882348</v>
      </c>
      <c r="G639" t="s">
        <v>14</v>
      </c>
      <c r="H639" s="7">
        <f t="shared" si="58"/>
        <v>103.84615384615384</v>
      </c>
      <c r="I639">
        <v>65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55"/>
        <v>42688.25</v>
      </c>
      <c r="O639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9"/>
        <v>theater</v>
      </c>
      <c r="T639" t="str">
        <f t="shared" si="57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11.419117647058824</v>
      </c>
      <c r="G640" t="s">
        <v>14</v>
      </c>
      <c r="H640" s="7">
        <f t="shared" si="58"/>
        <v>99.127659574468083</v>
      </c>
      <c r="I640">
        <v>94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55"/>
        <v>40386.208333333336</v>
      </c>
      <c r="O640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9"/>
        <v>theater</v>
      </c>
      <c r="T640" t="str">
        <f t="shared" si="57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56.186046511627907</v>
      </c>
      <c r="G641" t="s">
        <v>47</v>
      </c>
      <c r="H641" s="7">
        <f t="shared" si="58"/>
        <v>107.37777777777778</v>
      </c>
      <c r="I641">
        <v>45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55"/>
        <v>43309.208333333328</v>
      </c>
      <c r="O641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9"/>
        <v>film &amp; video</v>
      </c>
      <c r="T641" t="str">
        <f t="shared" si="57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ref="F642:F705" si="60">E642/D642*100</f>
        <v>16.501669449081803</v>
      </c>
      <c r="G642" t="s">
        <v>14</v>
      </c>
      <c r="H642" s="7">
        <f t="shared" si="58"/>
        <v>76.922178988326849</v>
      </c>
      <c r="I642">
        <v>257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55"/>
        <v>42387.25</v>
      </c>
      <c r="O642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9"/>
        <v>theater</v>
      </c>
      <c r="T642" t="str">
        <f t="shared" si="57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60"/>
        <v>119.96808510638297</v>
      </c>
      <c r="G643" t="s">
        <v>20</v>
      </c>
      <c r="H643" s="7">
        <f t="shared" si="58"/>
        <v>58.128865979381445</v>
      </c>
      <c r="I643">
        <v>194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ref="N643:N706" si="61">(((L643/60)/60)/24)+DATE(1970,1,1)</f>
        <v>42786.25</v>
      </c>
      <c r="O643">
        <f t="shared" ref="O643:O706" si="62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si="59"/>
        <v>theater</v>
      </c>
      <c r="T643" t="str">
        <f t="shared" ref="T643:T706" si="63">RIGHT(R643,LEN(R643)-LEN(S643)-1)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145.45652173913044</v>
      </c>
      <c r="G644" t="s">
        <v>20</v>
      </c>
      <c r="H644" s="7">
        <f t="shared" ref="H644:H707" si="64">E644/I644</f>
        <v>103.73643410852713</v>
      </c>
      <c r="I644">
        <v>129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61"/>
        <v>43451.25</v>
      </c>
      <c r="O644">
        <f t="shared" si="62"/>
        <v>43460.25</v>
      </c>
      <c r="P644" t="b">
        <v>0</v>
      </c>
      <c r="Q644" t="b">
        <v>0</v>
      </c>
      <c r="R644" t="s">
        <v>65</v>
      </c>
      <c r="S644" t="str">
        <f t="shared" ref="S644:S707" si="65">LEFT(R644,FIND("/",R644)-1)</f>
        <v>technology</v>
      </c>
      <c r="T644" t="str">
        <f t="shared" si="63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221.38255033557047</v>
      </c>
      <c r="G645" t="s">
        <v>20</v>
      </c>
      <c r="H645" s="7">
        <f t="shared" si="64"/>
        <v>87.962666666666664</v>
      </c>
      <c r="I645">
        <v>375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61"/>
        <v>42795.25</v>
      </c>
      <c r="O645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5"/>
        <v>theater</v>
      </c>
      <c r="T645" t="str">
        <f t="shared" si="63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48.396694214876035</v>
      </c>
      <c r="G646" t="s">
        <v>14</v>
      </c>
      <c r="H646" s="7">
        <f t="shared" si="64"/>
        <v>28</v>
      </c>
      <c r="I646">
        <v>2928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61"/>
        <v>43452.25</v>
      </c>
      <c r="O646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5"/>
        <v>theater</v>
      </c>
      <c r="T646" t="str">
        <f t="shared" si="63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92.911504424778755</v>
      </c>
      <c r="G647" t="s">
        <v>14</v>
      </c>
      <c r="H647" s="7">
        <f t="shared" si="64"/>
        <v>37.999361294443261</v>
      </c>
      <c r="I647">
        <v>4697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61"/>
        <v>43369.208333333328</v>
      </c>
      <c r="O647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5"/>
        <v>music</v>
      </c>
      <c r="T647" t="str">
        <f t="shared" si="63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88.599797365754824</v>
      </c>
      <c r="G648" t="s">
        <v>14</v>
      </c>
      <c r="H648" s="7">
        <f t="shared" si="64"/>
        <v>29.999313893653515</v>
      </c>
      <c r="I648">
        <v>2915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61"/>
        <v>41346.208333333336</v>
      </c>
      <c r="O648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5"/>
        <v>games</v>
      </c>
      <c r="T648" t="str">
        <f t="shared" si="63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41.4</v>
      </c>
      <c r="G649" t="s">
        <v>14</v>
      </c>
      <c r="H649" s="7">
        <f t="shared" si="64"/>
        <v>103.5</v>
      </c>
      <c r="I649">
        <v>18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61"/>
        <v>43199.208333333328</v>
      </c>
      <c r="O649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5"/>
        <v>publishing</v>
      </c>
      <c r="T649" t="str">
        <f t="shared" si="63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63.056795131845846</v>
      </c>
      <c r="G650" t="s">
        <v>74</v>
      </c>
      <c r="H650" s="7">
        <f t="shared" si="64"/>
        <v>85.994467496542185</v>
      </c>
      <c r="I650">
        <v>723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61"/>
        <v>42922.208333333328</v>
      </c>
      <c r="O650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5"/>
        <v>food</v>
      </c>
      <c r="T650" t="str">
        <f t="shared" si="63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48.482333607230892</v>
      </c>
      <c r="G651" t="s">
        <v>14</v>
      </c>
      <c r="H651" s="7">
        <f t="shared" si="64"/>
        <v>98.011627906976742</v>
      </c>
      <c r="I651">
        <v>602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61"/>
        <v>40471.208333333336</v>
      </c>
      <c r="O651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5"/>
        <v>theater</v>
      </c>
      <c r="T651" t="str">
        <f t="shared" si="63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2</v>
      </c>
      <c r="G652" t="s">
        <v>14</v>
      </c>
      <c r="H652" s="7">
        <f t="shared" si="64"/>
        <v>2</v>
      </c>
      <c r="I652">
        <v>1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61"/>
        <v>41828.208333333336</v>
      </c>
      <c r="O652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5"/>
        <v>music</v>
      </c>
      <c r="T652" t="str">
        <f t="shared" si="63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88.47941026944585</v>
      </c>
      <c r="G653" t="s">
        <v>14</v>
      </c>
      <c r="H653" s="7">
        <f t="shared" si="64"/>
        <v>44.994570837642193</v>
      </c>
      <c r="I653">
        <v>3868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61"/>
        <v>41692.25</v>
      </c>
      <c r="O653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5"/>
        <v>film &amp; video</v>
      </c>
      <c r="T653" t="str">
        <f t="shared" si="63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126.84</v>
      </c>
      <c r="G654" t="s">
        <v>20</v>
      </c>
      <c r="H654" s="7">
        <f t="shared" si="64"/>
        <v>31.012224938875306</v>
      </c>
      <c r="I654">
        <v>409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61"/>
        <v>42587.208333333328</v>
      </c>
      <c r="O654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5"/>
        <v>technology</v>
      </c>
      <c r="T654" t="str">
        <f t="shared" si="63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2338.833333333333</v>
      </c>
      <c r="G655" t="s">
        <v>20</v>
      </c>
      <c r="H655" s="7">
        <f t="shared" si="64"/>
        <v>59.970085470085472</v>
      </c>
      <c r="I655">
        <v>234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61"/>
        <v>42468.208333333328</v>
      </c>
      <c r="O655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5"/>
        <v>technology</v>
      </c>
      <c r="T655" t="str">
        <f t="shared" si="63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508.38857142857148</v>
      </c>
      <c r="G656" t="s">
        <v>20</v>
      </c>
      <c r="H656" s="7">
        <f t="shared" si="64"/>
        <v>58.9973474801061</v>
      </c>
      <c r="I656">
        <v>3016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61"/>
        <v>42240.208333333328</v>
      </c>
      <c r="O656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5"/>
        <v>music</v>
      </c>
      <c r="T656" t="str">
        <f t="shared" si="63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191.47826086956522</v>
      </c>
      <c r="G657" t="s">
        <v>20</v>
      </c>
      <c r="H657" s="7">
        <f t="shared" si="64"/>
        <v>50.045454545454547</v>
      </c>
      <c r="I657">
        <v>264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61"/>
        <v>42796.25</v>
      </c>
      <c r="O657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5"/>
        <v>photography</v>
      </c>
      <c r="T657" t="str">
        <f t="shared" si="63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42.127533783783782</v>
      </c>
      <c r="G658" t="s">
        <v>14</v>
      </c>
      <c r="H658" s="7">
        <f t="shared" si="64"/>
        <v>98.966269841269835</v>
      </c>
      <c r="I658">
        <v>504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61"/>
        <v>43097.25</v>
      </c>
      <c r="O658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5"/>
        <v>food</v>
      </c>
      <c r="T658" t="str">
        <f t="shared" si="63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</v>
      </c>
      <c r="G659" t="s">
        <v>14</v>
      </c>
      <c r="H659" s="7">
        <f t="shared" si="64"/>
        <v>58.857142857142854</v>
      </c>
      <c r="I659">
        <v>14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61"/>
        <v>43096.25</v>
      </c>
      <c r="O659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5"/>
        <v>film &amp; video</v>
      </c>
      <c r="T659" t="str">
        <f t="shared" si="63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60.064638783269963</v>
      </c>
      <c r="G660" t="s">
        <v>74</v>
      </c>
      <c r="H660" s="7">
        <f t="shared" si="64"/>
        <v>81.010256410256417</v>
      </c>
      <c r="I660">
        <v>390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61"/>
        <v>42246.208333333328</v>
      </c>
      <c r="O660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5"/>
        <v>music</v>
      </c>
      <c r="T660" t="str">
        <f t="shared" si="63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47.232808616404313</v>
      </c>
      <c r="G661" t="s">
        <v>14</v>
      </c>
      <c r="H661" s="7">
        <f t="shared" si="64"/>
        <v>76.013333333333335</v>
      </c>
      <c r="I661">
        <v>750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61"/>
        <v>40570.25</v>
      </c>
      <c r="O661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5"/>
        <v>film &amp; video</v>
      </c>
      <c r="T661" t="str">
        <f t="shared" si="63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81.736263736263737</v>
      </c>
      <c r="G662" t="s">
        <v>14</v>
      </c>
      <c r="H662" s="7">
        <f t="shared" si="64"/>
        <v>96.597402597402592</v>
      </c>
      <c r="I662">
        <v>77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61"/>
        <v>42237.208333333328</v>
      </c>
      <c r="O662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5"/>
        <v>theater</v>
      </c>
      <c r="T662" t="str">
        <f t="shared" si="63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54.187265917603</v>
      </c>
      <c r="G663" t="s">
        <v>14</v>
      </c>
      <c r="H663" s="7">
        <f t="shared" si="64"/>
        <v>76.957446808510639</v>
      </c>
      <c r="I663">
        <v>752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61"/>
        <v>40996.208333333336</v>
      </c>
      <c r="O663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5"/>
        <v>music</v>
      </c>
      <c r="T663" t="str">
        <f t="shared" si="63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97.868131868131869</v>
      </c>
      <c r="G664" t="s">
        <v>14</v>
      </c>
      <c r="H664" s="7">
        <f t="shared" si="64"/>
        <v>67.984732824427482</v>
      </c>
      <c r="I664">
        <v>131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61"/>
        <v>43443.25</v>
      </c>
      <c r="O664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5"/>
        <v>theater</v>
      </c>
      <c r="T664" t="str">
        <f t="shared" si="63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77.239999999999995</v>
      </c>
      <c r="G665" t="s">
        <v>14</v>
      </c>
      <c r="H665" s="7">
        <f t="shared" si="64"/>
        <v>88.781609195402297</v>
      </c>
      <c r="I665">
        <v>87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61"/>
        <v>40458.208333333336</v>
      </c>
      <c r="O665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5"/>
        <v>theater</v>
      </c>
      <c r="T665" t="str">
        <f t="shared" si="63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33.464735516372798</v>
      </c>
      <c r="G666" t="s">
        <v>14</v>
      </c>
      <c r="H666" s="7">
        <f t="shared" si="64"/>
        <v>24.99623706491063</v>
      </c>
      <c r="I666">
        <v>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61"/>
        <v>40959.25</v>
      </c>
      <c r="O666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5"/>
        <v>music</v>
      </c>
      <c r="T666" t="str">
        <f t="shared" si="63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239.58823529411765</v>
      </c>
      <c r="G667" t="s">
        <v>20</v>
      </c>
      <c r="H667" s="7">
        <f t="shared" si="64"/>
        <v>44.922794117647058</v>
      </c>
      <c r="I667">
        <v>272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61"/>
        <v>40733.208333333336</v>
      </c>
      <c r="O667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5"/>
        <v>film &amp; video</v>
      </c>
      <c r="T667" t="str">
        <f t="shared" si="63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64.032258064516128</v>
      </c>
      <c r="G668" t="s">
        <v>74</v>
      </c>
      <c r="H668" s="7">
        <f t="shared" si="64"/>
        <v>79.400000000000006</v>
      </c>
      <c r="I668">
        <v>25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61"/>
        <v>41516.208333333336</v>
      </c>
      <c r="O668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5"/>
        <v>theater</v>
      </c>
      <c r="T668" t="str">
        <f t="shared" si="63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176.15942028985506</v>
      </c>
      <c r="G669" t="s">
        <v>20</v>
      </c>
      <c r="H669" s="7">
        <f t="shared" si="64"/>
        <v>29.009546539379475</v>
      </c>
      <c r="I669">
        <v>419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61"/>
        <v>41892.208333333336</v>
      </c>
      <c r="O669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5"/>
        <v>journalism</v>
      </c>
      <c r="T669" t="str">
        <f t="shared" si="63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20.33818181818182</v>
      </c>
      <c r="G670" t="s">
        <v>14</v>
      </c>
      <c r="H670" s="7">
        <f t="shared" si="64"/>
        <v>73.59210526315789</v>
      </c>
      <c r="I670">
        <v>76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61"/>
        <v>41122.208333333336</v>
      </c>
      <c r="O670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5"/>
        <v>theater</v>
      </c>
      <c r="T670" t="str">
        <f t="shared" si="63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358.64754098360658</v>
      </c>
      <c r="G671" t="s">
        <v>20</v>
      </c>
      <c r="H671" s="7">
        <f t="shared" si="64"/>
        <v>107.97038864898211</v>
      </c>
      <c r="I671">
        <v>1621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61"/>
        <v>42912.208333333328</v>
      </c>
      <c r="O671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5"/>
        <v>theater</v>
      </c>
      <c r="T671" t="str">
        <f t="shared" si="63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468.85802469135803</v>
      </c>
      <c r="G672" t="s">
        <v>20</v>
      </c>
      <c r="H672" s="7">
        <f t="shared" si="64"/>
        <v>68.987284287011803</v>
      </c>
      <c r="I672">
        <v>1101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61"/>
        <v>42425.25</v>
      </c>
      <c r="O672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5"/>
        <v>music</v>
      </c>
      <c r="T672" t="str">
        <f t="shared" si="63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122.05635245901641</v>
      </c>
      <c r="G673" t="s">
        <v>20</v>
      </c>
      <c r="H673" s="7">
        <f t="shared" si="64"/>
        <v>111.02236719478098</v>
      </c>
      <c r="I673">
        <v>1073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61"/>
        <v>40390.208333333336</v>
      </c>
      <c r="O673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5"/>
        <v>theater</v>
      </c>
      <c r="T673" t="str">
        <f t="shared" si="63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55.931783729156137</v>
      </c>
      <c r="G674" t="s">
        <v>14</v>
      </c>
      <c r="H674" s="7">
        <f t="shared" si="64"/>
        <v>24.997515808491418</v>
      </c>
      <c r="I674">
        <v>4428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61"/>
        <v>43180.208333333328</v>
      </c>
      <c r="O674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5"/>
        <v>theater</v>
      </c>
      <c r="T674" t="str">
        <f t="shared" si="63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43.660714285714285</v>
      </c>
      <c r="G675" t="s">
        <v>14</v>
      </c>
      <c r="H675" s="7">
        <f t="shared" si="64"/>
        <v>42.155172413793103</v>
      </c>
      <c r="I675">
        <v>58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61"/>
        <v>42475.208333333328</v>
      </c>
      <c r="O675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5"/>
        <v>music</v>
      </c>
      <c r="T675" t="str">
        <f t="shared" si="63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33.53837141183363</v>
      </c>
      <c r="G676" t="s">
        <v>74</v>
      </c>
      <c r="H676" s="7">
        <f t="shared" si="64"/>
        <v>47.003284072249592</v>
      </c>
      <c r="I676">
        <v>1218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61"/>
        <v>40774.208333333336</v>
      </c>
      <c r="O676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5"/>
        <v>photography</v>
      </c>
      <c r="T676" t="str">
        <f t="shared" si="63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122.97938144329896</v>
      </c>
      <c r="G677" t="s">
        <v>20</v>
      </c>
      <c r="H677" s="7">
        <f t="shared" si="64"/>
        <v>36.0392749244713</v>
      </c>
      <c r="I677">
        <v>331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61"/>
        <v>43719.208333333328</v>
      </c>
      <c r="O677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5"/>
        <v>journalism</v>
      </c>
      <c r="T677" t="str">
        <f t="shared" si="63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189.74959871589084</v>
      </c>
      <c r="G678" t="s">
        <v>20</v>
      </c>
      <c r="H678" s="7">
        <f t="shared" si="64"/>
        <v>101.03760683760684</v>
      </c>
      <c r="I678">
        <v>1170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61"/>
        <v>41178.208333333336</v>
      </c>
      <c r="O678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5"/>
        <v>photography</v>
      </c>
      <c r="T678" t="str">
        <f t="shared" si="63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83.622641509433961</v>
      </c>
      <c r="G679" t="s">
        <v>14</v>
      </c>
      <c r="H679" s="7">
        <f t="shared" si="64"/>
        <v>39.927927927927925</v>
      </c>
      <c r="I679">
        <v>111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61"/>
        <v>42561.208333333328</v>
      </c>
      <c r="O679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5"/>
        <v>publishing</v>
      </c>
      <c r="T679" t="str">
        <f t="shared" si="63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17.968844221105527</v>
      </c>
      <c r="G680" t="s">
        <v>74</v>
      </c>
      <c r="H680" s="7">
        <f t="shared" si="64"/>
        <v>83.158139534883716</v>
      </c>
      <c r="I680">
        <v>215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61"/>
        <v>43484.25</v>
      </c>
      <c r="O680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5"/>
        <v>film &amp; video</v>
      </c>
      <c r="T680" t="str">
        <f t="shared" si="63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1036.5</v>
      </c>
      <c r="G681" t="s">
        <v>20</v>
      </c>
      <c r="H681" s="7">
        <f t="shared" si="64"/>
        <v>39.97520661157025</v>
      </c>
      <c r="I681">
        <v>363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61"/>
        <v>43756.208333333328</v>
      </c>
      <c r="O681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5"/>
        <v>food</v>
      </c>
      <c r="T681" t="str">
        <f t="shared" si="63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97.405219780219781</v>
      </c>
      <c r="G682" t="s">
        <v>14</v>
      </c>
      <c r="H682" s="7">
        <f t="shared" si="64"/>
        <v>47.993908629441627</v>
      </c>
      <c r="I682">
        <v>2955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61"/>
        <v>43813.25</v>
      </c>
      <c r="O682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5"/>
        <v>games</v>
      </c>
      <c r="T682" t="str">
        <f t="shared" si="63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86.386203150461711</v>
      </c>
      <c r="G683" t="s">
        <v>14</v>
      </c>
      <c r="H683" s="7">
        <f t="shared" si="64"/>
        <v>95.978877489438744</v>
      </c>
      <c r="I683">
        <v>1657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61"/>
        <v>40898.25</v>
      </c>
      <c r="O683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5"/>
        <v>theater</v>
      </c>
      <c r="T683" t="str">
        <f t="shared" si="63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150.16666666666666</v>
      </c>
      <c r="G684" t="s">
        <v>20</v>
      </c>
      <c r="H684" s="7">
        <f t="shared" si="64"/>
        <v>78.728155339805824</v>
      </c>
      <c r="I684">
        <v>103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61"/>
        <v>41619.25</v>
      </c>
      <c r="O684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5"/>
        <v>theater</v>
      </c>
      <c r="T684" t="str">
        <f t="shared" si="63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358.43478260869563</v>
      </c>
      <c r="G685" t="s">
        <v>20</v>
      </c>
      <c r="H685" s="7">
        <f t="shared" si="64"/>
        <v>56.081632653061227</v>
      </c>
      <c r="I685">
        <v>147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61"/>
        <v>43359.208333333328</v>
      </c>
      <c r="O685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5"/>
        <v>theater</v>
      </c>
      <c r="T685" t="str">
        <f t="shared" si="63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542.85714285714289</v>
      </c>
      <c r="G686" t="s">
        <v>20</v>
      </c>
      <c r="H686" s="7">
        <f t="shared" si="64"/>
        <v>69.090909090909093</v>
      </c>
      <c r="I686">
        <v>110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61"/>
        <v>40358.208333333336</v>
      </c>
      <c r="O686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5"/>
        <v>publishing</v>
      </c>
      <c r="T686" t="str">
        <f t="shared" si="63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67.500714285714281</v>
      </c>
      <c r="G687" t="s">
        <v>14</v>
      </c>
      <c r="H687" s="7">
        <f t="shared" si="64"/>
        <v>102.05291576673866</v>
      </c>
      <c r="I687">
        <v>926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61"/>
        <v>42239.208333333328</v>
      </c>
      <c r="O687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5"/>
        <v>theater</v>
      </c>
      <c r="T687" t="str">
        <f t="shared" si="63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191.74666666666667</v>
      </c>
      <c r="G688" t="s">
        <v>20</v>
      </c>
      <c r="H688" s="7">
        <f t="shared" si="64"/>
        <v>107.32089552238806</v>
      </c>
      <c r="I688">
        <v>134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61"/>
        <v>43186.208333333328</v>
      </c>
      <c r="O688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5"/>
        <v>technology</v>
      </c>
      <c r="T688" t="str">
        <f t="shared" si="63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932</v>
      </c>
      <c r="G689" t="s">
        <v>20</v>
      </c>
      <c r="H689" s="7">
        <f t="shared" si="64"/>
        <v>51.970260223048328</v>
      </c>
      <c r="I689">
        <v>269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61"/>
        <v>42806.25</v>
      </c>
      <c r="O689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5"/>
        <v>theater</v>
      </c>
      <c r="T689" t="str">
        <f t="shared" si="63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429.27586206896552</v>
      </c>
      <c r="G690" t="s">
        <v>20</v>
      </c>
      <c r="H690" s="7">
        <f t="shared" si="64"/>
        <v>71.137142857142862</v>
      </c>
      <c r="I690">
        <v>175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61"/>
        <v>43475.25</v>
      </c>
      <c r="O690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5"/>
        <v>film &amp; video</v>
      </c>
      <c r="T690" t="str">
        <f t="shared" si="63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100.65753424657535</v>
      </c>
      <c r="G691" t="s">
        <v>20</v>
      </c>
      <c r="H691" s="7">
        <f t="shared" si="64"/>
        <v>106.49275362318841</v>
      </c>
      <c r="I691">
        <v>69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61"/>
        <v>41576.208333333336</v>
      </c>
      <c r="O691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5"/>
        <v>technology</v>
      </c>
      <c r="T691" t="str">
        <f t="shared" si="63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226.61111111111109</v>
      </c>
      <c r="G692" t="s">
        <v>20</v>
      </c>
      <c r="H692" s="7">
        <f t="shared" si="64"/>
        <v>42.93684210526316</v>
      </c>
      <c r="I692">
        <v>190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61"/>
        <v>40874.25</v>
      </c>
      <c r="O692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5"/>
        <v>film &amp; video</v>
      </c>
      <c r="T692" t="str">
        <f t="shared" si="63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142.38</v>
      </c>
      <c r="G693" t="s">
        <v>20</v>
      </c>
      <c r="H693" s="7">
        <f t="shared" si="64"/>
        <v>30.037974683544302</v>
      </c>
      <c r="I693">
        <v>237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61"/>
        <v>41185.208333333336</v>
      </c>
      <c r="O693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5"/>
        <v>film &amp; video</v>
      </c>
      <c r="T693" t="str">
        <f t="shared" si="63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90.633333333333326</v>
      </c>
      <c r="G694" t="s">
        <v>14</v>
      </c>
      <c r="H694" s="7">
        <f t="shared" si="64"/>
        <v>70.623376623376629</v>
      </c>
      <c r="I694">
        <v>77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61"/>
        <v>43655.208333333328</v>
      </c>
      <c r="O694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5"/>
        <v>music</v>
      </c>
      <c r="T694" t="str">
        <f t="shared" si="63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63.966740576496676</v>
      </c>
      <c r="G695" t="s">
        <v>14</v>
      </c>
      <c r="H695" s="7">
        <f t="shared" si="64"/>
        <v>66.016018306636155</v>
      </c>
      <c r="I695">
        <v>1748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61"/>
        <v>43025.208333333328</v>
      </c>
      <c r="O695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5"/>
        <v>theater</v>
      </c>
      <c r="T695" t="str">
        <f t="shared" si="63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84.131868131868131</v>
      </c>
      <c r="G696" t="s">
        <v>14</v>
      </c>
      <c r="H696" s="7">
        <f t="shared" si="64"/>
        <v>96.911392405063296</v>
      </c>
      <c r="I696">
        <v>79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61"/>
        <v>43066.25</v>
      </c>
      <c r="O696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5"/>
        <v>theater</v>
      </c>
      <c r="T696" t="str">
        <f t="shared" si="63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133.93478260869566</v>
      </c>
      <c r="G697" t="s">
        <v>20</v>
      </c>
      <c r="H697" s="7">
        <f t="shared" si="64"/>
        <v>62.867346938775512</v>
      </c>
      <c r="I697">
        <v>196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61"/>
        <v>42322.25</v>
      </c>
      <c r="O697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5"/>
        <v>music</v>
      </c>
      <c r="T697" t="str">
        <f t="shared" si="63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59.042047531992694</v>
      </c>
      <c r="G698" t="s">
        <v>14</v>
      </c>
      <c r="H698" s="7">
        <f t="shared" si="64"/>
        <v>108.98537682789652</v>
      </c>
      <c r="I698">
        <v>889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61"/>
        <v>42114.208333333328</v>
      </c>
      <c r="O698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5"/>
        <v>theater</v>
      </c>
      <c r="T698" t="str">
        <f t="shared" si="63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152.80062063615205</v>
      </c>
      <c r="G699" t="s">
        <v>20</v>
      </c>
      <c r="H699" s="7">
        <f t="shared" si="64"/>
        <v>26.999314599040439</v>
      </c>
      <c r="I699">
        <v>7295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61"/>
        <v>43190.208333333328</v>
      </c>
      <c r="O699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5"/>
        <v>music</v>
      </c>
      <c r="T699" t="str">
        <f t="shared" si="63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446.69121140142522</v>
      </c>
      <c r="G700" t="s">
        <v>20</v>
      </c>
      <c r="H700" s="7">
        <f t="shared" si="64"/>
        <v>65.004147943311438</v>
      </c>
      <c r="I700">
        <v>2893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61"/>
        <v>40871.25</v>
      </c>
      <c r="O700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5"/>
        <v>technology</v>
      </c>
      <c r="T700" t="str">
        <f t="shared" si="63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84.391891891891888</v>
      </c>
      <c r="G701" t="s">
        <v>14</v>
      </c>
      <c r="H701" s="7">
        <f t="shared" si="64"/>
        <v>111.51785714285714</v>
      </c>
      <c r="I701">
        <v>56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61"/>
        <v>43641.208333333328</v>
      </c>
      <c r="O701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5"/>
        <v>film &amp; video</v>
      </c>
      <c r="T701" t="str">
        <f t="shared" si="63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3</v>
      </c>
      <c r="G702" t="s">
        <v>14</v>
      </c>
      <c r="H702" s="7">
        <f t="shared" si="64"/>
        <v>3</v>
      </c>
      <c r="I702">
        <v>1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61"/>
        <v>40203.25</v>
      </c>
      <c r="O702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5"/>
        <v>technology</v>
      </c>
      <c r="T702" t="str">
        <f t="shared" si="63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175.02692307692308</v>
      </c>
      <c r="G703" t="s">
        <v>20</v>
      </c>
      <c r="H703" s="7">
        <f t="shared" si="64"/>
        <v>110.99268292682927</v>
      </c>
      <c r="I703">
        <v>820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61"/>
        <v>40629.208333333336</v>
      </c>
      <c r="O703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5"/>
        <v>theater</v>
      </c>
      <c r="T703" t="str">
        <f t="shared" si="63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54.137931034482754</v>
      </c>
      <c r="G704" t="s">
        <v>14</v>
      </c>
      <c r="H704" s="7">
        <f t="shared" si="64"/>
        <v>56.746987951807228</v>
      </c>
      <c r="I704">
        <v>83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61"/>
        <v>41477.208333333336</v>
      </c>
      <c r="O704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5"/>
        <v>technology</v>
      </c>
      <c r="T704" t="str">
        <f t="shared" si="63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311.87381703470032</v>
      </c>
      <c r="G705" t="s">
        <v>20</v>
      </c>
      <c r="H705" s="7">
        <f t="shared" si="64"/>
        <v>97.020608439646708</v>
      </c>
      <c r="I705">
        <v>2038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61"/>
        <v>41020.208333333336</v>
      </c>
      <c r="O705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5"/>
        <v>publishing</v>
      </c>
      <c r="T705" t="str">
        <f t="shared" si="63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ref="F706:F769" si="66">E706/D706*100</f>
        <v>122.78160919540231</v>
      </c>
      <c r="G706" t="s">
        <v>20</v>
      </c>
      <c r="H706" s="7">
        <f t="shared" si="64"/>
        <v>92.08620689655173</v>
      </c>
      <c r="I706">
        <v>116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61"/>
        <v>42555.208333333328</v>
      </c>
      <c r="O706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5"/>
        <v>film &amp; video</v>
      </c>
      <c r="T706" t="str">
        <f t="shared" si="63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66"/>
        <v>99.026517383618156</v>
      </c>
      <c r="G707" t="s">
        <v>14</v>
      </c>
      <c r="H707" s="7">
        <f t="shared" si="64"/>
        <v>82.986666666666665</v>
      </c>
      <c r="I707">
        <v>2025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ref="N707:N770" si="67">(((L707/60)/60)/24)+DATE(1970,1,1)</f>
        <v>41619.25</v>
      </c>
      <c r="O707">
        <f t="shared" ref="O707:O770" si="68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si="65"/>
        <v>publishing</v>
      </c>
      <c r="T707" t="str">
        <f t="shared" ref="T707:T770" si="69">RIGHT(R707,LEN(R707)-LEN(S707)-1)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127.84686346863469</v>
      </c>
      <c r="G708" t="s">
        <v>20</v>
      </c>
      <c r="H708" s="7">
        <f t="shared" ref="H708:H771" si="70">E708/I708</f>
        <v>103.03791821561339</v>
      </c>
      <c r="I708">
        <v>1345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67"/>
        <v>43471.25</v>
      </c>
      <c r="O708">
        <f t="shared" si="68"/>
        <v>43479.25</v>
      </c>
      <c r="P708" t="b">
        <v>0</v>
      </c>
      <c r="Q708" t="b">
        <v>1</v>
      </c>
      <c r="R708" t="s">
        <v>28</v>
      </c>
      <c r="S708" t="str">
        <f t="shared" ref="S708:S771" si="71">LEFT(R708,FIND("/",R708)-1)</f>
        <v>technology</v>
      </c>
      <c r="T708" t="str">
        <f t="shared" si="69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158.61643835616439</v>
      </c>
      <c r="G709" t="s">
        <v>20</v>
      </c>
      <c r="H709" s="7">
        <f t="shared" si="70"/>
        <v>68.922619047619051</v>
      </c>
      <c r="I709">
        <v>168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67"/>
        <v>43442.25</v>
      </c>
      <c r="O709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71"/>
        <v>film &amp; video</v>
      </c>
      <c r="T709" t="str">
        <f t="shared" si="69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707.05882352941171</v>
      </c>
      <c r="G710" t="s">
        <v>20</v>
      </c>
      <c r="H710" s="7">
        <f t="shared" si="70"/>
        <v>87.737226277372258</v>
      </c>
      <c r="I710">
        <v>137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67"/>
        <v>42877.208333333328</v>
      </c>
      <c r="O710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71"/>
        <v>theater</v>
      </c>
      <c r="T710" t="str">
        <f t="shared" si="69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142.38775510204081</v>
      </c>
      <c r="G711" t="s">
        <v>20</v>
      </c>
      <c r="H711" s="7">
        <f t="shared" si="70"/>
        <v>75.021505376344081</v>
      </c>
      <c r="I711">
        <v>186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67"/>
        <v>41018.208333333336</v>
      </c>
      <c r="O711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71"/>
        <v>theater</v>
      </c>
      <c r="T711" t="str">
        <f t="shared" si="69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147.86046511627907</v>
      </c>
      <c r="G712" t="s">
        <v>20</v>
      </c>
      <c r="H712" s="7">
        <f t="shared" si="70"/>
        <v>50.863999999999997</v>
      </c>
      <c r="I712">
        <v>125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67"/>
        <v>43295.208333333328</v>
      </c>
      <c r="O712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71"/>
        <v>theater</v>
      </c>
      <c r="T712" t="str">
        <f t="shared" si="69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20.322580645161288</v>
      </c>
      <c r="G713" t="s">
        <v>14</v>
      </c>
      <c r="H713" s="7">
        <f t="shared" si="70"/>
        <v>90</v>
      </c>
      <c r="I713">
        <v>14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67"/>
        <v>42393.25</v>
      </c>
      <c r="O713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71"/>
        <v>theater</v>
      </c>
      <c r="T713" t="str">
        <f t="shared" si="69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1840.625</v>
      </c>
      <c r="G714" t="s">
        <v>20</v>
      </c>
      <c r="H714" s="7">
        <f t="shared" si="70"/>
        <v>72.896039603960389</v>
      </c>
      <c r="I714">
        <v>202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67"/>
        <v>42559.208333333328</v>
      </c>
      <c r="O714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71"/>
        <v>theater</v>
      </c>
      <c r="T714" t="str">
        <f t="shared" si="69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161.94202898550725</v>
      </c>
      <c r="G715" t="s">
        <v>20</v>
      </c>
      <c r="H715" s="7">
        <f t="shared" si="70"/>
        <v>108.48543689320388</v>
      </c>
      <c r="I715">
        <v>103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67"/>
        <v>42604.208333333328</v>
      </c>
      <c r="O715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71"/>
        <v>publishing</v>
      </c>
      <c r="T715" t="str">
        <f t="shared" si="69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472.82077922077923</v>
      </c>
      <c r="G716" t="s">
        <v>20</v>
      </c>
      <c r="H716" s="7">
        <f t="shared" si="70"/>
        <v>101.98095238095237</v>
      </c>
      <c r="I716">
        <v>1785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67"/>
        <v>41870.208333333336</v>
      </c>
      <c r="O716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71"/>
        <v>music</v>
      </c>
      <c r="T716" t="str">
        <f t="shared" si="69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24.466101694915253</v>
      </c>
      <c r="G717" t="s">
        <v>14</v>
      </c>
      <c r="H717" s="7">
        <f t="shared" si="70"/>
        <v>44.009146341463413</v>
      </c>
      <c r="I717">
        <v>656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67"/>
        <v>40397.208333333336</v>
      </c>
      <c r="O717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71"/>
        <v>games</v>
      </c>
      <c r="T717" t="str">
        <f t="shared" si="69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517.65</v>
      </c>
      <c r="G718" t="s">
        <v>20</v>
      </c>
      <c r="H718" s="7">
        <f t="shared" si="70"/>
        <v>65.942675159235662</v>
      </c>
      <c r="I718">
        <v>157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67"/>
        <v>41465.208333333336</v>
      </c>
      <c r="O718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71"/>
        <v>theater</v>
      </c>
      <c r="T718" t="str">
        <f t="shared" si="69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247.64285714285714</v>
      </c>
      <c r="G719" t="s">
        <v>20</v>
      </c>
      <c r="H719" s="7">
        <f t="shared" si="70"/>
        <v>24.987387387387386</v>
      </c>
      <c r="I719">
        <v>555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67"/>
        <v>40777.208333333336</v>
      </c>
      <c r="O719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71"/>
        <v>film &amp; video</v>
      </c>
      <c r="T719" t="str">
        <f t="shared" si="69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100.20481927710843</v>
      </c>
      <c r="G720" t="s">
        <v>20</v>
      </c>
      <c r="H720" s="7">
        <f t="shared" si="70"/>
        <v>28.003367003367003</v>
      </c>
      <c r="I720">
        <v>297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67"/>
        <v>41442.208333333336</v>
      </c>
      <c r="O720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71"/>
        <v>technology</v>
      </c>
      <c r="T720" t="str">
        <f t="shared" si="69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153</v>
      </c>
      <c r="G721" t="s">
        <v>20</v>
      </c>
      <c r="H721" s="7">
        <f t="shared" si="70"/>
        <v>85.829268292682926</v>
      </c>
      <c r="I721">
        <v>123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67"/>
        <v>41058.208333333336</v>
      </c>
      <c r="O721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71"/>
        <v>publishing</v>
      </c>
      <c r="T721" t="str">
        <f t="shared" si="69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37.091954022988503</v>
      </c>
      <c r="G722" t="s">
        <v>74</v>
      </c>
      <c r="H722" s="7">
        <f t="shared" si="70"/>
        <v>84.921052631578945</v>
      </c>
      <c r="I722">
        <v>38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67"/>
        <v>43152.25</v>
      </c>
      <c r="O722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71"/>
        <v>theater</v>
      </c>
      <c r="T722" t="str">
        <f t="shared" si="69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4.392394822006473</v>
      </c>
      <c r="G723" t="s">
        <v>74</v>
      </c>
      <c r="H723" s="7">
        <f t="shared" si="70"/>
        <v>90.483333333333334</v>
      </c>
      <c r="I723">
        <v>60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67"/>
        <v>43194.208333333328</v>
      </c>
      <c r="O723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71"/>
        <v>music</v>
      </c>
      <c r="T723" t="str">
        <f t="shared" si="69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156.50721649484535</v>
      </c>
      <c r="G724" t="s">
        <v>20</v>
      </c>
      <c r="H724" s="7">
        <f t="shared" si="70"/>
        <v>25.00197628458498</v>
      </c>
      <c r="I724">
        <v>3036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67"/>
        <v>43045.25</v>
      </c>
      <c r="O724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71"/>
        <v>film &amp; video</v>
      </c>
      <c r="T724" t="str">
        <f t="shared" si="69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270.40816326530609</v>
      </c>
      <c r="G725" t="s">
        <v>20</v>
      </c>
      <c r="H725" s="7">
        <f t="shared" si="70"/>
        <v>92.013888888888886</v>
      </c>
      <c r="I725">
        <v>144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67"/>
        <v>42431.25</v>
      </c>
      <c r="O725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71"/>
        <v>theater</v>
      </c>
      <c r="T725" t="str">
        <f t="shared" si="69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134.05952380952382</v>
      </c>
      <c r="G726" t="s">
        <v>20</v>
      </c>
      <c r="H726" s="7">
        <f t="shared" si="70"/>
        <v>93.066115702479337</v>
      </c>
      <c r="I726">
        <v>121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67"/>
        <v>41934.208333333336</v>
      </c>
      <c r="O726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71"/>
        <v>theater</v>
      </c>
      <c r="T726" t="str">
        <f t="shared" si="69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50.398033126293996</v>
      </c>
      <c r="G727" t="s">
        <v>14</v>
      </c>
      <c r="H727" s="7">
        <f t="shared" si="70"/>
        <v>61.008145363408524</v>
      </c>
      <c r="I727">
        <v>1596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67"/>
        <v>41958.25</v>
      </c>
      <c r="O727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71"/>
        <v>games</v>
      </c>
      <c r="T727" t="str">
        <f t="shared" si="69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88.815837937384899</v>
      </c>
      <c r="G728" t="s">
        <v>74</v>
      </c>
      <c r="H728" s="7">
        <f t="shared" si="70"/>
        <v>92.036259541984734</v>
      </c>
      <c r="I728">
        <v>524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67"/>
        <v>40476.208333333336</v>
      </c>
      <c r="O728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71"/>
        <v>theater</v>
      </c>
      <c r="T728" t="str">
        <f t="shared" si="69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165</v>
      </c>
      <c r="G729" t="s">
        <v>20</v>
      </c>
      <c r="H729" s="7">
        <f t="shared" si="70"/>
        <v>81.132596685082873</v>
      </c>
      <c r="I729">
        <v>181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67"/>
        <v>43485.25</v>
      </c>
      <c r="O729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71"/>
        <v>technology</v>
      </c>
      <c r="T729" t="str">
        <f t="shared" si="69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17.5</v>
      </c>
      <c r="G730" t="s">
        <v>14</v>
      </c>
      <c r="H730" s="7">
        <f t="shared" si="70"/>
        <v>73.5</v>
      </c>
      <c r="I730">
        <v>10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67"/>
        <v>42515.208333333328</v>
      </c>
      <c r="O730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71"/>
        <v>theater</v>
      </c>
      <c r="T730" t="str">
        <f t="shared" si="69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185.66071428571428</v>
      </c>
      <c r="G731" t="s">
        <v>20</v>
      </c>
      <c r="H731" s="7">
        <f t="shared" si="70"/>
        <v>85.221311475409834</v>
      </c>
      <c r="I731">
        <v>122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67"/>
        <v>41309.25</v>
      </c>
      <c r="O731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71"/>
        <v>film &amp; video</v>
      </c>
      <c r="T731" t="str">
        <f t="shared" si="69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412.6631944444444</v>
      </c>
      <c r="G732" t="s">
        <v>20</v>
      </c>
      <c r="H732" s="7">
        <f t="shared" si="70"/>
        <v>110.96825396825396</v>
      </c>
      <c r="I732">
        <v>1071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67"/>
        <v>42147.208333333328</v>
      </c>
      <c r="O732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71"/>
        <v>technology</v>
      </c>
      <c r="T732" t="str">
        <f t="shared" si="69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90.25</v>
      </c>
      <c r="G733" t="s">
        <v>74</v>
      </c>
      <c r="H733" s="7">
        <f t="shared" si="70"/>
        <v>32.968036529680369</v>
      </c>
      <c r="I733">
        <v>219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67"/>
        <v>42939.208333333328</v>
      </c>
      <c r="O733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71"/>
        <v>technology</v>
      </c>
      <c r="T733" t="str">
        <f t="shared" si="69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91.984615384615381</v>
      </c>
      <c r="G734" t="s">
        <v>14</v>
      </c>
      <c r="H734" s="7">
        <f t="shared" si="70"/>
        <v>96.005352363960753</v>
      </c>
      <c r="I734">
        <v>1121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67"/>
        <v>42816.208333333328</v>
      </c>
      <c r="O734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71"/>
        <v>music</v>
      </c>
      <c r="T734" t="str">
        <f t="shared" si="69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527.00632911392404</v>
      </c>
      <c r="G735" t="s">
        <v>20</v>
      </c>
      <c r="H735" s="7">
        <f t="shared" si="70"/>
        <v>84.96632653061225</v>
      </c>
      <c r="I735">
        <v>980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67"/>
        <v>41844.208333333336</v>
      </c>
      <c r="O735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71"/>
        <v>music</v>
      </c>
      <c r="T735" t="str">
        <f t="shared" si="69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319.14285714285711</v>
      </c>
      <c r="G736" t="s">
        <v>20</v>
      </c>
      <c r="H736" s="7">
        <f t="shared" si="70"/>
        <v>25.007462686567163</v>
      </c>
      <c r="I736">
        <v>536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67"/>
        <v>42763.25</v>
      </c>
      <c r="O736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71"/>
        <v>theater</v>
      </c>
      <c r="T736" t="str">
        <f t="shared" si="69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354.18867924528303</v>
      </c>
      <c r="G737" t="s">
        <v>20</v>
      </c>
      <c r="H737" s="7">
        <f t="shared" si="70"/>
        <v>65.998995479658461</v>
      </c>
      <c r="I737">
        <v>1991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67"/>
        <v>42459.208333333328</v>
      </c>
      <c r="O737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71"/>
        <v>photography</v>
      </c>
      <c r="T737" t="str">
        <f t="shared" si="69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32.896103896103895</v>
      </c>
      <c r="G738" t="s">
        <v>74</v>
      </c>
      <c r="H738" s="7">
        <f t="shared" si="70"/>
        <v>87.34482758620689</v>
      </c>
      <c r="I738">
        <v>29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67"/>
        <v>42055.25</v>
      </c>
      <c r="O738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71"/>
        <v>publishing</v>
      </c>
      <c r="T738" t="str">
        <f t="shared" si="69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135.8918918918919</v>
      </c>
      <c r="G739" t="s">
        <v>20</v>
      </c>
      <c r="H739" s="7">
        <f t="shared" si="70"/>
        <v>27.933333333333334</v>
      </c>
      <c r="I739">
        <v>180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67"/>
        <v>42685.25</v>
      </c>
      <c r="O739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71"/>
        <v>music</v>
      </c>
      <c r="T739" t="str">
        <f t="shared" si="69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2.0843373493975905</v>
      </c>
      <c r="G740" t="s">
        <v>14</v>
      </c>
      <c r="H740" s="7">
        <f t="shared" si="70"/>
        <v>103.8</v>
      </c>
      <c r="I740">
        <v>15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67"/>
        <v>41959.25</v>
      </c>
      <c r="O740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71"/>
        <v>theater</v>
      </c>
      <c r="T740" t="str">
        <f t="shared" si="69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61</v>
      </c>
      <c r="G741" t="s">
        <v>14</v>
      </c>
      <c r="H741" s="7">
        <f t="shared" si="70"/>
        <v>31.937172774869111</v>
      </c>
      <c r="I741">
        <v>191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67"/>
        <v>41089.208333333336</v>
      </c>
      <c r="O741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71"/>
        <v>music</v>
      </c>
      <c r="T741" t="str">
        <f t="shared" si="69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30.037735849056602</v>
      </c>
      <c r="G742" t="s">
        <v>14</v>
      </c>
      <c r="H742" s="7">
        <f t="shared" si="70"/>
        <v>99.5</v>
      </c>
      <c r="I742">
        <v>16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67"/>
        <v>42769.25</v>
      </c>
      <c r="O742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71"/>
        <v>theater</v>
      </c>
      <c r="T742" t="str">
        <f t="shared" si="69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1179.1666666666665</v>
      </c>
      <c r="G743" t="s">
        <v>20</v>
      </c>
      <c r="H743" s="7">
        <f t="shared" si="70"/>
        <v>108.84615384615384</v>
      </c>
      <c r="I743">
        <v>130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67"/>
        <v>40321.208333333336</v>
      </c>
      <c r="O743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71"/>
        <v>theater</v>
      </c>
      <c r="T743" t="str">
        <f t="shared" si="69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1126.0833333333335</v>
      </c>
      <c r="G744" t="s">
        <v>20</v>
      </c>
      <c r="H744" s="7">
        <f t="shared" si="70"/>
        <v>110.76229508196721</v>
      </c>
      <c r="I744">
        <v>122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67"/>
        <v>40197.25</v>
      </c>
      <c r="O744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71"/>
        <v>music</v>
      </c>
      <c r="T744" t="str">
        <f t="shared" si="69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12.923076923076923</v>
      </c>
      <c r="G745" t="s">
        <v>14</v>
      </c>
      <c r="H745" s="7">
        <f t="shared" si="70"/>
        <v>29.647058823529413</v>
      </c>
      <c r="I745">
        <v>17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67"/>
        <v>42298.208333333328</v>
      </c>
      <c r="O745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71"/>
        <v>theater</v>
      </c>
      <c r="T745" t="str">
        <f t="shared" si="69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712</v>
      </c>
      <c r="G746" t="s">
        <v>20</v>
      </c>
      <c r="H746" s="7">
        <f t="shared" si="70"/>
        <v>101.71428571428571</v>
      </c>
      <c r="I746">
        <v>140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67"/>
        <v>43322.208333333328</v>
      </c>
      <c r="O746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71"/>
        <v>theater</v>
      </c>
      <c r="T746" t="str">
        <f t="shared" si="69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30.304347826086957</v>
      </c>
      <c r="G747" t="s">
        <v>14</v>
      </c>
      <c r="H747" s="7">
        <f t="shared" si="70"/>
        <v>61.5</v>
      </c>
      <c r="I747">
        <v>34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67"/>
        <v>40328.208333333336</v>
      </c>
      <c r="O747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71"/>
        <v>technology</v>
      </c>
      <c r="T747" t="str">
        <f t="shared" si="69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212.50896057347671</v>
      </c>
      <c r="G748" t="s">
        <v>20</v>
      </c>
      <c r="H748" s="7">
        <f t="shared" si="70"/>
        <v>35</v>
      </c>
      <c r="I748">
        <v>3388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67"/>
        <v>40825.208333333336</v>
      </c>
      <c r="O748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71"/>
        <v>technology</v>
      </c>
      <c r="T748" t="str">
        <f t="shared" si="69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228.85714285714286</v>
      </c>
      <c r="G749" t="s">
        <v>20</v>
      </c>
      <c r="H749" s="7">
        <f t="shared" si="70"/>
        <v>40.049999999999997</v>
      </c>
      <c r="I749">
        <v>280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67"/>
        <v>40423.208333333336</v>
      </c>
      <c r="O749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71"/>
        <v>theater</v>
      </c>
      <c r="T749" t="str">
        <f t="shared" si="69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34.959979476654695</v>
      </c>
      <c r="G750" t="s">
        <v>74</v>
      </c>
      <c r="H750" s="7">
        <f t="shared" si="70"/>
        <v>110.97231270358306</v>
      </c>
      <c r="I750">
        <v>614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67"/>
        <v>40238.25</v>
      </c>
      <c r="O750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71"/>
        <v>film &amp; video</v>
      </c>
      <c r="T750" t="str">
        <f t="shared" si="69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157.29069767441862</v>
      </c>
      <c r="G751" t="s">
        <v>20</v>
      </c>
      <c r="H751" s="7">
        <f t="shared" si="70"/>
        <v>36.959016393442624</v>
      </c>
      <c r="I751">
        <v>366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67"/>
        <v>41920.208333333336</v>
      </c>
      <c r="O751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71"/>
        <v>technology</v>
      </c>
      <c r="T751" t="str">
        <f t="shared" si="69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1</v>
      </c>
      <c r="G752" t="s">
        <v>14</v>
      </c>
      <c r="H752" s="7">
        <f t="shared" si="70"/>
        <v>1</v>
      </c>
      <c r="I752"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67"/>
        <v>40360.208333333336</v>
      </c>
      <c r="O752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71"/>
        <v>music</v>
      </c>
      <c r="T752" t="str">
        <f t="shared" si="69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232.30555555555554</v>
      </c>
      <c r="G753" t="s">
        <v>20</v>
      </c>
      <c r="H753" s="7">
        <f t="shared" si="70"/>
        <v>30.974074074074075</v>
      </c>
      <c r="I753">
        <v>270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67"/>
        <v>42446.208333333328</v>
      </c>
      <c r="O753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71"/>
        <v>publishing</v>
      </c>
      <c r="T753" t="str">
        <f t="shared" si="69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92.448275862068968</v>
      </c>
      <c r="G754" t="s">
        <v>74</v>
      </c>
      <c r="H754" s="7">
        <f t="shared" si="70"/>
        <v>47.035087719298247</v>
      </c>
      <c r="I754">
        <v>114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67"/>
        <v>40395.208333333336</v>
      </c>
      <c r="O754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71"/>
        <v>theater</v>
      </c>
      <c r="T754" t="str">
        <f t="shared" si="69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256.70212765957444</v>
      </c>
      <c r="G755" t="s">
        <v>20</v>
      </c>
      <c r="H755" s="7">
        <f t="shared" si="70"/>
        <v>88.065693430656935</v>
      </c>
      <c r="I755">
        <v>137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67"/>
        <v>40321.208333333336</v>
      </c>
      <c r="O755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71"/>
        <v>photography</v>
      </c>
      <c r="T755" t="str">
        <f t="shared" si="69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168.47017045454547</v>
      </c>
      <c r="G756" t="s">
        <v>20</v>
      </c>
      <c r="H756" s="7">
        <f t="shared" si="70"/>
        <v>37.005616224648989</v>
      </c>
      <c r="I756">
        <v>3205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67"/>
        <v>41210.208333333336</v>
      </c>
      <c r="O756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71"/>
        <v>theater</v>
      </c>
      <c r="T756" t="str">
        <f t="shared" si="69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166.57777777777778</v>
      </c>
      <c r="G757" t="s">
        <v>20</v>
      </c>
      <c r="H757" s="7">
        <f t="shared" si="70"/>
        <v>26.027777777777779</v>
      </c>
      <c r="I757">
        <v>288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67"/>
        <v>43096.25</v>
      </c>
      <c r="O757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71"/>
        <v>theater</v>
      </c>
      <c r="T757" t="str">
        <f t="shared" si="69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772.07692307692309</v>
      </c>
      <c r="G758" t="s">
        <v>20</v>
      </c>
      <c r="H758" s="7">
        <f t="shared" si="70"/>
        <v>67.817567567567565</v>
      </c>
      <c r="I758">
        <v>148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67"/>
        <v>42024.25</v>
      </c>
      <c r="O758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71"/>
        <v>theater</v>
      </c>
      <c r="T758" t="str">
        <f t="shared" si="69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406.85714285714283</v>
      </c>
      <c r="G759" t="s">
        <v>20</v>
      </c>
      <c r="H759" s="7">
        <f t="shared" si="70"/>
        <v>49.964912280701753</v>
      </c>
      <c r="I759">
        <v>114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67"/>
        <v>40675.208333333336</v>
      </c>
      <c r="O759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71"/>
        <v>film &amp; video</v>
      </c>
      <c r="T759" t="str">
        <f t="shared" si="69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564.20608108108115</v>
      </c>
      <c r="G760" t="s">
        <v>20</v>
      </c>
      <c r="H760" s="7">
        <f t="shared" si="70"/>
        <v>110.01646903820817</v>
      </c>
      <c r="I760">
        <v>1518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67"/>
        <v>41936.208333333336</v>
      </c>
      <c r="O760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71"/>
        <v>music</v>
      </c>
      <c r="T760" t="str">
        <f t="shared" si="69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68.426865671641792</v>
      </c>
      <c r="G761" t="s">
        <v>14</v>
      </c>
      <c r="H761" s="7">
        <f t="shared" si="70"/>
        <v>89.964678178963894</v>
      </c>
      <c r="I761">
        <v>1274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67"/>
        <v>43136.25</v>
      </c>
      <c r="O761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71"/>
        <v>music</v>
      </c>
      <c r="T761" t="str">
        <f t="shared" si="69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34.351966873706004</v>
      </c>
      <c r="G762" t="s">
        <v>14</v>
      </c>
      <c r="H762" s="7">
        <f t="shared" si="70"/>
        <v>79.009523809523813</v>
      </c>
      <c r="I762">
        <v>210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67"/>
        <v>43678.208333333328</v>
      </c>
      <c r="O762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71"/>
        <v>games</v>
      </c>
      <c r="T762" t="str">
        <f t="shared" si="69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655.4545454545455</v>
      </c>
      <c r="G763" t="s">
        <v>20</v>
      </c>
      <c r="H763" s="7">
        <f t="shared" si="70"/>
        <v>86.867469879518069</v>
      </c>
      <c r="I763">
        <v>166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67"/>
        <v>42938.208333333328</v>
      </c>
      <c r="O763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71"/>
        <v>music</v>
      </c>
      <c r="T763" t="str">
        <f t="shared" si="69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177.25714285714284</v>
      </c>
      <c r="G764" t="s">
        <v>20</v>
      </c>
      <c r="H764" s="7">
        <f t="shared" si="70"/>
        <v>62.04</v>
      </c>
      <c r="I764">
        <v>100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67"/>
        <v>41241.25</v>
      </c>
      <c r="O764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71"/>
        <v>music</v>
      </c>
      <c r="T764" t="str">
        <f t="shared" si="69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113.17857142857144</v>
      </c>
      <c r="G765" t="s">
        <v>20</v>
      </c>
      <c r="H765" s="7">
        <f t="shared" si="70"/>
        <v>26.970212765957445</v>
      </c>
      <c r="I765">
        <v>235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67"/>
        <v>41037.208333333336</v>
      </c>
      <c r="O765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71"/>
        <v>theater</v>
      </c>
      <c r="T765" t="str">
        <f t="shared" si="69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728.18181818181824</v>
      </c>
      <c r="G766" t="s">
        <v>20</v>
      </c>
      <c r="H766" s="7">
        <f t="shared" si="70"/>
        <v>54.121621621621621</v>
      </c>
      <c r="I766">
        <v>148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67"/>
        <v>40676.208333333336</v>
      </c>
      <c r="O766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71"/>
        <v>music</v>
      </c>
      <c r="T766" t="str">
        <f t="shared" si="69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208.33333333333334</v>
      </c>
      <c r="G767" t="s">
        <v>20</v>
      </c>
      <c r="H767" s="7">
        <f t="shared" si="70"/>
        <v>41.035353535353536</v>
      </c>
      <c r="I767">
        <v>198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67"/>
        <v>42840.208333333328</v>
      </c>
      <c r="O767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71"/>
        <v>music</v>
      </c>
      <c r="T767" t="str">
        <f t="shared" si="69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31.171232876712331</v>
      </c>
      <c r="G768" t="s">
        <v>14</v>
      </c>
      <c r="H768" s="7">
        <f t="shared" si="70"/>
        <v>55.052419354838712</v>
      </c>
      <c r="I768">
        <v>248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67"/>
        <v>43362.208333333328</v>
      </c>
      <c r="O768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71"/>
        <v>film &amp; video</v>
      </c>
      <c r="T768" t="str">
        <f t="shared" si="69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56.967078189300416</v>
      </c>
      <c r="G769" t="s">
        <v>14</v>
      </c>
      <c r="H769" s="7">
        <f t="shared" si="70"/>
        <v>107.93762183235867</v>
      </c>
      <c r="I769">
        <v>513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67"/>
        <v>42283.208333333328</v>
      </c>
      <c r="O769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71"/>
        <v>publishing</v>
      </c>
      <c r="T769" t="str">
        <f t="shared" si="69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ref="F770:F833" si="72">E770/D770*100</f>
        <v>231</v>
      </c>
      <c r="G770" t="s">
        <v>20</v>
      </c>
      <c r="H770" s="7">
        <f t="shared" si="70"/>
        <v>73.92</v>
      </c>
      <c r="I770">
        <v>150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67"/>
        <v>41619.25</v>
      </c>
      <c r="O770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71"/>
        <v>theater</v>
      </c>
      <c r="T770" t="str">
        <f t="shared" si="69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72"/>
        <v>86.867834394904463</v>
      </c>
      <c r="G771" t="s">
        <v>14</v>
      </c>
      <c r="H771" s="7">
        <f t="shared" si="70"/>
        <v>31.995894428152493</v>
      </c>
      <c r="I771">
        <v>3410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N834" si="73">(((L771/60)/60)/24)+DATE(1970,1,1)</f>
        <v>41501.208333333336</v>
      </c>
      <c r="O771">
        <f t="shared" ref="O771:O834" si="74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si="71"/>
        <v>games</v>
      </c>
      <c r="T771" t="str">
        <f t="shared" ref="T771:T834" si="75">RIGHT(R771,LEN(R771)-LEN(S771)-1)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270.74418604651163</v>
      </c>
      <c r="G772" t="s">
        <v>20</v>
      </c>
      <c r="H772" s="7">
        <f t="shared" ref="H772:H835" si="76">E772/I772</f>
        <v>53.898148148148145</v>
      </c>
      <c r="I772">
        <v>216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73"/>
        <v>41743.208333333336</v>
      </c>
      <c r="O772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ref="S772:S835" si="77">LEFT(R772,FIND("/",R772)-1)</f>
        <v>theater</v>
      </c>
      <c r="T772" t="str">
        <f t="shared" si="75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49.446428571428569</v>
      </c>
      <c r="G773" t="s">
        <v>74</v>
      </c>
      <c r="H773" s="7">
        <f t="shared" si="76"/>
        <v>106.5</v>
      </c>
      <c r="I773">
        <v>26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73"/>
        <v>43491.25</v>
      </c>
      <c r="O773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7"/>
        <v>theater</v>
      </c>
      <c r="T773" t="str">
        <f t="shared" si="75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113.3596256684492</v>
      </c>
      <c r="G774" t="s">
        <v>20</v>
      </c>
      <c r="H774" s="7">
        <f t="shared" si="76"/>
        <v>32.999805409612762</v>
      </c>
      <c r="I774">
        <v>5139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73"/>
        <v>43505.25</v>
      </c>
      <c r="O774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7"/>
        <v>music</v>
      </c>
      <c r="T774" t="str">
        <f t="shared" si="75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190.55555555555554</v>
      </c>
      <c r="G775" t="s">
        <v>20</v>
      </c>
      <c r="H775" s="7">
        <f t="shared" si="76"/>
        <v>43.00254993625159</v>
      </c>
      <c r="I775">
        <v>2353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73"/>
        <v>42838.208333333328</v>
      </c>
      <c r="O775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7"/>
        <v>theater</v>
      </c>
      <c r="T775" t="str">
        <f t="shared" si="75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135.5</v>
      </c>
      <c r="G776" t="s">
        <v>20</v>
      </c>
      <c r="H776" s="7">
        <f t="shared" si="76"/>
        <v>86.858974358974365</v>
      </c>
      <c r="I776">
        <v>78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73"/>
        <v>42513.208333333328</v>
      </c>
      <c r="O776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7"/>
        <v>technology</v>
      </c>
      <c r="T776" t="str">
        <f t="shared" si="75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10.297872340425531</v>
      </c>
      <c r="G777" t="s">
        <v>14</v>
      </c>
      <c r="H777" s="7">
        <f t="shared" si="76"/>
        <v>96.8</v>
      </c>
      <c r="I777">
        <v>10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73"/>
        <v>41949.25</v>
      </c>
      <c r="O777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7"/>
        <v>music</v>
      </c>
      <c r="T777" t="str">
        <f t="shared" si="75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65.544223826714799</v>
      </c>
      <c r="G778" t="s">
        <v>14</v>
      </c>
      <c r="H778" s="7">
        <f t="shared" si="76"/>
        <v>32.995456610631528</v>
      </c>
      <c r="I778">
        <v>2201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73"/>
        <v>43650.208333333328</v>
      </c>
      <c r="O778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7"/>
        <v>theater</v>
      </c>
      <c r="T778" t="str">
        <f t="shared" si="75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49.026652452025587</v>
      </c>
      <c r="G779" t="s">
        <v>14</v>
      </c>
      <c r="H779" s="7">
        <f t="shared" si="76"/>
        <v>68.028106508875737</v>
      </c>
      <c r="I779">
        <v>676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73"/>
        <v>40809.208333333336</v>
      </c>
      <c r="O779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7"/>
        <v>theater</v>
      </c>
      <c r="T779" t="str">
        <f t="shared" si="75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787.92307692307691</v>
      </c>
      <c r="G780" t="s">
        <v>20</v>
      </c>
      <c r="H780" s="7">
        <f t="shared" si="76"/>
        <v>58.867816091954026</v>
      </c>
      <c r="I780">
        <v>174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73"/>
        <v>40768.208333333336</v>
      </c>
      <c r="O780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7"/>
        <v>film &amp; video</v>
      </c>
      <c r="T780" t="str">
        <f t="shared" si="75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80.306347746090154</v>
      </c>
      <c r="G781" t="s">
        <v>14</v>
      </c>
      <c r="H781" s="7">
        <f t="shared" si="76"/>
        <v>105.04572803850782</v>
      </c>
      <c r="I781">
        <v>831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73"/>
        <v>42230.208333333328</v>
      </c>
      <c r="O781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7"/>
        <v>theater</v>
      </c>
      <c r="T781" t="str">
        <f t="shared" si="75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106.29411764705883</v>
      </c>
      <c r="G782" t="s">
        <v>20</v>
      </c>
      <c r="H782" s="7">
        <f t="shared" si="76"/>
        <v>33.054878048780488</v>
      </c>
      <c r="I782">
        <v>164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73"/>
        <v>42573.208333333328</v>
      </c>
      <c r="O782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7"/>
        <v>film &amp; video</v>
      </c>
      <c r="T782" t="str">
        <f t="shared" si="75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50.735632183908038</v>
      </c>
      <c r="G783" t="s">
        <v>74</v>
      </c>
      <c r="H783" s="7">
        <f t="shared" si="76"/>
        <v>78.821428571428569</v>
      </c>
      <c r="I783">
        <v>56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73"/>
        <v>40482.208333333336</v>
      </c>
      <c r="O783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7"/>
        <v>theater</v>
      </c>
      <c r="T783" t="str">
        <f t="shared" si="75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215.31372549019611</v>
      </c>
      <c r="G784" t="s">
        <v>20</v>
      </c>
      <c r="H784" s="7">
        <f t="shared" si="76"/>
        <v>68.204968944099377</v>
      </c>
      <c r="I784">
        <v>161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73"/>
        <v>40603.25</v>
      </c>
      <c r="O784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7"/>
        <v>film &amp; video</v>
      </c>
      <c r="T784" t="str">
        <f t="shared" si="75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141.22972972972974</v>
      </c>
      <c r="G785" t="s">
        <v>20</v>
      </c>
      <c r="H785" s="7">
        <f t="shared" si="76"/>
        <v>75.731884057971016</v>
      </c>
      <c r="I785">
        <v>138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73"/>
        <v>41625.25</v>
      </c>
      <c r="O785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7"/>
        <v>music</v>
      </c>
      <c r="T785" t="str">
        <f t="shared" si="75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115.33745781777279</v>
      </c>
      <c r="G786" t="s">
        <v>20</v>
      </c>
      <c r="H786" s="7">
        <f t="shared" si="76"/>
        <v>30.996070133010882</v>
      </c>
      <c r="I786">
        <v>3308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73"/>
        <v>42435.25</v>
      </c>
      <c r="O786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7"/>
        <v>technology</v>
      </c>
      <c r="T786" t="str">
        <f t="shared" si="75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193.11940298507463</v>
      </c>
      <c r="G787" t="s">
        <v>20</v>
      </c>
      <c r="H787" s="7">
        <f t="shared" si="76"/>
        <v>101.88188976377953</v>
      </c>
      <c r="I787">
        <v>127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73"/>
        <v>43582.208333333328</v>
      </c>
      <c r="O787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7"/>
        <v>film &amp; video</v>
      </c>
      <c r="T787" t="str">
        <f t="shared" si="75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729.73333333333335</v>
      </c>
      <c r="G788" t="s">
        <v>20</v>
      </c>
      <c r="H788" s="7">
        <f t="shared" si="76"/>
        <v>52.879227053140099</v>
      </c>
      <c r="I788">
        <v>207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73"/>
        <v>43186.208333333328</v>
      </c>
      <c r="O788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7"/>
        <v>music</v>
      </c>
      <c r="T788" t="str">
        <f t="shared" si="75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99.66339869281046</v>
      </c>
      <c r="G789" t="s">
        <v>14</v>
      </c>
      <c r="H789" s="7">
        <f t="shared" si="76"/>
        <v>71.005820721769496</v>
      </c>
      <c r="I789">
        <v>859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73"/>
        <v>40684.208333333336</v>
      </c>
      <c r="O789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7"/>
        <v>music</v>
      </c>
      <c r="T789" t="str">
        <f t="shared" si="75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88.166666666666671</v>
      </c>
      <c r="G790" t="s">
        <v>47</v>
      </c>
      <c r="H790" s="7">
        <f t="shared" si="76"/>
        <v>102.38709677419355</v>
      </c>
      <c r="I790">
        <v>31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73"/>
        <v>41202.208333333336</v>
      </c>
      <c r="O790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7"/>
        <v>film &amp; video</v>
      </c>
      <c r="T790" t="str">
        <f t="shared" si="75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37.233333333333334</v>
      </c>
      <c r="G791" t="s">
        <v>14</v>
      </c>
      <c r="H791" s="7">
        <f t="shared" si="76"/>
        <v>74.466666666666669</v>
      </c>
      <c r="I791">
        <v>45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73"/>
        <v>41786.208333333336</v>
      </c>
      <c r="O791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7"/>
        <v>theater</v>
      </c>
      <c r="T791" t="str">
        <f t="shared" si="75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30.540075309306079</v>
      </c>
      <c r="G792" t="s">
        <v>74</v>
      </c>
      <c r="H792" s="7">
        <f t="shared" si="76"/>
        <v>51.009883198562441</v>
      </c>
      <c r="I792">
        <v>1113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73"/>
        <v>40223.25</v>
      </c>
      <c r="O792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7"/>
        <v>theater</v>
      </c>
      <c r="T792" t="str">
        <f t="shared" si="75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25.714285714285712</v>
      </c>
      <c r="G793" t="s">
        <v>14</v>
      </c>
      <c r="H793" s="7">
        <f t="shared" si="76"/>
        <v>90</v>
      </c>
      <c r="I793">
        <v>6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73"/>
        <v>42715.25</v>
      </c>
      <c r="O793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7"/>
        <v>food</v>
      </c>
      <c r="T793" t="str">
        <f t="shared" si="75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34</v>
      </c>
      <c r="G794" t="s">
        <v>14</v>
      </c>
      <c r="H794" s="7">
        <f t="shared" si="76"/>
        <v>97.142857142857139</v>
      </c>
      <c r="I794">
        <v>7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73"/>
        <v>41451.208333333336</v>
      </c>
      <c r="O794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7"/>
        <v>theater</v>
      </c>
      <c r="T794" t="str">
        <f t="shared" si="75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1185.909090909091</v>
      </c>
      <c r="G795" t="s">
        <v>20</v>
      </c>
      <c r="H795" s="7">
        <f t="shared" si="76"/>
        <v>72.071823204419886</v>
      </c>
      <c r="I795">
        <v>181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73"/>
        <v>41450.208333333336</v>
      </c>
      <c r="O795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7"/>
        <v>publishing</v>
      </c>
      <c r="T795" t="str">
        <f t="shared" si="75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125.39393939393939</v>
      </c>
      <c r="G796" t="s">
        <v>20</v>
      </c>
      <c r="H796" s="7">
        <f t="shared" si="76"/>
        <v>75.236363636363635</v>
      </c>
      <c r="I796">
        <v>110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73"/>
        <v>43091.25</v>
      </c>
      <c r="O796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7"/>
        <v>music</v>
      </c>
      <c r="T796" t="str">
        <f t="shared" si="75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14.394366197183098</v>
      </c>
      <c r="G797" t="s">
        <v>14</v>
      </c>
      <c r="H797" s="7">
        <f t="shared" si="76"/>
        <v>32.967741935483872</v>
      </c>
      <c r="I797">
        <v>31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73"/>
        <v>42675.208333333328</v>
      </c>
      <c r="O797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7"/>
        <v>film &amp; video</v>
      </c>
      <c r="T797" t="str">
        <f t="shared" si="75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54.807692307692314</v>
      </c>
      <c r="G798" t="s">
        <v>14</v>
      </c>
      <c r="H798" s="7">
        <f t="shared" si="76"/>
        <v>54.807692307692307</v>
      </c>
      <c r="I798">
        <v>78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73"/>
        <v>41859.208333333336</v>
      </c>
      <c r="O798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7"/>
        <v>games</v>
      </c>
      <c r="T798" t="str">
        <f t="shared" si="75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109.63157894736841</v>
      </c>
      <c r="G799" t="s">
        <v>20</v>
      </c>
      <c r="H799" s="7">
        <f t="shared" si="76"/>
        <v>45.037837837837834</v>
      </c>
      <c r="I799">
        <v>185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73"/>
        <v>43464.25</v>
      </c>
      <c r="O799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7"/>
        <v>technology</v>
      </c>
      <c r="T799" t="str">
        <f t="shared" si="75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188.47058823529412</v>
      </c>
      <c r="G800" t="s">
        <v>20</v>
      </c>
      <c r="H800" s="7">
        <f t="shared" si="76"/>
        <v>52.958677685950413</v>
      </c>
      <c r="I800">
        <v>121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73"/>
        <v>41060.208333333336</v>
      </c>
      <c r="O800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7"/>
        <v>theater</v>
      </c>
      <c r="T800" t="str">
        <f t="shared" si="75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87.008284023668637</v>
      </c>
      <c r="G801" t="s">
        <v>14</v>
      </c>
      <c r="H801" s="7">
        <f t="shared" si="76"/>
        <v>60.017959183673469</v>
      </c>
      <c r="I801">
        <v>1225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73"/>
        <v>42399.25</v>
      </c>
      <c r="O801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7"/>
        <v>theater</v>
      </c>
      <c r="T801" t="str">
        <f t="shared" si="75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1</v>
      </c>
      <c r="G802" t="s">
        <v>14</v>
      </c>
      <c r="H802" s="7">
        <f t="shared" si="76"/>
        <v>1</v>
      </c>
      <c r="I802"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73"/>
        <v>42167.208333333328</v>
      </c>
      <c r="O802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7"/>
        <v>music</v>
      </c>
      <c r="T802" t="str">
        <f t="shared" si="75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202.9130434782609</v>
      </c>
      <c r="G803" t="s">
        <v>20</v>
      </c>
      <c r="H803" s="7">
        <f t="shared" si="76"/>
        <v>44.028301886792455</v>
      </c>
      <c r="I803">
        <v>106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73"/>
        <v>43830.25</v>
      </c>
      <c r="O803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7"/>
        <v>photography</v>
      </c>
      <c r="T803" t="str">
        <f t="shared" si="75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197.03225806451613</v>
      </c>
      <c r="G804" t="s">
        <v>20</v>
      </c>
      <c r="H804" s="7">
        <f t="shared" si="76"/>
        <v>86.028169014084511</v>
      </c>
      <c r="I804">
        <v>142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73"/>
        <v>43650.208333333328</v>
      </c>
      <c r="O804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7"/>
        <v>photography</v>
      </c>
      <c r="T804" t="str">
        <f t="shared" si="75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107</v>
      </c>
      <c r="G805" t="s">
        <v>20</v>
      </c>
      <c r="H805" s="7">
        <f t="shared" si="76"/>
        <v>28.012875536480685</v>
      </c>
      <c r="I805">
        <v>233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73"/>
        <v>43492.25</v>
      </c>
      <c r="O805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7"/>
        <v>theater</v>
      </c>
      <c r="T805" t="str">
        <f t="shared" si="75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268.73076923076923</v>
      </c>
      <c r="G806" t="s">
        <v>20</v>
      </c>
      <c r="H806" s="7">
        <f t="shared" si="76"/>
        <v>32.050458715596328</v>
      </c>
      <c r="I806">
        <v>218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73"/>
        <v>43102.25</v>
      </c>
      <c r="O806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7"/>
        <v>music</v>
      </c>
      <c r="T806" t="str">
        <f t="shared" si="75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50.845360824742272</v>
      </c>
      <c r="G807" t="s">
        <v>14</v>
      </c>
      <c r="H807" s="7">
        <f t="shared" si="76"/>
        <v>73.611940298507463</v>
      </c>
      <c r="I807">
        <v>67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73"/>
        <v>41958.25</v>
      </c>
      <c r="O807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7"/>
        <v>film &amp; video</v>
      </c>
      <c r="T807" t="str">
        <f t="shared" si="75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1180.2857142857142</v>
      </c>
      <c r="G808" t="s">
        <v>20</v>
      </c>
      <c r="H808" s="7">
        <f t="shared" si="76"/>
        <v>108.71052631578948</v>
      </c>
      <c r="I808">
        <v>76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73"/>
        <v>40973.25</v>
      </c>
      <c r="O808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7"/>
        <v>film &amp; video</v>
      </c>
      <c r="T808" t="str">
        <f t="shared" si="75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264</v>
      </c>
      <c r="G809" t="s">
        <v>20</v>
      </c>
      <c r="H809" s="7">
        <f t="shared" si="76"/>
        <v>42.97674418604651</v>
      </c>
      <c r="I809">
        <v>43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73"/>
        <v>43753.208333333328</v>
      </c>
      <c r="O809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7"/>
        <v>theater</v>
      </c>
      <c r="T809" t="str">
        <f t="shared" si="75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30.44230769230769</v>
      </c>
      <c r="G810" t="s">
        <v>14</v>
      </c>
      <c r="H810" s="7">
        <f t="shared" si="76"/>
        <v>83.315789473684205</v>
      </c>
      <c r="I810">
        <v>19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73"/>
        <v>42507.208333333328</v>
      </c>
      <c r="O810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7"/>
        <v>food</v>
      </c>
      <c r="T810" t="str">
        <f t="shared" si="75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62.880681818181813</v>
      </c>
      <c r="G811" t="s">
        <v>14</v>
      </c>
      <c r="H811" s="7">
        <f t="shared" si="76"/>
        <v>42</v>
      </c>
      <c r="I811">
        <v>2108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73"/>
        <v>41135.208333333336</v>
      </c>
      <c r="O811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7"/>
        <v>film &amp; video</v>
      </c>
      <c r="T811" t="str">
        <f t="shared" si="75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193.125</v>
      </c>
      <c r="G812" t="s">
        <v>20</v>
      </c>
      <c r="H812" s="7">
        <f t="shared" si="76"/>
        <v>55.927601809954751</v>
      </c>
      <c r="I812">
        <v>221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73"/>
        <v>43067.25</v>
      </c>
      <c r="O812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7"/>
        <v>theater</v>
      </c>
      <c r="T812" t="str">
        <f t="shared" si="75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77.102702702702715</v>
      </c>
      <c r="G813" t="s">
        <v>14</v>
      </c>
      <c r="H813" s="7">
        <f t="shared" si="76"/>
        <v>105.03681885125184</v>
      </c>
      <c r="I813">
        <v>679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73"/>
        <v>42378.25</v>
      </c>
      <c r="O813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7"/>
        <v>games</v>
      </c>
      <c r="T813" t="str">
        <f t="shared" si="75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225.52763819095478</v>
      </c>
      <c r="G814" t="s">
        <v>20</v>
      </c>
      <c r="H814" s="7">
        <f t="shared" si="76"/>
        <v>48</v>
      </c>
      <c r="I814">
        <v>2805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73"/>
        <v>43206.208333333328</v>
      </c>
      <c r="O814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7"/>
        <v>publishing</v>
      </c>
      <c r="T814" t="str">
        <f t="shared" si="75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239.40625</v>
      </c>
      <c r="G815" t="s">
        <v>20</v>
      </c>
      <c r="H815" s="7">
        <f t="shared" si="76"/>
        <v>112.66176470588235</v>
      </c>
      <c r="I815">
        <v>68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73"/>
        <v>41148.208333333336</v>
      </c>
      <c r="O815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7"/>
        <v>games</v>
      </c>
      <c r="T815" t="str">
        <f t="shared" si="75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92.1875</v>
      </c>
      <c r="G816" t="s">
        <v>14</v>
      </c>
      <c r="H816" s="7">
        <f t="shared" si="76"/>
        <v>81.944444444444443</v>
      </c>
      <c r="I816">
        <v>36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73"/>
        <v>42517.208333333328</v>
      </c>
      <c r="O816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7"/>
        <v>music</v>
      </c>
      <c r="T816" t="str">
        <f t="shared" si="75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130.23333333333335</v>
      </c>
      <c r="G817" t="s">
        <v>20</v>
      </c>
      <c r="H817" s="7">
        <f t="shared" si="76"/>
        <v>64.049180327868854</v>
      </c>
      <c r="I817">
        <v>183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73"/>
        <v>43068.25</v>
      </c>
      <c r="O817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7"/>
        <v>music</v>
      </c>
      <c r="T817" t="str">
        <f t="shared" si="75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615.21739130434787</v>
      </c>
      <c r="G818" t="s">
        <v>20</v>
      </c>
      <c r="H818" s="7">
        <f t="shared" si="76"/>
        <v>106.39097744360902</v>
      </c>
      <c r="I818">
        <v>133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73"/>
        <v>41680.25</v>
      </c>
      <c r="O818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7"/>
        <v>theater</v>
      </c>
      <c r="T818" t="str">
        <f t="shared" si="75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368.79532163742692</v>
      </c>
      <c r="G819" t="s">
        <v>20</v>
      </c>
      <c r="H819" s="7">
        <f t="shared" si="76"/>
        <v>76.011249497790274</v>
      </c>
      <c r="I819">
        <v>2489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73"/>
        <v>43589.208333333328</v>
      </c>
      <c r="O819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7"/>
        <v>publishing</v>
      </c>
      <c r="T819" t="str">
        <f t="shared" si="75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1094.8571428571429</v>
      </c>
      <c r="G820" t="s">
        <v>20</v>
      </c>
      <c r="H820" s="7">
        <f t="shared" si="76"/>
        <v>111.07246376811594</v>
      </c>
      <c r="I820">
        <v>69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73"/>
        <v>43486.25</v>
      </c>
      <c r="O820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7"/>
        <v>theater</v>
      </c>
      <c r="T820" t="str">
        <f t="shared" si="75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50.662921348314605</v>
      </c>
      <c r="G821" t="s">
        <v>14</v>
      </c>
      <c r="H821" s="7">
        <f t="shared" si="76"/>
        <v>95.936170212765958</v>
      </c>
      <c r="I821">
        <v>47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73"/>
        <v>41237.25</v>
      </c>
      <c r="O821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7"/>
        <v>games</v>
      </c>
      <c r="T821" t="str">
        <f t="shared" si="75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800.6</v>
      </c>
      <c r="G822" t="s">
        <v>20</v>
      </c>
      <c r="H822" s="7">
        <f t="shared" si="76"/>
        <v>43.043010752688176</v>
      </c>
      <c r="I822">
        <v>279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73"/>
        <v>43310.208333333328</v>
      </c>
      <c r="O822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7"/>
        <v>music</v>
      </c>
      <c r="T822" t="str">
        <f t="shared" si="75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291.28571428571428</v>
      </c>
      <c r="G823" t="s">
        <v>20</v>
      </c>
      <c r="H823" s="7">
        <f t="shared" si="76"/>
        <v>67.966666666666669</v>
      </c>
      <c r="I823">
        <v>210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73"/>
        <v>42794.25</v>
      </c>
      <c r="O823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7"/>
        <v>film &amp; video</v>
      </c>
      <c r="T823" t="str">
        <f t="shared" si="75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349.9666666666667</v>
      </c>
      <c r="G824" t="s">
        <v>20</v>
      </c>
      <c r="H824" s="7">
        <f t="shared" si="76"/>
        <v>89.991428571428571</v>
      </c>
      <c r="I824">
        <v>2100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73"/>
        <v>41698.25</v>
      </c>
      <c r="O824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7"/>
        <v>music</v>
      </c>
      <c r="T824" t="str">
        <f t="shared" si="75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357.07317073170731</v>
      </c>
      <c r="G825" t="s">
        <v>20</v>
      </c>
      <c r="H825" s="7">
        <f t="shared" si="76"/>
        <v>58.095238095238095</v>
      </c>
      <c r="I825">
        <v>252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73"/>
        <v>41892.208333333336</v>
      </c>
      <c r="O825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7"/>
        <v>music</v>
      </c>
      <c r="T825" t="str">
        <f t="shared" si="75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126.48941176470588</v>
      </c>
      <c r="G826" t="s">
        <v>20</v>
      </c>
      <c r="H826" s="7">
        <f t="shared" si="76"/>
        <v>83.996875000000003</v>
      </c>
      <c r="I826">
        <v>1280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73"/>
        <v>40348.208333333336</v>
      </c>
      <c r="O826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7"/>
        <v>publishing</v>
      </c>
      <c r="T826" t="str">
        <f t="shared" si="75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387.5</v>
      </c>
      <c r="G827" t="s">
        <v>20</v>
      </c>
      <c r="H827" s="7">
        <f t="shared" si="76"/>
        <v>88.853503184713375</v>
      </c>
      <c r="I827">
        <v>157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73"/>
        <v>42941.208333333328</v>
      </c>
      <c r="O827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7"/>
        <v>film &amp; video</v>
      </c>
      <c r="T827" t="str">
        <f t="shared" si="75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457.03571428571428</v>
      </c>
      <c r="G828" t="s">
        <v>20</v>
      </c>
      <c r="H828" s="7">
        <f t="shared" si="76"/>
        <v>65.963917525773198</v>
      </c>
      <c r="I828">
        <v>194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73"/>
        <v>40525.25</v>
      </c>
      <c r="O828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7"/>
        <v>theater</v>
      </c>
      <c r="T828" t="str">
        <f t="shared" si="75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266.69565217391306</v>
      </c>
      <c r="G829" t="s">
        <v>20</v>
      </c>
      <c r="H829" s="7">
        <f t="shared" si="76"/>
        <v>74.804878048780495</v>
      </c>
      <c r="I829">
        <v>82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73"/>
        <v>40666.208333333336</v>
      </c>
      <c r="O829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7"/>
        <v>film &amp; video</v>
      </c>
      <c r="T829" t="str">
        <f t="shared" si="75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69</v>
      </c>
      <c r="G830" t="s">
        <v>14</v>
      </c>
      <c r="H830" s="7">
        <f t="shared" si="76"/>
        <v>69.98571428571428</v>
      </c>
      <c r="I830">
        <v>70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73"/>
        <v>43340.208333333328</v>
      </c>
      <c r="O830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7"/>
        <v>theater</v>
      </c>
      <c r="T830" t="str">
        <f t="shared" si="75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51.34375</v>
      </c>
      <c r="G831" t="s">
        <v>14</v>
      </c>
      <c r="H831" s="7">
        <f t="shared" si="76"/>
        <v>32.006493506493506</v>
      </c>
      <c r="I831">
        <v>154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73"/>
        <v>42164.208333333328</v>
      </c>
      <c r="O831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7"/>
        <v>theater</v>
      </c>
      <c r="T831" t="str">
        <f t="shared" si="75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</v>
      </c>
      <c r="G832" t="s">
        <v>14</v>
      </c>
      <c r="H832" s="7">
        <f t="shared" si="76"/>
        <v>64.727272727272734</v>
      </c>
      <c r="I832">
        <v>22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73"/>
        <v>43103.25</v>
      </c>
      <c r="O832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7"/>
        <v>theater</v>
      </c>
      <c r="T832" t="str">
        <f t="shared" si="75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108.97734294541709</v>
      </c>
      <c r="G833" t="s">
        <v>20</v>
      </c>
      <c r="H833" s="7">
        <f t="shared" si="76"/>
        <v>24.998110087408456</v>
      </c>
      <c r="I833">
        <v>4233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73"/>
        <v>40994.208333333336</v>
      </c>
      <c r="O833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7"/>
        <v>photography</v>
      </c>
      <c r="T833" t="str">
        <f t="shared" si="75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ref="F834:F897" si="78">E834/D834*100</f>
        <v>315.17592592592592</v>
      </c>
      <c r="G834" t="s">
        <v>20</v>
      </c>
      <c r="H834" s="7">
        <f t="shared" si="76"/>
        <v>104.97764070932922</v>
      </c>
      <c r="I834">
        <v>1297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73"/>
        <v>42299.208333333328</v>
      </c>
      <c r="O834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7"/>
        <v>publishing</v>
      </c>
      <c r="T834" t="str">
        <f t="shared" si="75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78"/>
        <v>157.69117647058823</v>
      </c>
      <c r="G835" t="s">
        <v>20</v>
      </c>
      <c r="H835" s="7">
        <f t="shared" si="76"/>
        <v>64.987878787878785</v>
      </c>
      <c r="I835">
        <v>165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ref="N835:N898" si="79">(((L835/60)/60)/24)+DATE(1970,1,1)</f>
        <v>40588.25</v>
      </c>
      <c r="O835">
        <f t="shared" ref="O835:O898" si="80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si="77"/>
        <v>publishing</v>
      </c>
      <c r="T835" t="str">
        <f t="shared" ref="T835:T898" si="81">RIGHT(R835,LEN(R835)-LEN(S835)-1)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153.8082191780822</v>
      </c>
      <c r="G836" t="s">
        <v>20</v>
      </c>
      <c r="H836" s="7">
        <f t="shared" ref="H836:H899" si="82">E836/I836</f>
        <v>94.352941176470594</v>
      </c>
      <c r="I836">
        <v>119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79"/>
        <v>41448.208333333336</v>
      </c>
      <c r="O836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ref="S836:S899" si="83">LEFT(R836,FIND("/",R836)-1)</f>
        <v>theater</v>
      </c>
      <c r="T836" t="str">
        <f t="shared" si="81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89.738979118329468</v>
      </c>
      <c r="G837" t="s">
        <v>14</v>
      </c>
      <c r="H837" s="7">
        <f t="shared" si="82"/>
        <v>44.001706484641637</v>
      </c>
      <c r="I837">
        <v>1758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79"/>
        <v>42063.25</v>
      </c>
      <c r="O837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3"/>
        <v>technology</v>
      </c>
      <c r="T837" t="str">
        <f t="shared" si="81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75.135802469135797</v>
      </c>
      <c r="G838" t="s">
        <v>14</v>
      </c>
      <c r="H838" s="7">
        <f t="shared" si="82"/>
        <v>64.744680851063833</v>
      </c>
      <c r="I838">
        <v>94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79"/>
        <v>40214.25</v>
      </c>
      <c r="O838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3"/>
        <v>music</v>
      </c>
      <c r="T838" t="str">
        <f t="shared" si="81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852.88135593220341</v>
      </c>
      <c r="G839" t="s">
        <v>20</v>
      </c>
      <c r="H839" s="7">
        <f t="shared" si="82"/>
        <v>84.00667779632721</v>
      </c>
      <c r="I839">
        <v>1797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79"/>
        <v>40629.208333333336</v>
      </c>
      <c r="O839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3"/>
        <v>music</v>
      </c>
      <c r="T839" t="str">
        <f t="shared" si="81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138.90625</v>
      </c>
      <c r="G840" t="s">
        <v>20</v>
      </c>
      <c r="H840" s="7">
        <f t="shared" si="82"/>
        <v>34.061302681992338</v>
      </c>
      <c r="I840">
        <v>261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79"/>
        <v>43370.208333333328</v>
      </c>
      <c r="O840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3"/>
        <v>theater</v>
      </c>
      <c r="T840" t="str">
        <f t="shared" si="81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190.18181818181819</v>
      </c>
      <c r="G841" t="s">
        <v>20</v>
      </c>
      <c r="H841" s="7">
        <f t="shared" si="82"/>
        <v>93.273885350318466</v>
      </c>
      <c r="I841">
        <v>157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79"/>
        <v>41715.208333333336</v>
      </c>
      <c r="O841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3"/>
        <v>film &amp; video</v>
      </c>
      <c r="T841" t="str">
        <f t="shared" si="81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100.24333619948409</v>
      </c>
      <c r="G842" t="s">
        <v>20</v>
      </c>
      <c r="H842" s="7">
        <f t="shared" si="82"/>
        <v>32.998301726577978</v>
      </c>
      <c r="I842">
        <v>3533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79"/>
        <v>41836.208333333336</v>
      </c>
      <c r="O842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3"/>
        <v>theater</v>
      </c>
      <c r="T842" t="str">
        <f t="shared" si="81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142.75824175824175</v>
      </c>
      <c r="G843" t="s">
        <v>20</v>
      </c>
      <c r="H843" s="7">
        <f t="shared" si="82"/>
        <v>83.812903225806451</v>
      </c>
      <c r="I843">
        <v>155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79"/>
        <v>42419.25</v>
      </c>
      <c r="O843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3"/>
        <v>technology</v>
      </c>
      <c r="T843" t="str">
        <f t="shared" si="81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563.13333333333333</v>
      </c>
      <c r="G844" t="s">
        <v>20</v>
      </c>
      <c r="H844" s="7">
        <f t="shared" si="82"/>
        <v>63.992424242424242</v>
      </c>
      <c r="I844">
        <v>132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79"/>
        <v>43266.208333333328</v>
      </c>
      <c r="O844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3"/>
        <v>technology</v>
      </c>
      <c r="T844" t="str">
        <f t="shared" si="81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30.715909090909086</v>
      </c>
      <c r="G845" t="s">
        <v>14</v>
      </c>
      <c r="H845" s="7">
        <f t="shared" si="82"/>
        <v>81.909090909090907</v>
      </c>
      <c r="I845">
        <v>33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79"/>
        <v>43338.208333333328</v>
      </c>
      <c r="O845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3"/>
        <v>photography</v>
      </c>
      <c r="T845" t="str">
        <f t="shared" si="81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99.39772727272728</v>
      </c>
      <c r="G846" t="s">
        <v>74</v>
      </c>
      <c r="H846" s="7">
        <f t="shared" si="82"/>
        <v>93.053191489361708</v>
      </c>
      <c r="I846">
        <v>94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79"/>
        <v>40930.25</v>
      </c>
      <c r="O846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3"/>
        <v>film &amp; video</v>
      </c>
      <c r="T846" t="str">
        <f t="shared" si="81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197.54935622317598</v>
      </c>
      <c r="G847" t="s">
        <v>20</v>
      </c>
      <c r="H847" s="7">
        <f t="shared" si="82"/>
        <v>101.98449039881831</v>
      </c>
      <c r="I847">
        <v>1354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79"/>
        <v>43235.208333333328</v>
      </c>
      <c r="O847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3"/>
        <v>technology</v>
      </c>
      <c r="T847" t="str">
        <f t="shared" si="81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508.5</v>
      </c>
      <c r="G848" t="s">
        <v>20</v>
      </c>
      <c r="H848" s="7">
        <f t="shared" si="82"/>
        <v>105.9375</v>
      </c>
      <c r="I848">
        <v>48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79"/>
        <v>43302.208333333328</v>
      </c>
      <c r="O848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3"/>
        <v>technology</v>
      </c>
      <c r="T848" t="str">
        <f t="shared" si="81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237.74468085106383</v>
      </c>
      <c r="G849" t="s">
        <v>20</v>
      </c>
      <c r="H849" s="7">
        <f t="shared" si="82"/>
        <v>101.58181818181818</v>
      </c>
      <c r="I849">
        <v>110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79"/>
        <v>43107.25</v>
      </c>
      <c r="O849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3"/>
        <v>food</v>
      </c>
      <c r="T849" t="str">
        <f t="shared" si="81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338.46875</v>
      </c>
      <c r="G850" t="s">
        <v>20</v>
      </c>
      <c r="H850" s="7">
        <f t="shared" si="82"/>
        <v>62.970930232558139</v>
      </c>
      <c r="I850">
        <v>172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79"/>
        <v>40341.208333333336</v>
      </c>
      <c r="O850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3"/>
        <v>film &amp; video</v>
      </c>
      <c r="T850" t="str">
        <f t="shared" si="81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133.08955223880596</v>
      </c>
      <c r="G851" t="s">
        <v>20</v>
      </c>
      <c r="H851" s="7">
        <f t="shared" si="82"/>
        <v>29.045602605863191</v>
      </c>
      <c r="I851">
        <v>307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79"/>
        <v>40948.25</v>
      </c>
      <c r="O851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3"/>
        <v>music</v>
      </c>
      <c r="T851" t="str">
        <f t="shared" si="81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1</v>
      </c>
      <c r="G852" t="s">
        <v>14</v>
      </c>
      <c r="H852" s="7">
        <f t="shared" si="82"/>
        <v>1</v>
      </c>
      <c r="I852"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79"/>
        <v>40866.25</v>
      </c>
      <c r="O852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3"/>
        <v>music</v>
      </c>
      <c r="T852" t="str">
        <f t="shared" si="81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207.79999999999998</v>
      </c>
      <c r="G853" t="s">
        <v>20</v>
      </c>
      <c r="H853" s="7">
        <f t="shared" si="82"/>
        <v>77.924999999999997</v>
      </c>
      <c r="I853">
        <v>160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79"/>
        <v>41031.208333333336</v>
      </c>
      <c r="O853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3"/>
        <v>music</v>
      </c>
      <c r="T853" t="str">
        <f t="shared" si="81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51.122448979591837</v>
      </c>
      <c r="G854" t="s">
        <v>14</v>
      </c>
      <c r="H854" s="7">
        <f t="shared" si="82"/>
        <v>80.806451612903231</v>
      </c>
      <c r="I854">
        <v>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79"/>
        <v>40740.208333333336</v>
      </c>
      <c r="O854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3"/>
        <v>games</v>
      </c>
      <c r="T854" t="str">
        <f t="shared" si="81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652.05847953216369</v>
      </c>
      <c r="G855" t="s">
        <v>20</v>
      </c>
      <c r="H855" s="7">
        <f t="shared" si="82"/>
        <v>76.006816632583508</v>
      </c>
      <c r="I855">
        <v>1467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79"/>
        <v>40714.208333333336</v>
      </c>
      <c r="O855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3"/>
        <v>music</v>
      </c>
      <c r="T855" t="str">
        <f t="shared" si="81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113.63099415204678</v>
      </c>
      <c r="G856" t="s">
        <v>20</v>
      </c>
      <c r="H856" s="7">
        <f t="shared" si="82"/>
        <v>72.993613824192337</v>
      </c>
      <c r="I856">
        <v>2662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79"/>
        <v>43787.25</v>
      </c>
      <c r="O856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3"/>
        <v>publishing</v>
      </c>
      <c r="T856" t="str">
        <f t="shared" si="81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102.37606837606839</v>
      </c>
      <c r="G857" t="s">
        <v>20</v>
      </c>
      <c r="H857" s="7">
        <f t="shared" si="82"/>
        <v>53</v>
      </c>
      <c r="I857">
        <v>452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79"/>
        <v>40712.208333333336</v>
      </c>
      <c r="O857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3"/>
        <v>theater</v>
      </c>
      <c r="T857" t="str">
        <f t="shared" si="81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356.58333333333331</v>
      </c>
      <c r="G858" t="s">
        <v>20</v>
      </c>
      <c r="H858" s="7">
        <f t="shared" si="82"/>
        <v>54.164556962025316</v>
      </c>
      <c r="I858">
        <v>158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79"/>
        <v>41023.208333333336</v>
      </c>
      <c r="O858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3"/>
        <v>food</v>
      </c>
      <c r="T858" t="str">
        <f t="shared" si="81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139.86792452830187</v>
      </c>
      <c r="G859" t="s">
        <v>20</v>
      </c>
      <c r="H859" s="7">
        <f t="shared" si="82"/>
        <v>32.946666666666665</v>
      </c>
      <c r="I859">
        <v>225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79"/>
        <v>40944.25</v>
      </c>
      <c r="O859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3"/>
        <v>film &amp; video</v>
      </c>
      <c r="T859" t="str">
        <f t="shared" si="81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69.45</v>
      </c>
      <c r="G860" t="s">
        <v>14</v>
      </c>
      <c r="H860" s="7">
        <f t="shared" si="82"/>
        <v>79.371428571428567</v>
      </c>
      <c r="I860">
        <v>35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79"/>
        <v>43211.208333333328</v>
      </c>
      <c r="O860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3"/>
        <v>food</v>
      </c>
      <c r="T860" t="str">
        <f t="shared" si="81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35.534246575342465</v>
      </c>
      <c r="G861" t="s">
        <v>14</v>
      </c>
      <c r="H861" s="7">
        <f t="shared" si="82"/>
        <v>41.174603174603178</v>
      </c>
      <c r="I861">
        <v>63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79"/>
        <v>41334.25</v>
      </c>
      <c r="O861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3"/>
        <v>theater</v>
      </c>
      <c r="T861" t="str">
        <f t="shared" si="81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251.65</v>
      </c>
      <c r="G862" t="s">
        <v>20</v>
      </c>
      <c r="H862" s="7">
        <f t="shared" si="82"/>
        <v>77.430769230769229</v>
      </c>
      <c r="I862">
        <v>65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79"/>
        <v>43515.25</v>
      </c>
      <c r="O862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3"/>
        <v>technology</v>
      </c>
      <c r="T862" t="str">
        <f t="shared" si="81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105.87500000000001</v>
      </c>
      <c r="G863" t="s">
        <v>20</v>
      </c>
      <c r="H863" s="7">
        <f t="shared" si="82"/>
        <v>57.159509202453989</v>
      </c>
      <c r="I863">
        <v>163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79"/>
        <v>40258.208333333336</v>
      </c>
      <c r="O863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3"/>
        <v>theater</v>
      </c>
      <c r="T863" t="str">
        <f t="shared" si="81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187.42857142857144</v>
      </c>
      <c r="G864" t="s">
        <v>20</v>
      </c>
      <c r="H864" s="7">
        <f t="shared" si="82"/>
        <v>77.17647058823529</v>
      </c>
      <c r="I864">
        <v>85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79"/>
        <v>40756.208333333336</v>
      </c>
      <c r="O864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3"/>
        <v>theater</v>
      </c>
      <c r="T864" t="str">
        <f t="shared" si="81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386.78571428571428</v>
      </c>
      <c r="G865" t="s">
        <v>20</v>
      </c>
      <c r="H865" s="7">
        <f t="shared" si="82"/>
        <v>24.953917050691246</v>
      </c>
      <c r="I865">
        <v>217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79"/>
        <v>42172.208333333328</v>
      </c>
      <c r="O865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3"/>
        <v>film &amp; video</v>
      </c>
      <c r="T865" t="str">
        <f t="shared" si="81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347.07142857142856</v>
      </c>
      <c r="G866" t="s">
        <v>20</v>
      </c>
      <c r="H866" s="7">
        <f t="shared" si="82"/>
        <v>97.18</v>
      </c>
      <c r="I866">
        <v>150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79"/>
        <v>42601.208333333328</v>
      </c>
      <c r="O866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3"/>
        <v>film &amp; video</v>
      </c>
      <c r="T866" t="str">
        <f t="shared" si="81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185.82098765432099</v>
      </c>
      <c r="G867" t="s">
        <v>20</v>
      </c>
      <c r="H867" s="7">
        <f t="shared" si="82"/>
        <v>46.000916870415651</v>
      </c>
      <c r="I867">
        <v>3272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79"/>
        <v>41897.208333333336</v>
      </c>
      <c r="O867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3"/>
        <v>theater</v>
      </c>
      <c r="T867" t="str">
        <f t="shared" si="81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43.241247264770237</v>
      </c>
      <c r="G868" t="s">
        <v>74</v>
      </c>
      <c r="H868" s="7">
        <f t="shared" si="82"/>
        <v>88.023385300668153</v>
      </c>
      <c r="I868">
        <v>898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79"/>
        <v>40671.208333333336</v>
      </c>
      <c r="O868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3"/>
        <v>photography</v>
      </c>
      <c r="T868" t="str">
        <f t="shared" si="81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162.4375</v>
      </c>
      <c r="G869" t="s">
        <v>20</v>
      </c>
      <c r="H869" s="7">
        <f t="shared" si="82"/>
        <v>25.99</v>
      </c>
      <c r="I869">
        <v>300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79"/>
        <v>43382.208333333328</v>
      </c>
      <c r="O869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3"/>
        <v>food</v>
      </c>
      <c r="T869" t="str">
        <f t="shared" si="81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184.84285714285716</v>
      </c>
      <c r="G870" t="s">
        <v>20</v>
      </c>
      <c r="H870" s="7">
        <f t="shared" si="82"/>
        <v>102.69047619047619</v>
      </c>
      <c r="I870">
        <v>126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79"/>
        <v>41559.208333333336</v>
      </c>
      <c r="O870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3"/>
        <v>theater</v>
      </c>
      <c r="T870" t="str">
        <f t="shared" si="81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23.703520691785052</v>
      </c>
      <c r="G871" t="s">
        <v>14</v>
      </c>
      <c r="H871" s="7">
        <f t="shared" si="82"/>
        <v>72.958174904942965</v>
      </c>
      <c r="I871">
        <v>526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79"/>
        <v>40350.208333333336</v>
      </c>
      <c r="O871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3"/>
        <v>film &amp; video</v>
      </c>
      <c r="T871" t="str">
        <f t="shared" si="81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89.870129870129873</v>
      </c>
      <c r="G872" t="s">
        <v>14</v>
      </c>
      <c r="H872" s="7">
        <f t="shared" si="82"/>
        <v>57.190082644628099</v>
      </c>
      <c r="I872">
        <v>121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79"/>
        <v>42240.208333333328</v>
      </c>
      <c r="O872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3"/>
        <v>theater</v>
      </c>
      <c r="T872" t="str">
        <f t="shared" si="81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272.6041958041958</v>
      </c>
      <c r="G873" t="s">
        <v>20</v>
      </c>
      <c r="H873" s="7">
        <f t="shared" si="82"/>
        <v>84.013793103448279</v>
      </c>
      <c r="I873">
        <v>2320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79"/>
        <v>43040.208333333328</v>
      </c>
      <c r="O873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3"/>
        <v>theater</v>
      </c>
      <c r="T873" t="str">
        <f t="shared" si="81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170.04255319148936</v>
      </c>
      <c r="G874" t="s">
        <v>20</v>
      </c>
      <c r="H874" s="7">
        <f t="shared" si="82"/>
        <v>98.666666666666671</v>
      </c>
      <c r="I874">
        <v>81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79"/>
        <v>43346.208333333328</v>
      </c>
      <c r="O874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3"/>
        <v>film &amp; video</v>
      </c>
      <c r="T874" t="str">
        <f t="shared" si="81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188.28503562945369</v>
      </c>
      <c r="G875" t="s">
        <v>20</v>
      </c>
      <c r="H875" s="7">
        <f t="shared" si="82"/>
        <v>42.007419183889773</v>
      </c>
      <c r="I875">
        <v>1887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79"/>
        <v>41647.25</v>
      </c>
      <c r="O875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3"/>
        <v>photography</v>
      </c>
      <c r="T875" t="str">
        <f t="shared" si="81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346.93532338308455</v>
      </c>
      <c r="G876" t="s">
        <v>20</v>
      </c>
      <c r="H876" s="7">
        <f t="shared" si="82"/>
        <v>32.002753556677376</v>
      </c>
      <c r="I876">
        <v>4358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79"/>
        <v>40291.208333333336</v>
      </c>
      <c r="O876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3"/>
        <v>photography</v>
      </c>
      <c r="T876" t="str">
        <f t="shared" si="81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69.177215189873422</v>
      </c>
      <c r="G877" t="s">
        <v>14</v>
      </c>
      <c r="H877" s="7">
        <f t="shared" si="82"/>
        <v>81.567164179104481</v>
      </c>
      <c r="I877">
        <v>67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79"/>
        <v>40556.25</v>
      </c>
      <c r="O877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3"/>
        <v>music</v>
      </c>
      <c r="T877" t="str">
        <f t="shared" si="81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25.433734939759034</v>
      </c>
      <c r="G878" t="s">
        <v>14</v>
      </c>
      <c r="H878" s="7">
        <f t="shared" si="82"/>
        <v>37.035087719298247</v>
      </c>
      <c r="I878">
        <v>57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79"/>
        <v>43624.208333333328</v>
      </c>
      <c r="O878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3"/>
        <v>photography</v>
      </c>
      <c r="T878" t="str">
        <f t="shared" si="81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77.400977995110026</v>
      </c>
      <c r="G879" t="s">
        <v>14</v>
      </c>
      <c r="H879" s="7">
        <f t="shared" si="82"/>
        <v>103.033360455655</v>
      </c>
      <c r="I879">
        <v>1229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79"/>
        <v>42577.208333333328</v>
      </c>
      <c r="O879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3"/>
        <v>food</v>
      </c>
      <c r="T879" t="str">
        <f t="shared" si="81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37.481481481481481</v>
      </c>
      <c r="G880" t="s">
        <v>14</v>
      </c>
      <c r="H880" s="7">
        <f t="shared" si="82"/>
        <v>84.333333333333329</v>
      </c>
      <c r="I880">
        <v>12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79"/>
        <v>43845.25</v>
      </c>
      <c r="O880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3"/>
        <v>music</v>
      </c>
      <c r="T880" t="str">
        <f t="shared" si="81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543.79999999999995</v>
      </c>
      <c r="G881" t="s">
        <v>20</v>
      </c>
      <c r="H881" s="7">
        <f t="shared" si="82"/>
        <v>102.60377358490567</v>
      </c>
      <c r="I881">
        <v>53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79"/>
        <v>42788.25</v>
      </c>
      <c r="O881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3"/>
        <v>publishing</v>
      </c>
      <c r="T881" t="str">
        <f t="shared" si="81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228.52189349112427</v>
      </c>
      <c r="G882" t="s">
        <v>20</v>
      </c>
      <c r="H882" s="7">
        <f t="shared" si="82"/>
        <v>79.992129246064621</v>
      </c>
      <c r="I882">
        <v>2414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79"/>
        <v>43667.208333333328</v>
      </c>
      <c r="O882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3"/>
        <v>music</v>
      </c>
      <c r="T882" t="str">
        <f t="shared" si="81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38.948339483394832</v>
      </c>
      <c r="G883" t="s">
        <v>14</v>
      </c>
      <c r="H883" s="7">
        <f t="shared" si="82"/>
        <v>70.055309734513273</v>
      </c>
      <c r="I883">
        <v>452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79"/>
        <v>42194.208333333328</v>
      </c>
      <c r="O883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3"/>
        <v>theater</v>
      </c>
      <c r="T883" t="str">
        <f t="shared" si="81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370</v>
      </c>
      <c r="G884" t="s">
        <v>20</v>
      </c>
      <c r="H884" s="7">
        <f t="shared" si="82"/>
        <v>37</v>
      </c>
      <c r="I884">
        <v>80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79"/>
        <v>42025.25</v>
      </c>
      <c r="O884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3"/>
        <v>theater</v>
      </c>
      <c r="T884" t="str">
        <f t="shared" si="81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237.91176470588232</v>
      </c>
      <c r="G885" t="s">
        <v>20</v>
      </c>
      <c r="H885" s="7">
        <f t="shared" si="82"/>
        <v>41.911917098445599</v>
      </c>
      <c r="I885">
        <v>193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79"/>
        <v>40323.208333333336</v>
      </c>
      <c r="O885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3"/>
        <v>film &amp; video</v>
      </c>
      <c r="T885" t="str">
        <f t="shared" si="81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64.036299765807954</v>
      </c>
      <c r="G886" t="s">
        <v>14</v>
      </c>
      <c r="H886" s="7">
        <f t="shared" si="82"/>
        <v>57.992576882290564</v>
      </c>
      <c r="I886">
        <v>1886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79"/>
        <v>41763.208333333336</v>
      </c>
      <c r="O886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3"/>
        <v>theater</v>
      </c>
      <c r="T886" t="str">
        <f t="shared" si="81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118.27777777777777</v>
      </c>
      <c r="G887" t="s">
        <v>20</v>
      </c>
      <c r="H887" s="7">
        <f t="shared" si="82"/>
        <v>40.942307692307693</v>
      </c>
      <c r="I887">
        <v>52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79"/>
        <v>40335.208333333336</v>
      </c>
      <c r="O887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3"/>
        <v>theater</v>
      </c>
      <c r="T887" t="str">
        <f t="shared" si="81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84.824037184594957</v>
      </c>
      <c r="G888" t="s">
        <v>14</v>
      </c>
      <c r="H888" s="7">
        <f t="shared" si="82"/>
        <v>69.9972602739726</v>
      </c>
      <c r="I888">
        <v>1825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79"/>
        <v>40416.208333333336</v>
      </c>
      <c r="O888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3"/>
        <v>music</v>
      </c>
      <c r="T888" t="str">
        <f t="shared" si="81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29.346153846153843</v>
      </c>
      <c r="G889" t="s">
        <v>14</v>
      </c>
      <c r="H889" s="7">
        <f t="shared" si="82"/>
        <v>73.838709677419359</v>
      </c>
      <c r="I889">
        <v>31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79"/>
        <v>42202.208333333328</v>
      </c>
      <c r="O889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3"/>
        <v>theater</v>
      </c>
      <c r="T889" t="str">
        <f t="shared" si="81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209.89655172413794</v>
      </c>
      <c r="G890" t="s">
        <v>20</v>
      </c>
      <c r="H890" s="7">
        <f t="shared" si="82"/>
        <v>41.979310344827589</v>
      </c>
      <c r="I890">
        <v>290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79"/>
        <v>42836.208333333328</v>
      </c>
      <c r="O890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3"/>
        <v>theater</v>
      </c>
      <c r="T890" t="str">
        <f t="shared" si="81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169.78571428571431</v>
      </c>
      <c r="G891" t="s">
        <v>20</v>
      </c>
      <c r="H891" s="7">
        <f t="shared" si="82"/>
        <v>77.93442622950819</v>
      </c>
      <c r="I891">
        <v>122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79"/>
        <v>41710.208333333336</v>
      </c>
      <c r="O891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3"/>
        <v>music</v>
      </c>
      <c r="T891" t="str">
        <f t="shared" si="81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115.95907738095239</v>
      </c>
      <c r="G892" t="s">
        <v>20</v>
      </c>
      <c r="H892" s="7">
        <f t="shared" si="82"/>
        <v>106.01972789115646</v>
      </c>
      <c r="I892">
        <v>1470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79"/>
        <v>43640.208333333328</v>
      </c>
      <c r="O892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3"/>
        <v>music</v>
      </c>
      <c r="T892" t="str">
        <f t="shared" si="81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258.59999999999997</v>
      </c>
      <c r="G893" t="s">
        <v>20</v>
      </c>
      <c r="H893" s="7">
        <f t="shared" si="82"/>
        <v>47.018181818181816</v>
      </c>
      <c r="I893">
        <v>165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79"/>
        <v>40880.25</v>
      </c>
      <c r="O893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3"/>
        <v>film &amp; video</v>
      </c>
      <c r="T893" t="str">
        <f t="shared" si="81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230.58333333333331</v>
      </c>
      <c r="G894" t="s">
        <v>20</v>
      </c>
      <c r="H894" s="7">
        <f t="shared" si="82"/>
        <v>76.016483516483518</v>
      </c>
      <c r="I894">
        <v>182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79"/>
        <v>40319.208333333336</v>
      </c>
      <c r="O894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3"/>
        <v>publishing</v>
      </c>
      <c r="T894" t="str">
        <f t="shared" si="81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128.21428571428572</v>
      </c>
      <c r="G895" t="s">
        <v>20</v>
      </c>
      <c r="H895" s="7">
        <f t="shared" si="82"/>
        <v>54.120603015075375</v>
      </c>
      <c r="I895">
        <v>199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79"/>
        <v>42170.208333333328</v>
      </c>
      <c r="O895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3"/>
        <v>film &amp; video</v>
      </c>
      <c r="T895" t="str">
        <f t="shared" si="81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188.70588235294116</v>
      </c>
      <c r="G896" t="s">
        <v>20</v>
      </c>
      <c r="H896" s="7">
        <f t="shared" si="82"/>
        <v>57.285714285714285</v>
      </c>
      <c r="I896">
        <v>56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79"/>
        <v>41466.208333333336</v>
      </c>
      <c r="O896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3"/>
        <v>film &amp; video</v>
      </c>
      <c r="T896" t="str">
        <f t="shared" si="81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6.9511889862327907</v>
      </c>
      <c r="G897" t="s">
        <v>14</v>
      </c>
      <c r="H897" s="7">
        <f t="shared" si="82"/>
        <v>103.81308411214954</v>
      </c>
      <c r="I897">
        <v>107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79"/>
        <v>43134.25</v>
      </c>
      <c r="O897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3"/>
        <v>theater</v>
      </c>
      <c r="T897" t="str">
        <f t="shared" si="81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ref="F898:F961" si="84">E898/D898*100</f>
        <v>774.43434343434342</v>
      </c>
      <c r="G898" t="s">
        <v>20</v>
      </c>
      <c r="H898" s="7">
        <f t="shared" si="82"/>
        <v>105.02602739726028</v>
      </c>
      <c r="I898">
        <v>1460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79"/>
        <v>40738.208333333336</v>
      </c>
      <c r="O898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3"/>
        <v>food</v>
      </c>
      <c r="T898" t="str">
        <f t="shared" si="81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84"/>
        <v>27.693181818181817</v>
      </c>
      <c r="G899" t="s">
        <v>14</v>
      </c>
      <c r="H899" s="7">
        <f t="shared" si="82"/>
        <v>90.259259259259252</v>
      </c>
      <c r="I899">
        <v>27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N962" si="85">(((L899/60)/60)/24)+DATE(1970,1,1)</f>
        <v>43583.208333333328</v>
      </c>
      <c r="O899">
        <f t="shared" ref="O899:O962" si="86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si="83"/>
        <v>theater</v>
      </c>
      <c r="T899" t="str">
        <f t="shared" ref="T899:T962" si="87">RIGHT(R899,LEN(R899)-LEN(S899)-1)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52.479620323841424</v>
      </c>
      <c r="G900" t="s">
        <v>14</v>
      </c>
      <c r="H900" s="7">
        <f t="shared" ref="H900:H963" si="88">E900/I900</f>
        <v>76.978705978705975</v>
      </c>
      <c r="I900">
        <v>1221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85"/>
        <v>43815.25</v>
      </c>
      <c r="O900">
        <f t="shared" si="86"/>
        <v>43821.25</v>
      </c>
      <c r="P900" t="b">
        <v>0</v>
      </c>
      <c r="Q900" t="b">
        <v>0</v>
      </c>
      <c r="R900" t="s">
        <v>42</v>
      </c>
      <c r="S900" t="str">
        <f t="shared" ref="S900:S963" si="89">LEFT(R900,FIND("/",R900)-1)</f>
        <v>film &amp; video</v>
      </c>
      <c r="T900" t="str">
        <f t="shared" si="87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407.09677419354841</v>
      </c>
      <c r="G901" t="s">
        <v>20</v>
      </c>
      <c r="H901" s="7">
        <f t="shared" si="88"/>
        <v>102.60162601626017</v>
      </c>
      <c r="I901">
        <v>123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85"/>
        <v>41554.208333333336</v>
      </c>
      <c r="O901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9"/>
        <v>music</v>
      </c>
      <c r="T901" t="str">
        <f t="shared" si="87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2</v>
      </c>
      <c r="G902" t="s">
        <v>14</v>
      </c>
      <c r="H902" s="7">
        <f t="shared" si="88"/>
        <v>2</v>
      </c>
      <c r="I902">
        <v>1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85"/>
        <v>41901.208333333336</v>
      </c>
      <c r="O902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9"/>
        <v>technology</v>
      </c>
      <c r="T902" t="str">
        <f t="shared" si="87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156.17857142857144</v>
      </c>
      <c r="G903" t="s">
        <v>20</v>
      </c>
      <c r="H903" s="7">
        <f t="shared" si="88"/>
        <v>55.0062893081761</v>
      </c>
      <c r="I903">
        <v>159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85"/>
        <v>43298.208333333328</v>
      </c>
      <c r="O903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9"/>
        <v>music</v>
      </c>
      <c r="T903" t="str">
        <f t="shared" si="87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252.42857142857144</v>
      </c>
      <c r="G904" t="s">
        <v>20</v>
      </c>
      <c r="H904" s="7">
        <f t="shared" si="88"/>
        <v>32.127272727272725</v>
      </c>
      <c r="I904">
        <v>110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85"/>
        <v>42399.25</v>
      </c>
      <c r="O904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9"/>
        <v>technology</v>
      </c>
      <c r="T904" t="str">
        <f t="shared" si="87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</v>
      </c>
      <c r="G905" t="s">
        <v>47</v>
      </c>
      <c r="H905" s="7">
        <f t="shared" si="88"/>
        <v>50.642857142857146</v>
      </c>
      <c r="I905">
        <v>14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85"/>
        <v>41034.208333333336</v>
      </c>
      <c r="O905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9"/>
        <v>publishing</v>
      </c>
      <c r="T905" t="str">
        <f t="shared" si="87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12.230769230769232</v>
      </c>
      <c r="G906" t="s">
        <v>14</v>
      </c>
      <c r="H906" s="7">
        <f t="shared" si="88"/>
        <v>49.6875</v>
      </c>
      <c r="I906">
        <v>16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85"/>
        <v>41186.208333333336</v>
      </c>
      <c r="O906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9"/>
        <v>publishing</v>
      </c>
      <c r="T906" t="str">
        <f t="shared" si="87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163.98734177215189</v>
      </c>
      <c r="G907" t="s">
        <v>20</v>
      </c>
      <c r="H907" s="7">
        <f t="shared" si="88"/>
        <v>54.894067796610166</v>
      </c>
      <c r="I907">
        <v>236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85"/>
        <v>41536.208333333336</v>
      </c>
      <c r="O907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9"/>
        <v>theater</v>
      </c>
      <c r="T907" t="str">
        <f t="shared" si="87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162.98181818181817</v>
      </c>
      <c r="G908" t="s">
        <v>20</v>
      </c>
      <c r="H908" s="7">
        <f t="shared" si="88"/>
        <v>46.931937172774866</v>
      </c>
      <c r="I908">
        <v>191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85"/>
        <v>42868.208333333328</v>
      </c>
      <c r="O908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9"/>
        <v>film &amp; video</v>
      </c>
      <c r="T908" t="str">
        <f t="shared" si="87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20.252747252747252</v>
      </c>
      <c r="G909" t="s">
        <v>14</v>
      </c>
      <c r="H909" s="7">
        <f t="shared" si="88"/>
        <v>44.951219512195124</v>
      </c>
      <c r="I909">
        <v>41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85"/>
        <v>40660.208333333336</v>
      </c>
      <c r="O909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9"/>
        <v>theater</v>
      </c>
      <c r="T909" t="str">
        <f t="shared" si="87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319.24083769633506</v>
      </c>
      <c r="G910" t="s">
        <v>20</v>
      </c>
      <c r="H910" s="7">
        <f t="shared" si="88"/>
        <v>30.99898322318251</v>
      </c>
      <c r="I910">
        <v>3934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85"/>
        <v>41031.208333333336</v>
      </c>
      <c r="O910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9"/>
        <v>games</v>
      </c>
      <c r="T910" t="str">
        <f t="shared" si="87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478.94444444444446</v>
      </c>
      <c r="G911" t="s">
        <v>20</v>
      </c>
      <c r="H911" s="7">
        <f t="shared" si="88"/>
        <v>107.7625</v>
      </c>
      <c r="I911">
        <v>80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85"/>
        <v>43255.208333333328</v>
      </c>
      <c r="O911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9"/>
        <v>theater</v>
      </c>
      <c r="T911" t="str">
        <f t="shared" si="87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19.556634304207122</v>
      </c>
      <c r="G912" t="s">
        <v>74</v>
      </c>
      <c r="H912" s="7">
        <f t="shared" si="88"/>
        <v>102.07770270270271</v>
      </c>
      <c r="I912">
        <v>296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85"/>
        <v>42026.25</v>
      </c>
      <c r="O912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9"/>
        <v>theater</v>
      </c>
      <c r="T912" t="str">
        <f t="shared" si="87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198.94827586206895</v>
      </c>
      <c r="G913" t="s">
        <v>20</v>
      </c>
      <c r="H913" s="7">
        <f t="shared" si="88"/>
        <v>24.976190476190474</v>
      </c>
      <c r="I913">
        <v>462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85"/>
        <v>43717.208333333328</v>
      </c>
      <c r="O913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9"/>
        <v>technology</v>
      </c>
      <c r="T913" t="str">
        <f t="shared" si="87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795</v>
      </c>
      <c r="G914" t="s">
        <v>20</v>
      </c>
      <c r="H914" s="7">
        <f t="shared" si="88"/>
        <v>79.944134078212286</v>
      </c>
      <c r="I914">
        <v>179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85"/>
        <v>41157.208333333336</v>
      </c>
      <c r="O914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9"/>
        <v>film &amp; video</v>
      </c>
      <c r="T914" t="str">
        <f t="shared" si="87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50.621082621082621</v>
      </c>
      <c r="G915" t="s">
        <v>14</v>
      </c>
      <c r="H915" s="7">
        <f t="shared" si="88"/>
        <v>67.946462715105156</v>
      </c>
      <c r="I915">
        <v>523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85"/>
        <v>43597.208333333328</v>
      </c>
      <c r="O915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9"/>
        <v>film &amp; video</v>
      </c>
      <c r="T915" t="str">
        <f t="shared" si="87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57.4375</v>
      </c>
      <c r="G916" t="s">
        <v>14</v>
      </c>
      <c r="H916" s="7">
        <f t="shared" si="88"/>
        <v>26.070921985815602</v>
      </c>
      <c r="I916">
        <v>141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85"/>
        <v>41490.208333333336</v>
      </c>
      <c r="O916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9"/>
        <v>theater</v>
      </c>
      <c r="T916" t="str">
        <f t="shared" si="87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155.62827640984909</v>
      </c>
      <c r="G917" t="s">
        <v>20</v>
      </c>
      <c r="H917" s="7">
        <f t="shared" si="88"/>
        <v>105.0032154340836</v>
      </c>
      <c r="I917">
        <v>1866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85"/>
        <v>42976.208333333328</v>
      </c>
      <c r="O917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9"/>
        <v>film &amp; video</v>
      </c>
      <c r="T917" t="str">
        <f t="shared" si="87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36.297297297297298</v>
      </c>
      <c r="G918" t="s">
        <v>14</v>
      </c>
      <c r="H918" s="7">
        <f t="shared" si="88"/>
        <v>25.826923076923077</v>
      </c>
      <c r="I918">
        <v>52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85"/>
        <v>41991.25</v>
      </c>
      <c r="O918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9"/>
        <v>photography</v>
      </c>
      <c r="T918" t="str">
        <f t="shared" si="87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58.25</v>
      </c>
      <c r="G919" t="s">
        <v>47</v>
      </c>
      <c r="H919" s="7">
        <f t="shared" si="88"/>
        <v>77.666666666666671</v>
      </c>
      <c r="I919">
        <v>27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85"/>
        <v>40722.208333333336</v>
      </c>
      <c r="O919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9"/>
        <v>film &amp; video</v>
      </c>
      <c r="T919" t="str">
        <f t="shared" si="87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237.39473684210526</v>
      </c>
      <c r="G920" t="s">
        <v>20</v>
      </c>
      <c r="H920" s="7">
        <f t="shared" si="88"/>
        <v>57.82692307692308</v>
      </c>
      <c r="I920">
        <v>156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85"/>
        <v>41117.208333333336</v>
      </c>
      <c r="O920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9"/>
        <v>publishing</v>
      </c>
      <c r="T920" t="str">
        <f t="shared" si="87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58.75</v>
      </c>
      <c r="G921" t="s">
        <v>14</v>
      </c>
      <c r="H921" s="7">
        <f t="shared" si="88"/>
        <v>92.955555555555549</v>
      </c>
      <c r="I921">
        <v>225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85"/>
        <v>43022.208333333328</v>
      </c>
      <c r="O921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9"/>
        <v>theater</v>
      </c>
      <c r="T921" t="str">
        <f t="shared" si="87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182.56603773584905</v>
      </c>
      <c r="G922" t="s">
        <v>20</v>
      </c>
      <c r="H922" s="7">
        <f t="shared" si="88"/>
        <v>37.945098039215686</v>
      </c>
      <c r="I922">
        <v>255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85"/>
        <v>43503.25</v>
      </c>
      <c r="O922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9"/>
        <v>film &amp; video</v>
      </c>
      <c r="T922" t="str">
        <f t="shared" si="87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0.75436408977556113</v>
      </c>
      <c r="G923" t="s">
        <v>14</v>
      </c>
      <c r="H923" s="7">
        <f t="shared" si="88"/>
        <v>31.842105263157894</v>
      </c>
      <c r="I923">
        <v>38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85"/>
        <v>40951.25</v>
      </c>
      <c r="O923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9"/>
        <v>technology</v>
      </c>
      <c r="T923" t="str">
        <f t="shared" si="87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175.95330739299609</v>
      </c>
      <c r="G924" t="s">
        <v>20</v>
      </c>
      <c r="H924" s="7">
        <f t="shared" si="88"/>
        <v>40</v>
      </c>
      <c r="I924">
        <v>2261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85"/>
        <v>43443.25</v>
      </c>
      <c r="O924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9"/>
        <v>music</v>
      </c>
      <c r="T924" t="str">
        <f t="shared" si="87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237.88235294117646</v>
      </c>
      <c r="G925" t="s">
        <v>20</v>
      </c>
      <c r="H925" s="7">
        <f t="shared" si="88"/>
        <v>101.1</v>
      </c>
      <c r="I925">
        <v>40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85"/>
        <v>40373.208333333336</v>
      </c>
      <c r="O925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9"/>
        <v>theater</v>
      </c>
      <c r="T925" t="str">
        <f t="shared" si="87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488.05076142131981</v>
      </c>
      <c r="G926" t="s">
        <v>20</v>
      </c>
      <c r="H926" s="7">
        <f t="shared" si="88"/>
        <v>84.006989951944078</v>
      </c>
      <c r="I926">
        <v>2289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85"/>
        <v>43769.208333333328</v>
      </c>
      <c r="O926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9"/>
        <v>theater</v>
      </c>
      <c r="T926" t="str">
        <f t="shared" si="87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224.06666666666669</v>
      </c>
      <c r="G927" t="s">
        <v>20</v>
      </c>
      <c r="H927" s="7">
        <f t="shared" si="88"/>
        <v>103.41538461538461</v>
      </c>
      <c r="I927">
        <v>65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85"/>
        <v>43000.208333333328</v>
      </c>
      <c r="O927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9"/>
        <v>theater</v>
      </c>
      <c r="T927" t="str">
        <f t="shared" si="87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18.126436781609197</v>
      </c>
      <c r="G928" t="s">
        <v>14</v>
      </c>
      <c r="H928" s="7">
        <f t="shared" si="88"/>
        <v>105.13333333333334</v>
      </c>
      <c r="I928">
        <v>15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85"/>
        <v>42502.208333333328</v>
      </c>
      <c r="O928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9"/>
        <v>food</v>
      </c>
      <c r="T928" t="str">
        <f t="shared" si="87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45.847222222222221</v>
      </c>
      <c r="G929" t="s">
        <v>14</v>
      </c>
      <c r="H929" s="7">
        <f t="shared" si="88"/>
        <v>89.21621621621621</v>
      </c>
      <c r="I929">
        <v>37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85"/>
        <v>41102.208333333336</v>
      </c>
      <c r="O929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9"/>
        <v>theater</v>
      </c>
      <c r="T929" t="str">
        <f t="shared" si="87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117.31541218637993</v>
      </c>
      <c r="G930" t="s">
        <v>20</v>
      </c>
      <c r="H930" s="7">
        <f t="shared" si="88"/>
        <v>51.995234312946785</v>
      </c>
      <c r="I930">
        <v>3777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85"/>
        <v>41637.25</v>
      </c>
      <c r="O930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9"/>
        <v>technology</v>
      </c>
      <c r="T930" t="str">
        <f t="shared" si="87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217.30909090909088</v>
      </c>
      <c r="G931" t="s">
        <v>20</v>
      </c>
      <c r="H931" s="7">
        <f t="shared" si="88"/>
        <v>64.956521739130437</v>
      </c>
      <c r="I931">
        <v>184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85"/>
        <v>42858.208333333328</v>
      </c>
      <c r="O931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9"/>
        <v>theater</v>
      </c>
      <c r="T931" t="str">
        <f t="shared" si="87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112.28571428571428</v>
      </c>
      <c r="G932" t="s">
        <v>20</v>
      </c>
      <c r="H932" s="7">
        <f t="shared" si="88"/>
        <v>46.235294117647058</v>
      </c>
      <c r="I932">
        <v>85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85"/>
        <v>42060.25</v>
      </c>
      <c r="O932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9"/>
        <v>theater</v>
      </c>
      <c r="T932" t="str">
        <f t="shared" si="87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72.51898734177216</v>
      </c>
      <c r="G933" t="s">
        <v>14</v>
      </c>
      <c r="H933" s="7">
        <f t="shared" si="88"/>
        <v>51.151785714285715</v>
      </c>
      <c r="I933">
        <v>112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85"/>
        <v>41818.208333333336</v>
      </c>
      <c r="O933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9"/>
        <v>theater</v>
      </c>
      <c r="T933" t="str">
        <f t="shared" si="87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212.30434782608697</v>
      </c>
      <c r="G934" t="s">
        <v>20</v>
      </c>
      <c r="H934" s="7">
        <f t="shared" si="88"/>
        <v>33.909722222222221</v>
      </c>
      <c r="I934">
        <v>144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85"/>
        <v>41709.208333333336</v>
      </c>
      <c r="O934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9"/>
        <v>music</v>
      </c>
      <c r="T934" t="str">
        <f t="shared" si="87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239.74657534246577</v>
      </c>
      <c r="G935" t="s">
        <v>20</v>
      </c>
      <c r="H935" s="7">
        <f t="shared" si="88"/>
        <v>92.016298633017882</v>
      </c>
      <c r="I935">
        <v>1902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85"/>
        <v>41372.208333333336</v>
      </c>
      <c r="O935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9"/>
        <v>theater</v>
      </c>
      <c r="T935" t="str">
        <f t="shared" si="87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181.93548387096774</v>
      </c>
      <c r="G936" t="s">
        <v>20</v>
      </c>
      <c r="H936" s="7">
        <f t="shared" si="88"/>
        <v>107.42857142857143</v>
      </c>
      <c r="I936">
        <v>105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85"/>
        <v>42422.25</v>
      </c>
      <c r="O936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9"/>
        <v>theater</v>
      </c>
      <c r="T936" t="str">
        <f t="shared" si="87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164.13114754098362</v>
      </c>
      <c r="G937" t="s">
        <v>20</v>
      </c>
      <c r="H937" s="7">
        <f t="shared" si="88"/>
        <v>75.848484848484844</v>
      </c>
      <c r="I937">
        <v>132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85"/>
        <v>42209.208333333328</v>
      </c>
      <c r="O937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9"/>
        <v>theater</v>
      </c>
      <c r="T937" t="str">
        <f t="shared" si="87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1.6375968992248062</v>
      </c>
      <c r="G938" t="s">
        <v>14</v>
      </c>
      <c r="H938" s="7">
        <f t="shared" si="88"/>
        <v>80.476190476190482</v>
      </c>
      <c r="I938">
        <v>21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85"/>
        <v>43668.208333333328</v>
      </c>
      <c r="O938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9"/>
        <v>theater</v>
      </c>
      <c r="T938" t="str">
        <f t="shared" si="87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49.64385964912281</v>
      </c>
      <c r="G939" t="s">
        <v>74</v>
      </c>
      <c r="H939" s="7">
        <f t="shared" si="88"/>
        <v>86.978483606557376</v>
      </c>
      <c r="I939">
        <v>976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85"/>
        <v>42334.25</v>
      </c>
      <c r="O939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9"/>
        <v>film &amp; video</v>
      </c>
      <c r="T939" t="str">
        <f t="shared" si="87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109.70652173913042</v>
      </c>
      <c r="G940" t="s">
        <v>20</v>
      </c>
      <c r="H940" s="7">
        <f t="shared" si="88"/>
        <v>105.13541666666667</v>
      </c>
      <c r="I940">
        <v>96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85"/>
        <v>43263.208333333328</v>
      </c>
      <c r="O940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9"/>
        <v>publishing</v>
      </c>
      <c r="T940" t="str">
        <f t="shared" si="87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49.217948717948715</v>
      </c>
      <c r="G941" t="s">
        <v>14</v>
      </c>
      <c r="H941" s="7">
        <f t="shared" si="88"/>
        <v>57.298507462686565</v>
      </c>
      <c r="I941">
        <v>67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85"/>
        <v>40670.208333333336</v>
      </c>
      <c r="O941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9"/>
        <v>games</v>
      </c>
      <c r="T941" t="str">
        <f t="shared" si="87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62.232323232323225</v>
      </c>
      <c r="G942" t="s">
        <v>47</v>
      </c>
      <c r="H942" s="7">
        <f t="shared" si="88"/>
        <v>93.348484848484844</v>
      </c>
      <c r="I942">
        <v>66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85"/>
        <v>41244.25</v>
      </c>
      <c r="O942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9"/>
        <v>technology</v>
      </c>
      <c r="T942" t="str">
        <f t="shared" si="87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13.05813953488372</v>
      </c>
      <c r="G943" t="s">
        <v>14</v>
      </c>
      <c r="H943" s="7">
        <f t="shared" si="88"/>
        <v>71.987179487179489</v>
      </c>
      <c r="I943">
        <v>78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85"/>
        <v>40552.25</v>
      </c>
      <c r="O943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9"/>
        <v>theater</v>
      </c>
      <c r="T943" t="str">
        <f t="shared" si="87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64.635416666666671</v>
      </c>
      <c r="G944" t="s">
        <v>14</v>
      </c>
      <c r="H944" s="7">
        <f t="shared" si="88"/>
        <v>92.611940298507463</v>
      </c>
      <c r="I944">
        <v>67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85"/>
        <v>40568.25</v>
      </c>
      <c r="O944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9"/>
        <v>theater</v>
      </c>
      <c r="T944" t="str">
        <f t="shared" si="87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159.58666666666667</v>
      </c>
      <c r="G945" t="s">
        <v>20</v>
      </c>
      <c r="H945" s="7">
        <f t="shared" si="88"/>
        <v>104.99122807017544</v>
      </c>
      <c r="I945">
        <v>114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85"/>
        <v>41906.208333333336</v>
      </c>
      <c r="O945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9"/>
        <v>food</v>
      </c>
      <c r="T945" t="str">
        <f t="shared" si="87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81.42</v>
      </c>
      <c r="G946" t="s">
        <v>14</v>
      </c>
      <c r="H946" s="7">
        <f t="shared" si="88"/>
        <v>30.958174904942965</v>
      </c>
      <c r="I946">
        <v>263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85"/>
        <v>42776.25</v>
      </c>
      <c r="O946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9"/>
        <v>photography</v>
      </c>
      <c r="T946" t="str">
        <f t="shared" si="87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32.444767441860463</v>
      </c>
      <c r="G947" t="s">
        <v>14</v>
      </c>
      <c r="H947" s="7">
        <f t="shared" si="88"/>
        <v>33.001182732111175</v>
      </c>
      <c r="I947">
        <v>1691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85"/>
        <v>41004.208333333336</v>
      </c>
      <c r="O947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9"/>
        <v>photography</v>
      </c>
      <c r="T947" t="str">
        <f t="shared" si="87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</v>
      </c>
      <c r="G948" t="s">
        <v>14</v>
      </c>
      <c r="H948" s="7">
        <f t="shared" si="88"/>
        <v>84.187845303867405</v>
      </c>
      <c r="I948">
        <v>181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85"/>
        <v>40710.208333333336</v>
      </c>
      <c r="O948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9"/>
        <v>theater</v>
      </c>
      <c r="T948" t="str">
        <f t="shared" si="87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26.694444444444443</v>
      </c>
      <c r="G949" t="s">
        <v>14</v>
      </c>
      <c r="H949" s="7">
        <f t="shared" si="88"/>
        <v>73.92307692307692</v>
      </c>
      <c r="I949">
        <v>13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85"/>
        <v>41908.208333333336</v>
      </c>
      <c r="O949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9"/>
        <v>theater</v>
      </c>
      <c r="T949" t="str">
        <f t="shared" si="87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62.957446808510639</v>
      </c>
      <c r="G950" t="s">
        <v>74</v>
      </c>
      <c r="H950" s="7">
        <f t="shared" si="88"/>
        <v>36.987499999999997</v>
      </c>
      <c r="I950">
        <v>160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85"/>
        <v>41985.25</v>
      </c>
      <c r="O950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9"/>
        <v>film &amp; video</v>
      </c>
      <c r="T950" t="str">
        <f t="shared" si="87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161.35593220338984</v>
      </c>
      <c r="G951" t="s">
        <v>20</v>
      </c>
      <c r="H951" s="7">
        <f t="shared" si="88"/>
        <v>46.896551724137929</v>
      </c>
      <c r="I951">
        <v>203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85"/>
        <v>42112.208333333328</v>
      </c>
      <c r="O951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9"/>
        <v>technology</v>
      </c>
      <c r="T951" t="str">
        <f t="shared" si="87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5</v>
      </c>
      <c r="G952" t="s">
        <v>14</v>
      </c>
      <c r="H952" s="7">
        <f t="shared" si="88"/>
        <v>5</v>
      </c>
      <c r="I952">
        <v>1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85"/>
        <v>43571.208333333328</v>
      </c>
      <c r="O952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9"/>
        <v>theater</v>
      </c>
      <c r="T952" t="str">
        <f t="shared" si="87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1096.9379310344827</v>
      </c>
      <c r="G953" t="s">
        <v>20</v>
      </c>
      <c r="H953" s="7">
        <f t="shared" si="88"/>
        <v>102.02437459910199</v>
      </c>
      <c r="I953">
        <v>1559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85"/>
        <v>42730.25</v>
      </c>
      <c r="O953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9"/>
        <v>music</v>
      </c>
      <c r="T953" t="str">
        <f t="shared" si="87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70.094158075601371</v>
      </c>
      <c r="G954" t="s">
        <v>74</v>
      </c>
      <c r="H954" s="7">
        <f t="shared" si="88"/>
        <v>45.007502206531335</v>
      </c>
      <c r="I954">
        <v>2266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85"/>
        <v>42591.208333333328</v>
      </c>
      <c r="O954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9"/>
        <v>film &amp; video</v>
      </c>
      <c r="T954" t="str">
        <f t="shared" si="87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60</v>
      </c>
      <c r="G955" t="s">
        <v>14</v>
      </c>
      <c r="H955" s="7">
        <f t="shared" si="88"/>
        <v>94.285714285714292</v>
      </c>
      <c r="I955">
        <v>21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85"/>
        <v>42358.25</v>
      </c>
      <c r="O955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9"/>
        <v>film &amp; video</v>
      </c>
      <c r="T955" t="str">
        <f t="shared" si="87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367.0985915492958</v>
      </c>
      <c r="G956" t="s">
        <v>20</v>
      </c>
      <c r="H956" s="7">
        <f t="shared" si="88"/>
        <v>101.02325581395348</v>
      </c>
      <c r="I956">
        <v>1548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85"/>
        <v>41174.208333333336</v>
      </c>
      <c r="O956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9"/>
        <v>technology</v>
      </c>
      <c r="T956" t="str">
        <f t="shared" si="87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1109</v>
      </c>
      <c r="G957" t="s">
        <v>20</v>
      </c>
      <c r="H957" s="7">
        <f t="shared" si="88"/>
        <v>97.037499999999994</v>
      </c>
      <c r="I957">
        <v>80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85"/>
        <v>41238.25</v>
      </c>
      <c r="O957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9"/>
        <v>theater</v>
      </c>
      <c r="T957" t="str">
        <f t="shared" si="87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19.028784648187631</v>
      </c>
      <c r="G958" t="s">
        <v>14</v>
      </c>
      <c r="H958" s="7">
        <f t="shared" si="88"/>
        <v>43.00963855421687</v>
      </c>
      <c r="I958">
        <v>830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85"/>
        <v>42360.25</v>
      </c>
      <c r="O958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9"/>
        <v>film &amp; video</v>
      </c>
      <c r="T958" t="str">
        <f t="shared" si="87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126.87755102040816</v>
      </c>
      <c r="G959" t="s">
        <v>20</v>
      </c>
      <c r="H959" s="7">
        <f t="shared" si="88"/>
        <v>94.916030534351151</v>
      </c>
      <c r="I959">
        <v>131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85"/>
        <v>40955.25</v>
      </c>
      <c r="O959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9"/>
        <v>theater</v>
      </c>
      <c r="T959" t="str">
        <f t="shared" si="87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734.63636363636363</v>
      </c>
      <c r="G960" t="s">
        <v>20</v>
      </c>
      <c r="H960" s="7">
        <f t="shared" si="88"/>
        <v>72.151785714285708</v>
      </c>
      <c r="I960">
        <v>112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85"/>
        <v>40350.208333333336</v>
      </c>
      <c r="O960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9"/>
        <v>film &amp; video</v>
      </c>
      <c r="T960" t="str">
        <f t="shared" si="87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4.5731034482758623</v>
      </c>
      <c r="G961" t="s">
        <v>14</v>
      </c>
      <c r="H961" s="7">
        <f t="shared" si="88"/>
        <v>51.007692307692309</v>
      </c>
      <c r="I961">
        <v>130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85"/>
        <v>40357.208333333336</v>
      </c>
      <c r="O961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9"/>
        <v>publishing</v>
      </c>
      <c r="T961" t="str">
        <f t="shared" si="87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ref="F962:F1025" si="90">E962/D962*100</f>
        <v>85.054545454545448</v>
      </c>
      <c r="G962" t="s">
        <v>14</v>
      </c>
      <c r="H962" s="7">
        <f t="shared" si="88"/>
        <v>85.054545454545448</v>
      </c>
      <c r="I962">
        <v>55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85"/>
        <v>42408.25</v>
      </c>
      <c r="O962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9"/>
        <v>technology</v>
      </c>
      <c r="T962" t="str">
        <f t="shared" si="87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90"/>
        <v>119.29824561403508</v>
      </c>
      <c r="G963" t="s">
        <v>20</v>
      </c>
      <c r="H963" s="7">
        <f t="shared" si="88"/>
        <v>43.87096774193548</v>
      </c>
      <c r="I963">
        <v>155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N1001" si="91">(((L963/60)/60)/24)+DATE(1970,1,1)</f>
        <v>40591.25</v>
      </c>
      <c r="O963">
        <f t="shared" ref="O963:O1001" si="92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si="89"/>
        <v>publishing</v>
      </c>
      <c r="T963" t="str">
        <f t="shared" ref="T963:T1001" si="93">RIGHT(R963,LEN(R963)-LEN(S963)-1)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296.02777777777777</v>
      </c>
      <c r="G964" t="s">
        <v>20</v>
      </c>
      <c r="H964" s="7">
        <f t="shared" ref="H964:H1001" si="94">E964/I964</f>
        <v>40.063909774436091</v>
      </c>
      <c r="I964">
        <v>266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91"/>
        <v>41592.25</v>
      </c>
      <c r="O964">
        <f t="shared" si="92"/>
        <v>41613.25</v>
      </c>
      <c r="P964" t="b">
        <v>0</v>
      </c>
      <c r="Q964" t="b">
        <v>0</v>
      </c>
      <c r="R964" t="s">
        <v>17</v>
      </c>
      <c r="S964" t="str">
        <f t="shared" ref="S964:S1001" si="95">LEFT(R964,FIND("/",R964)-1)</f>
        <v>food</v>
      </c>
      <c r="T964" t="str">
        <f t="shared" si="93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84.694915254237287</v>
      </c>
      <c r="G965" t="s">
        <v>14</v>
      </c>
      <c r="H965" s="7">
        <f t="shared" si="94"/>
        <v>43.833333333333336</v>
      </c>
      <c r="I965">
        <v>114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91"/>
        <v>40607.25</v>
      </c>
      <c r="O965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5"/>
        <v>photography</v>
      </c>
      <c r="T965" t="str">
        <f t="shared" si="93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355.7837837837838</v>
      </c>
      <c r="G966" t="s">
        <v>20</v>
      </c>
      <c r="H966" s="7">
        <f t="shared" si="94"/>
        <v>84.92903225806451</v>
      </c>
      <c r="I966">
        <v>155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91"/>
        <v>42135.208333333328</v>
      </c>
      <c r="O966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5"/>
        <v>theater</v>
      </c>
      <c r="T966" t="str">
        <f t="shared" si="93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386.40909090909093</v>
      </c>
      <c r="G967" t="s">
        <v>20</v>
      </c>
      <c r="H967" s="7">
        <f t="shared" si="94"/>
        <v>41.067632850241544</v>
      </c>
      <c r="I967">
        <v>207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91"/>
        <v>40203.25</v>
      </c>
      <c r="O967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5"/>
        <v>music</v>
      </c>
      <c r="T967" t="str">
        <f t="shared" si="93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792.23529411764707</v>
      </c>
      <c r="G968" t="s">
        <v>20</v>
      </c>
      <c r="H968" s="7">
        <f t="shared" si="94"/>
        <v>54.971428571428568</v>
      </c>
      <c r="I968">
        <v>245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91"/>
        <v>42901.208333333328</v>
      </c>
      <c r="O968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5"/>
        <v>theater</v>
      </c>
      <c r="T968" t="str">
        <f t="shared" si="93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137.03393665158373</v>
      </c>
      <c r="G969" t="s">
        <v>20</v>
      </c>
      <c r="H969" s="7">
        <f t="shared" si="94"/>
        <v>77.010807374443743</v>
      </c>
      <c r="I969">
        <v>1573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91"/>
        <v>41005.208333333336</v>
      </c>
      <c r="O969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5"/>
        <v>music</v>
      </c>
      <c r="T969" t="str">
        <f t="shared" si="93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338.20833333333337</v>
      </c>
      <c r="G970" t="s">
        <v>20</v>
      </c>
      <c r="H970" s="7">
        <f t="shared" si="94"/>
        <v>71.201754385964918</v>
      </c>
      <c r="I970">
        <v>114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91"/>
        <v>40544.25</v>
      </c>
      <c r="O970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5"/>
        <v>food</v>
      </c>
      <c r="T970" t="str">
        <f t="shared" si="93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108.22784810126582</v>
      </c>
      <c r="G971" t="s">
        <v>20</v>
      </c>
      <c r="H971" s="7">
        <f t="shared" si="94"/>
        <v>91.935483870967744</v>
      </c>
      <c r="I971">
        <v>93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91"/>
        <v>43821.25</v>
      </c>
      <c r="O971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5"/>
        <v>theater</v>
      </c>
      <c r="T971" t="str">
        <f t="shared" si="93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60.757639620653315</v>
      </c>
      <c r="G972" t="s">
        <v>14</v>
      </c>
      <c r="H972" s="7">
        <f t="shared" si="94"/>
        <v>97.069023569023571</v>
      </c>
      <c r="I972">
        <v>594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91"/>
        <v>40672.208333333336</v>
      </c>
      <c r="O972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5"/>
        <v>theater</v>
      </c>
      <c r="T972" t="str">
        <f t="shared" si="93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27.725490196078432</v>
      </c>
      <c r="G973" t="s">
        <v>14</v>
      </c>
      <c r="H973" s="7">
        <f t="shared" si="94"/>
        <v>58.916666666666664</v>
      </c>
      <c r="I973">
        <v>24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91"/>
        <v>41555.208333333336</v>
      </c>
      <c r="O973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5"/>
        <v>film &amp; video</v>
      </c>
      <c r="T973" t="str">
        <f t="shared" si="93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228.3934426229508</v>
      </c>
      <c r="G974" t="s">
        <v>20</v>
      </c>
      <c r="H974" s="7">
        <f t="shared" si="94"/>
        <v>58.015466983938133</v>
      </c>
      <c r="I974">
        <v>1681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91"/>
        <v>41792.208333333336</v>
      </c>
      <c r="O974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5"/>
        <v>technology</v>
      </c>
      <c r="T974" t="str">
        <f t="shared" si="93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21.615194054500414</v>
      </c>
      <c r="G975" t="s">
        <v>14</v>
      </c>
      <c r="H975" s="7">
        <f t="shared" si="94"/>
        <v>103.87301587301587</v>
      </c>
      <c r="I975">
        <v>252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91"/>
        <v>40522.25</v>
      </c>
      <c r="O975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5"/>
        <v>theater</v>
      </c>
      <c r="T975" t="str">
        <f t="shared" si="93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373.875</v>
      </c>
      <c r="G976" t="s">
        <v>20</v>
      </c>
      <c r="H976" s="7">
        <f t="shared" si="94"/>
        <v>93.46875</v>
      </c>
      <c r="I976">
        <v>32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91"/>
        <v>41412.208333333336</v>
      </c>
      <c r="O976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5"/>
        <v>music</v>
      </c>
      <c r="T976" t="str">
        <f t="shared" si="93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154.92592592592592</v>
      </c>
      <c r="G977" t="s">
        <v>20</v>
      </c>
      <c r="H977" s="7">
        <f t="shared" si="94"/>
        <v>61.970370370370368</v>
      </c>
      <c r="I977">
        <v>135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91"/>
        <v>42337.25</v>
      </c>
      <c r="O977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5"/>
        <v>theater</v>
      </c>
      <c r="T977" t="str">
        <f t="shared" si="93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322.14999999999998</v>
      </c>
      <c r="G978" t="s">
        <v>20</v>
      </c>
      <c r="H978" s="7">
        <f t="shared" si="94"/>
        <v>92.042857142857144</v>
      </c>
      <c r="I978">
        <v>140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91"/>
        <v>40571.25</v>
      </c>
      <c r="O978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5"/>
        <v>theater</v>
      </c>
      <c r="T978" t="str">
        <f t="shared" si="93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73.957142857142856</v>
      </c>
      <c r="G979" t="s">
        <v>14</v>
      </c>
      <c r="H979" s="7">
        <f t="shared" si="94"/>
        <v>77.268656716417908</v>
      </c>
      <c r="I979">
        <v>67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91"/>
        <v>43138.25</v>
      </c>
      <c r="O979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5"/>
        <v>food</v>
      </c>
      <c r="T979" t="str">
        <f t="shared" si="93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864.1</v>
      </c>
      <c r="G980" t="s">
        <v>20</v>
      </c>
      <c r="H980" s="7">
        <f t="shared" si="94"/>
        <v>93.923913043478265</v>
      </c>
      <c r="I980">
        <v>92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91"/>
        <v>42686.25</v>
      </c>
      <c r="O980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5"/>
        <v>games</v>
      </c>
      <c r="T980" t="str">
        <f t="shared" si="93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143.26245847176079</v>
      </c>
      <c r="G981" t="s">
        <v>20</v>
      </c>
      <c r="H981" s="7">
        <f t="shared" si="94"/>
        <v>84.969458128078813</v>
      </c>
      <c r="I981">
        <v>1015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91"/>
        <v>42078.208333333328</v>
      </c>
      <c r="O981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5"/>
        <v>theater</v>
      </c>
      <c r="T981" t="str">
        <f t="shared" si="93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40.281762295081968</v>
      </c>
      <c r="G982" t="s">
        <v>14</v>
      </c>
      <c r="H982" s="7">
        <f t="shared" si="94"/>
        <v>105.97035040431267</v>
      </c>
      <c r="I982">
        <v>742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91"/>
        <v>42307.208333333328</v>
      </c>
      <c r="O982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5"/>
        <v>publishing</v>
      </c>
      <c r="T982" t="str">
        <f t="shared" si="93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178.22388059701493</v>
      </c>
      <c r="G983" t="s">
        <v>20</v>
      </c>
      <c r="H983" s="7">
        <f t="shared" si="94"/>
        <v>36.969040247678016</v>
      </c>
      <c r="I983">
        <v>323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91"/>
        <v>43094.25</v>
      </c>
      <c r="O983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5"/>
        <v>technology</v>
      </c>
      <c r="T983" t="str">
        <f t="shared" si="93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84.930555555555557</v>
      </c>
      <c r="G984" t="s">
        <v>14</v>
      </c>
      <c r="H984" s="7">
        <f t="shared" si="94"/>
        <v>81.533333333333331</v>
      </c>
      <c r="I984">
        <v>75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91"/>
        <v>40743.208333333336</v>
      </c>
      <c r="O984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5"/>
        <v>film &amp; video</v>
      </c>
      <c r="T984" t="str">
        <f t="shared" si="93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145.93648334624322</v>
      </c>
      <c r="G985" t="s">
        <v>20</v>
      </c>
      <c r="H985" s="7">
        <f t="shared" si="94"/>
        <v>80.999140154772135</v>
      </c>
      <c r="I985">
        <v>2326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91"/>
        <v>43681.208333333328</v>
      </c>
      <c r="O985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5"/>
        <v>film &amp; video</v>
      </c>
      <c r="T985" t="str">
        <f t="shared" si="93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152.46153846153848</v>
      </c>
      <c r="G986" t="s">
        <v>20</v>
      </c>
      <c r="H986" s="7">
        <f t="shared" si="94"/>
        <v>26.010498687664043</v>
      </c>
      <c r="I986">
        <v>381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91"/>
        <v>43716.208333333328</v>
      </c>
      <c r="O986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5"/>
        <v>theater</v>
      </c>
      <c r="T986" t="str">
        <f t="shared" si="93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67.129542790152414</v>
      </c>
      <c r="G987" t="s">
        <v>14</v>
      </c>
      <c r="H987" s="7">
        <f t="shared" si="94"/>
        <v>25.998410896708286</v>
      </c>
      <c r="I987">
        <v>4405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91"/>
        <v>41614.25</v>
      </c>
      <c r="O987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5"/>
        <v>music</v>
      </c>
      <c r="T987" t="str">
        <f t="shared" si="93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40.307692307692307</v>
      </c>
      <c r="G988" t="s">
        <v>14</v>
      </c>
      <c r="H988" s="7">
        <f t="shared" si="94"/>
        <v>34.173913043478258</v>
      </c>
      <c r="I988">
        <v>92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91"/>
        <v>40638.208333333336</v>
      </c>
      <c r="O988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5"/>
        <v>music</v>
      </c>
      <c r="T988" t="str">
        <f t="shared" si="93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216.79032258064518</v>
      </c>
      <c r="G989" t="s">
        <v>20</v>
      </c>
      <c r="H989" s="7">
        <f t="shared" si="94"/>
        <v>28.002083333333335</v>
      </c>
      <c r="I989">
        <v>480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91"/>
        <v>42852.208333333328</v>
      </c>
      <c r="O989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5"/>
        <v>film &amp; video</v>
      </c>
      <c r="T989" t="str">
        <f t="shared" si="93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52.117021276595743</v>
      </c>
      <c r="G990" t="s">
        <v>14</v>
      </c>
      <c r="H990" s="7">
        <f t="shared" si="94"/>
        <v>76.546875</v>
      </c>
      <c r="I990">
        <v>64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91"/>
        <v>42686.25</v>
      </c>
      <c r="O990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5"/>
        <v>publishing</v>
      </c>
      <c r="T990" t="str">
        <f t="shared" si="93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499.58333333333337</v>
      </c>
      <c r="G991" t="s">
        <v>20</v>
      </c>
      <c r="H991" s="7">
        <f t="shared" si="94"/>
        <v>53.053097345132741</v>
      </c>
      <c r="I991">
        <v>226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91"/>
        <v>43571.208333333328</v>
      </c>
      <c r="O991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5"/>
        <v>publishing</v>
      </c>
      <c r="T991" t="str">
        <f t="shared" si="93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87.679487179487182</v>
      </c>
      <c r="G992" t="s">
        <v>14</v>
      </c>
      <c r="H992" s="7">
        <f t="shared" si="94"/>
        <v>106.859375</v>
      </c>
      <c r="I992">
        <v>64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91"/>
        <v>42432.25</v>
      </c>
      <c r="O992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5"/>
        <v>film &amp; video</v>
      </c>
      <c r="T992" t="str">
        <f t="shared" si="93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113.17346938775511</v>
      </c>
      <c r="G993" t="s">
        <v>20</v>
      </c>
      <c r="H993" s="7">
        <f t="shared" si="94"/>
        <v>46.020746887966808</v>
      </c>
      <c r="I993">
        <v>241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91"/>
        <v>41907.208333333336</v>
      </c>
      <c r="O993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5"/>
        <v>music</v>
      </c>
      <c r="T993" t="str">
        <f t="shared" si="93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426.54838709677421</v>
      </c>
      <c r="G994" t="s">
        <v>20</v>
      </c>
      <c r="H994" s="7">
        <f t="shared" si="94"/>
        <v>100.17424242424242</v>
      </c>
      <c r="I994">
        <v>132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91"/>
        <v>43227.208333333328</v>
      </c>
      <c r="O994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5"/>
        <v>film &amp; video</v>
      </c>
      <c r="T994" t="str">
        <f t="shared" si="93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77.632653061224488</v>
      </c>
      <c r="G995" t="s">
        <v>74</v>
      </c>
      <c r="H995" s="7">
        <f t="shared" si="94"/>
        <v>101.44</v>
      </c>
      <c r="I995">
        <v>75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91"/>
        <v>42362.25</v>
      </c>
      <c r="O995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5"/>
        <v>photography</v>
      </c>
      <c r="T995" t="str">
        <f t="shared" si="93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52.496810772501767</v>
      </c>
      <c r="G996" t="s">
        <v>14</v>
      </c>
      <c r="H996" s="7">
        <f t="shared" si="94"/>
        <v>87.972684085510693</v>
      </c>
      <c r="I996">
        <v>842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91"/>
        <v>41929.208333333336</v>
      </c>
      <c r="O996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5"/>
        <v>publishing</v>
      </c>
      <c r="T996" t="str">
        <f t="shared" si="93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157.46762589928059</v>
      </c>
      <c r="G997" t="s">
        <v>20</v>
      </c>
      <c r="H997" s="7">
        <f t="shared" si="94"/>
        <v>74.995594713656388</v>
      </c>
      <c r="I997">
        <v>2043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91"/>
        <v>43408.208333333328</v>
      </c>
      <c r="O997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5"/>
        <v>food</v>
      </c>
      <c r="T997" t="str">
        <f t="shared" si="93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72.939393939393938</v>
      </c>
      <c r="G998" t="s">
        <v>14</v>
      </c>
      <c r="H998" s="7">
        <f t="shared" si="94"/>
        <v>42.982142857142854</v>
      </c>
      <c r="I998">
        <v>112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91"/>
        <v>41276.25</v>
      </c>
      <c r="O998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5"/>
        <v>theater</v>
      </c>
      <c r="T998" t="str">
        <f t="shared" si="93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60.565789473684205</v>
      </c>
      <c r="G999" t="s">
        <v>74</v>
      </c>
      <c r="H999" s="7">
        <f t="shared" si="94"/>
        <v>33.115107913669064</v>
      </c>
      <c r="I999">
        <v>139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91"/>
        <v>41659.25</v>
      </c>
      <c r="O999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5"/>
        <v>theater</v>
      </c>
      <c r="T999" t="str">
        <f t="shared" si="93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56.791291291291287</v>
      </c>
      <c r="G1000" t="s">
        <v>14</v>
      </c>
      <c r="H1000" s="7">
        <f t="shared" si="94"/>
        <v>101.13101604278074</v>
      </c>
      <c r="I1000">
        <v>374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91"/>
        <v>40220.25</v>
      </c>
      <c r="O1000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5"/>
        <v>music</v>
      </c>
      <c r="T1000" t="str">
        <f t="shared" si="93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56.542754275427541</v>
      </c>
      <c r="G1001" t="s">
        <v>74</v>
      </c>
      <c r="H1001" s="7">
        <f t="shared" si="94"/>
        <v>55.98841354723708</v>
      </c>
      <c r="I1001">
        <v>1122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91"/>
        <v>42550.208333333328</v>
      </c>
      <c r="O1001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5"/>
        <v>food</v>
      </c>
      <c r="T1001" t="str">
        <f t="shared" si="93"/>
        <v>food trucks</v>
      </c>
    </row>
  </sheetData>
  <autoFilter ref="A1:T1001" xr:uid="{00000000-0001-0000-0000-000000000000}">
    <sortState xmlns:xlrd2="http://schemas.microsoft.com/office/spreadsheetml/2017/richdata2" ref="A2:T1001">
      <sortCondition ref="A1:A1001"/>
    </sortState>
  </autoFilter>
  <conditionalFormatting sqref="G1:H1048576">
    <cfRule type="beginsWith" dxfId="4" priority="5" operator="beginsWith" text="canc">
      <formula>LEFT(G1,LEN("canc"))="canc"</formula>
    </cfRule>
    <cfRule type="beginsWith" dxfId="3" priority="6" operator="beginsWith" text="canc">
      <formula>LEFT(G1,LEN("canc"))="canc"</formula>
    </cfRule>
    <cfRule type="beginsWith" dxfId="2" priority="7" operator="beginsWith" text="live">
      <formula>LEFT(G1,LEN("live"))="live"</formula>
    </cfRule>
    <cfRule type="beginsWith" dxfId="1" priority="8" operator="beginsWith" text="succ">
      <formula>LEFT(G1,LEN("succ"))="succ"</formula>
    </cfRule>
    <cfRule type="beginsWith" dxfId="0" priority="9" operator="beginsWith" text="fail">
      <formula>LEFT(G1,LEN("fail"))="fail"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810001"/>
        <color rgb="FF92D050"/>
        <color rgb="FF00B0F0"/>
      </colorScale>
    </cfRule>
    <cfRule type="colorScale" priority="3">
      <colorScale>
        <cfvo type="percent" val="0"/>
        <cfvo type="percentile" val="100"/>
        <cfvo type="num" val="200"/>
        <color rgb="FF810001"/>
        <color rgb="FF92D050"/>
        <color rgb="FF11B6FF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Pivot 1 per Category</vt:lpstr>
      <vt:lpstr>Pivot 2 per Sub-Category</vt:lpstr>
      <vt:lpstr>Pivot 3</vt:lpstr>
      <vt:lpstr>Outcomes Based on Goal</vt:lpstr>
      <vt:lpstr>Summary Statistics - Backers</vt:lpstr>
      <vt:lpstr>Crowdfunding</vt:lpstr>
      <vt:lpstr>catsubcat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Jennifer Alfson</cp:lastModifiedBy>
  <dcterms:created xsi:type="dcterms:W3CDTF">2021-09-29T18:52:28Z</dcterms:created>
  <dcterms:modified xsi:type="dcterms:W3CDTF">2023-03-09T01:28:32Z</dcterms:modified>
</cp:coreProperties>
</file>