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Aa.ad.epa.gov\ord\ATH\Users\A-M\CSTEVENS\Net MyDocuments\_MovedData\MyResearch\ChemFateTrans\EFS\ProcessScience\Hydrolysis\Paper\"/>
    </mc:Choice>
  </mc:AlternateContent>
  <bookViews>
    <workbookView xWindow="0" yWindow="0" windowWidth="28800" windowHeight="12432" tabRatio="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J59" i="1"/>
  <c r="J42" i="1"/>
  <c r="J41" i="1"/>
  <c r="J95" i="1"/>
  <c r="J94" i="1"/>
  <c r="J104" i="1"/>
  <c r="J117" i="1"/>
  <c r="H203" i="1" l="1"/>
  <c r="I203" i="1" s="1"/>
  <c r="J203" i="1" s="1"/>
  <c r="J176" i="1"/>
  <c r="H187" i="1"/>
  <c r="H186" i="1"/>
  <c r="H176" i="1"/>
  <c r="I176" i="1" s="1"/>
  <c r="H174" i="1"/>
  <c r="I174" i="1" s="1"/>
  <c r="J174" i="1" s="1"/>
  <c r="H114" i="1"/>
  <c r="I114" i="1" s="1"/>
  <c r="J114" i="1" s="1"/>
  <c r="H75" i="1"/>
  <c r="I75" i="1" s="1"/>
  <c r="J75" i="1" s="1"/>
  <c r="H55" i="1"/>
  <c r="H53" i="1"/>
  <c r="J134" i="1" l="1"/>
  <c r="J135" i="1"/>
  <c r="J136" i="1"/>
  <c r="J181" i="1" l="1"/>
  <c r="I181" i="1" s="1"/>
  <c r="L159" i="1"/>
  <c r="J119" i="1"/>
  <c r="I119" i="1" s="1"/>
  <c r="J69" i="1"/>
  <c r="I69" i="1" s="1"/>
  <c r="J96" i="1" l="1"/>
  <c r="I96" i="1" s="1"/>
  <c r="F187" i="1" l="1"/>
  <c r="I187" i="1" s="1"/>
  <c r="J187" i="1" s="1"/>
  <c r="F186" i="1"/>
  <c r="I186" i="1" s="1"/>
  <c r="J186" i="1" s="1"/>
  <c r="H201" i="1" l="1"/>
  <c r="I201" i="1" s="1"/>
  <c r="J201" i="1" s="1"/>
  <c r="H199" i="1"/>
  <c r="I199" i="1" s="1"/>
  <c r="J199" i="1" s="1"/>
  <c r="H197" i="1"/>
  <c r="I197" i="1" s="1"/>
  <c r="J197" i="1" s="1"/>
  <c r="H195" i="1"/>
  <c r="I195" i="1" s="1"/>
  <c r="J195" i="1" s="1"/>
  <c r="H193" i="1"/>
  <c r="I193" i="1" s="1"/>
  <c r="J193" i="1" s="1"/>
  <c r="J205" i="1" l="1"/>
  <c r="I205" i="1" s="1"/>
  <c r="J165" i="1"/>
  <c r="J164" i="1"/>
  <c r="J169" i="1" s="1"/>
  <c r="I169" i="1" s="1"/>
  <c r="J151" i="1" l="1"/>
  <c r="J150" i="1"/>
  <c r="J141" i="1"/>
  <c r="J137" i="1"/>
  <c r="J138" i="1"/>
  <c r="J139" i="1"/>
  <c r="J132" i="1"/>
  <c r="J133" i="1"/>
  <c r="J131" i="1"/>
  <c r="J130" i="1"/>
  <c r="J128" i="1"/>
  <c r="J189" i="1" l="1"/>
  <c r="I189" i="1" s="1"/>
  <c r="N159" i="1" l="1"/>
  <c r="I148" i="1" l="1"/>
  <c r="G148" i="1"/>
  <c r="J148" i="1" s="1"/>
  <c r="J159" i="1" s="1"/>
  <c r="I159" i="1" s="1"/>
  <c r="J126" i="1"/>
  <c r="P144" i="1" s="1"/>
  <c r="J125" i="1"/>
  <c r="N144" i="1" s="1"/>
  <c r="J124" i="1"/>
  <c r="J123" i="1"/>
  <c r="L144" i="1" l="1"/>
  <c r="J144" i="1"/>
  <c r="I144" i="1" s="1"/>
  <c r="P159" i="1"/>
  <c r="J14" i="1"/>
  <c r="J24" i="1"/>
  <c r="J73" i="1"/>
  <c r="J88" i="1" s="1"/>
  <c r="I88" i="1" s="1"/>
  <c r="J106" i="1" l="1"/>
  <c r="I106" i="1" s="1"/>
  <c r="J57" i="1"/>
  <c r="F55" i="1" l="1"/>
  <c r="I55" i="1" s="1"/>
  <c r="J55" i="1" s="1"/>
  <c r="N61" i="1" s="1"/>
  <c r="F53" i="1"/>
  <c r="I53" i="1" s="1"/>
  <c r="J53" i="1" s="1"/>
  <c r="J51" i="1"/>
  <c r="J49" i="1"/>
  <c r="J47" i="1"/>
  <c r="J39" i="1"/>
  <c r="J61" i="1" l="1"/>
  <c r="I61" i="1" s="1"/>
  <c r="P61" i="1"/>
  <c r="I37" i="1"/>
  <c r="J37" i="1" s="1"/>
  <c r="P43" i="1" s="1"/>
  <c r="I35" i="1"/>
  <c r="J35" i="1" s="1"/>
  <c r="J32" i="1" l="1"/>
  <c r="F27" i="1"/>
  <c r="J27" i="1" s="1"/>
  <c r="F28" i="1"/>
  <c r="J28" i="1" s="1"/>
  <c r="F29" i="1"/>
  <c r="J29" i="1" s="1"/>
  <c r="F30" i="1"/>
  <c r="J30" i="1" s="1"/>
  <c r="F31" i="1"/>
  <c r="J31" i="1" s="1"/>
  <c r="F26" i="1"/>
  <c r="J26" i="1" s="1"/>
  <c r="H26" i="1"/>
  <c r="H27" i="1"/>
  <c r="H28" i="1"/>
  <c r="H29" i="1"/>
  <c r="H30" i="1"/>
  <c r="H31" i="1"/>
  <c r="I28" i="1" l="1"/>
  <c r="I31" i="1"/>
  <c r="I27" i="1"/>
  <c r="I26" i="1"/>
  <c r="I30" i="1"/>
  <c r="I29" i="1"/>
  <c r="H13" i="1" l="1"/>
  <c r="H7" i="1"/>
  <c r="H9" i="1"/>
  <c r="H11" i="1"/>
  <c r="H5" i="1"/>
  <c r="J13" i="1" l="1"/>
  <c r="I13" i="1"/>
  <c r="I5" i="1"/>
  <c r="J5" i="1" s="1"/>
  <c r="I11" i="1"/>
  <c r="J11" i="1" s="1"/>
  <c r="I9" i="1"/>
  <c r="J9" i="1" s="1"/>
  <c r="J7" i="1"/>
  <c r="I7" i="1"/>
  <c r="N43" i="1" l="1"/>
  <c r="J43" i="1"/>
  <c r="I43" i="1" s="1"/>
</calcChain>
</file>

<file path=xl/sharedStrings.xml><?xml version="1.0" encoding="utf-8"?>
<sst xmlns="http://schemas.openxmlformats.org/spreadsheetml/2006/main" count="361" uniqueCount="241">
  <si>
    <t>Name</t>
  </si>
  <si>
    <t>SMILES</t>
  </si>
  <si>
    <t>Citation</t>
  </si>
  <si>
    <t>fluromethane</t>
  </si>
  <si>
    <t>CF</t>
  </si>
  <si>
    <t>chloromethane</t>
  </si>
  <si>
    <t>CCl</t>
  </si>
  <si>
    <t>bromomethane</t>
  </si>
  <si>
    <t>CBr</t>
  </si>
  <si>
    <t>iodomethane</t>
  </si>
  <si>
    <t>CI</t>
  </si>
  <si>
    <t>chloroethane</t>
  </si>
  <si>
    <t>CCCl</t>
  </si>
  <si>
    <t xml:space="preserve"> Robertson, R.E. et. al Can. J. Chem. 37, 803, 1959.</t>
  </si>
  <si>
    <t>Halogenated Aliphatics: Nucleophilic Substitution activation energies</t>
  </si>
  <si>
    <t>Enthalphy of Activation (J)</t>
  </si>
  <si>
    <t>Activation energy (J/mol)</t>
  </si>
  <si>
    <t>Enthalphy of Activation (kcal)</t>
  </si>
  <si>
    <t>for 1st order neutral  reaction</t>
  </si>
  <si>
    <t>for 2nd order alkaline reaction</t>
  </si>
  <si>
    <t>Fells, I and Moelwyn-Hughes, E.A. J. Chem. Soc. 398, 1959.</t>
  </si>
  <si>
    <t>Jeffers P.M. and Wolfe N.L. Environ. Tox. Chem. 15, 1066, 1996.</t>
  </si>
  <si>
    <t>allyl chloride</t>
  </si>
  <si>
    <t>C=CCCl</t>
  </si>
  <si>
    <t>Robertson, R.E. and Scott, J.M. W., J. Chem. Soc. 1596 (1961)</t>
  </si>
  <si>
    <t>allyl bromide</t>
  </si>
  <si>
    <t>C=CCBr</t>
  </si>
  <si>
    <t>allyl iodide</t>
  </si>
  <si>
    <t>C=CCI</t>
  </si>
  <si>
    <t>Activation energy (Kcal/Mol)</t>
  </si>
  <si>
    <t>1-bromo-3-phenylpropane</t>
  </si>
  <si>
    <t>C1=CC=C(C=C1)CCCBr</t>
  </si>
  <si>
    <t>Vogel, T.M. and Reinhard, M Environ. Sci. Technol. 20,992, 1986</t>
  </si>
  <si>
    <t>1-Bromoheptane</t>
  </si>
  <si>
    <t>CCCCCCCBr</t>
  </si>
  <si>
    <t>50-90</t>
  </si>
  <si>
    <t>cis-1,3-dichloropropene</t>
  </si>
  <si>
    <t>C(/C=C\Cl)Cl</t>
  </si>
  <si>
    <t>Miyamoto, K. and Urano, K. Chemosphere, 32, 2399, 1996</t>
  </si>
  <si>
    <t>40-84 deg</t>
  </si>
  <si>
    <t>chloroform</t>
  </si>
  <si>
    <t>C(Cl)(Cl)Cl</t>
  </si>
  <si>
    <t>alkaline hydrolysis Ea</t>
  </si>
  <si>
    <t>Dichlorofluoromethane</t>
  </si>
  <si>
    <t>C(F)(Cl)Cl</t>
  </si>
  <si>
    <t>Jeffers P.M. and Wolfe N.L. Environ. Tox. Chem. 15(7) 1066-1070, 1996</t>
  </si>
  <si>
    <t>1,2-Dibromopropane</t>
  </si>
  <si>
    <t>CC(CBr)Br</t>
  </si>
  <si>
    <t>pH 7-9</t>
  </si>
  <si>
    <t>pH 11</t>
  </si>
  <si>
    <t>1,3-dibromopropane</t>
  </si>
  <si>
    <t>C(CBr)CBr</t>
  </si>
  <si>
    <t>pH7-11</t>
  </si>
  <si>
    <t>2,2-Dibromopropane</t>
  </si>
  <si>
    <t>BrC(Br)(C)C</t>
  </si>
  <si>
    <t>Queen, A and Robertson, R.E. J. Am. Chem. Soc. 88, 1363, 1966</t>
  </si>
  <si>
    <t>C(C(Cl)Cl)(Cl)Cl</t>
  </si>
  <si>
    <t>Cooper W.J. Et al Environ. Sci. Technol. 1987, 21, 1112-1114</t>
  </si>
  <si>
    <t>1,1,2,2-Tetrachloroethane</t>
  </si>
  <si>
    <t>pH 5-9</t>
  </si>
  <si>
    <t>Long et. al J. Am. Chem. Soc., 1957, 79 (10),  2362–2364</t>
  </si>
  <si>
    <t>Ethylene oxide</t>
  </si>
  <si>
    <t>C1CO1</t>
  </si>
  <si>
    <t>propylene oxide</t>
  </si>
  <si>
    <t>CC1CO1</t>
  </si>
  <si>
    <t>Long et. al J. Am. Chem. Soc., 1957, 79 (10),  2362–2365</t>
  </si>
  <si>
    <t>acid catalysis 25 deg C</t>
  </si>
  <si>
    <t>3,6-dimethylphthalic anhydride</t>
  </si>
  <si>
    <t>Cc1ccc(c2c1C(=O)OC2=O)C</t>
  </si>
  <si>
    <t>Hawkins M.D. J. Chem. Soc., Perkin Trans. 2, 1975, 282-284</t>
  </si>
  <si>
    <t>CC(=O)OC(=O)C</t>
  </si>
  <si>
    <t>Davis K.R and Hogg J.L. J. Org. Chem. 1983,48, 1041-1047</t>
  </si>
  <si>
    <t>Trimethylacetic anhydride</t>
  </si>
  <si>
    <t>CC(C)(C)C(=O)OC(=O)C(C)(C)C</t>
  </si>
  <si>
    <t>Bunton C.A. and Fendler J.H. J. Org. Chem., 1965, 30 (5), 1365–1371</t>
  </si>
  <si>
    <t>acetic anydride</t>
  </si>
  <si>
    <t>Succinic anhydride</t>
  </si>
  <si>
    <t>C1CC(=O)OC1=O</t>
  </si>
  <si>
    <t>Bunton C.A. et al J. Chem. Soc., 1963, 2918-2926</t>
  </si>
  <si>
    <t>Glutaric anhydride</t>
  </si>
  <si>
    <t>C1CC(=O)OC(=O)C1</t>
  </si>
  <si>
    <t>Maleic anhydride</t>
  </si>
  <si>
    <t>C1=CC(=O)OC1=O</t>
  </si>
  <si>
    <t>Tetramethylsuccinic anhydride</t>
  </si>
  <si>
    <t>CC1(C(=O)OC(=O)C1(C)C)C</t>
  </si>
  <si>
    <t>Amide</t>
  </si>
  <si>
    <t>Baygon</t>
  </si>
  <si>
    <t>CC(C)OC1=CC=CC=C1OC(=O)NC</t>
  </si>
  <si>
    <t xml:space="preserve">Aly O.M., El-Dib M.A. water Research, 1971, 5, 1191-1205 </t>
  </si>
  <si>
    <t>Comments/temperature in deg C</t>
  </si>
  <si>
    <t xml:space="preserve">Temperature in K (298K wherever its not reported) </t>
  </si>
  <si>
    <t>methylene chloride</t>
  </si>
  <si>
    <t>Sulfonylureas</t>
  </si>
  <si>
    <t>Foramsulfuron</t>
  </si>
  <si>
    <t>CN(C)C(=O)C1=C(C=C(C=C1)NC=O)S(=O)(=O)NC(=O)NC2=NC(=CC(=N2)OC)OC</t>
  </si>
  <si>
    <t>122020_foramsulfuron_(PUB-source Hydrolysis Information)</t>
  </si>
  <si>
    <t>pH 4</t>
  </si>
  <si>
    <t>pH 5</t>
  </si>
  <si>
    <t>pH 7</t>
  </si>
  <si>
    <t>pH 9</t>
  </si>
  <si>
    <t>Lactones</t>
  </si>
  <si>
    <t>2-furanone</t>
  </si>
  <si>
    <t>C1C=COC1=O</t>
  </si>
  <si>
    <t>Bombarelli RG, Calle E, Casado J, J. Org. Chem. 2013, 78, 6868-6879 Supporting Info</t>
  </si>
  <si>
    <t>78-105 kJ/mol = 18.6-25.1 kcal/mol</t>
  </si>
  <si>
    <t>Average</t>
  </si>
  <si>
    <t>78-105 kJ/mol = 18.6-25.1 kcal/mol, base-catalyzed</t>
  </si>
  <si>
    <t>93-123 kJ/mol = 22.23 - 29.398 kcal/mol, neutral hydrolysis</t>
  </si>
  <si>
    <r>
      <t xml:space="preserve">Median Ea from </t>
    </r>
    <r>
      <rPr>
        <i/>
        <sz val="11"/>
        <color theme="1"/>
        <rFont val="Calibri"/>
        <family val="2"/>
        <scheme val="minor"/>
      </rPr>
      <t>Environmental Organic Chemistry, 2nd Ed</t>
    </r>
    <r>
      <rPr>
        <sz val="11"/>
        <color theme="1"/>
        <rFont val="Calibri"/>
        <family val="2"/>
        <scheme val="minor"/>
      </rPr>
      <t>by R.P. Schwarzenbach, P.M. Gschwend, D.M. Imboden. Pg. 527</t>
    </r>
  </si>
  <si>
    <t>acid-catalyzed, 80-90 kJ/mol = 19.12-20.51 kcal/mol</t>
  </si>
  <si>
    <t>base-catalyzed, 50-80 kJ/mol = 11.95-19.12 kcal/mol</t>
  </si>
  <si>
    <r>
      <t xml:space="preserve">Median Ea from </t>
    </r>
    <r>
      <rPr>
        <i/>
        <sz val="11"/>
        <color theme="1"/>
        <rFont val="Calibri"/>
        <family val="2"/>
        <scheme val="minor"/>
      </rPr>
      <t>Environmental Organic Chemistry, 2nd Ed</t>
    </r>
    <r>
      <rPr>
        <sz val="11"/>
        <color theme="1"/>
        <rFont val="Calibri"/>
        <family val="2"/>
        <scheme val="minor"/>
      </rPr>
      <t>by R.P. Schwarzenbach, P.M. Gschwend, D.M. Imboden. Pg. 520</t>
    </r>
  </si>
  <si>
    <t>40-80kJ/mol = 9.56-19.12 kcal/mol</t>
  </si>
  <si>
    <t xml:space="preserve">Average </t>
  </si>
  <si>
    <r>
      <t xml:space="preserve">Median Ea from </t>
    </r>
    <r>
      <rPr>
        <i/>
        <sz val="11"/>
        <color theme="1"/>
        <rFont val="Calibri"/>
        <family val="2"/>
        <scheme val="minor"/>
      </rPr>
      <t>Environmental Organic Chemistry, 2nd Ed</t>
    </r>
    <r>
      <rPr>
        <sz val="11"/>
        <color theme="1"/>
        <rFont val="Calibri"/>
        <family val="2"/>
        <scheme val="minor"/>
      </rPr>
      <t>by R.P. Schwarzenbach, P.M. Gschwend, D.M. Imboden. Pg. 531</t>
    </r>
  </si>
  <si>
    <t>base-catalyzed, 50-100 kJ/mol = 11.95-23.84 kcal/mol</t>
  </si>
  <si>
    <t>Acidic</t>
  </si>
  <si>
    <t>Neutral</t>
  </si>
  <si>
    <t>Basic</t>
  </si>
  <si>
    <t>(1aR,6R,7S,7aS)‐1aH,6H,7H,7aH‐naphtho[1,2‐b]oxirene‐6,7‐diol</t>
  </si>
  <si>
    <t>O[C@@H]1[C@@H]2O[C@@H]2C2=C(C=CC=C2)[C@H]1O</t>
  </si>
  <si>
    <t>Rimsulfuron</t>
  </si>
  <si>
    <t>CCS(=O)(=O)c1cccnc1S(=O)(=O)NC(=O)Nc1nc(OC)cc(OC)n1</t>
  </si>
  <si>
    <t>Dinelli G. et al. J. Agric. Food Chem., Vol. 45, No. 5, 1997</t>
  </si>
  <si>
    <t>Pyrazosulfuron-ethyl</t>
  </si>
  <si>
    <t>CCOC(=O)C1=C(N(N=C1)C)S(=O)(=O)NC(=O)NC2=NC(=CC(=N2)OC)OC</t>
  </si>
  <si>
    <t>Zheng, Wei, Yates, Scott, and Papiernik, Sharon. Transformation Kinetics and Mechanism of the Sulfonylurea Herbicides Pyrazosulfuron ethyl and Halosulfuron methyl in aqueous solutions. J. Agric. Food Chem</t>
  </si>
  <si>
    <t>pH 3</t>
  </si>
  <si>
    <t>Halosulfuron-methyl</t>
  </si>
  <si>
    <t>COC(=O)C1=C(N(C)N=C1Cl)S(=O)(=O)NC(=O)NC1=NC(OC)=CC(OC)=N1</t>
  </si>
  <si>
    <t>Ethametsulfuron methyl</t>
  </si>
  <si>
    <t>CCOC1=NC(=NC(=N1)NC(=O)NS(=O)(=O)C2=CC=CC=C2C(=O)OC)NC</t>
  </si>
  <si>
    <t>129091_Ethametsulfuron_(EFSA Hydrolysis Information)</t>
  </si>
  <si>
    <t>Prosulfuron</t>
  </si>
  <si>
    <t>CC1=NC(=NC(=N1)OC)NC(=O)NS(=O)(=O)C2=CC=CC=C2CCC(F)(F)F</t>
  </si>
  <si>
    <t xml:space="preserve"> primisulfuron methyl</t>
  </si>
  <si>
    <t>COC(=O)C1=CC=CC=C1S(=O)(=O)NC(=O)NC2=NC(=CC(=N2)OC(F)F)OC(F)F</t>
  </si>
  <si>
    <t>thifensulfuron methyl</t>
  </si>
  <si>
    <t>CC1=NC(=NC(=N1)OC)NC(=O)NS(=O)(=O)C2=C(SC=C2)C(=O)OC</t>
  </si>
  <si>
    <t>Berger, Wolfe Environ. Toxicol. Chem. 1996, 15, 1500-1507</t>
  </si>
  <si>
    <t>acid-catalyzed, 100 kJ/mol based on 12 compounds</t>
  </si>
  <si>
    <t>Sulfosulfuron</t>
  </si>
  <si>
    <r>
      <t xml:space="preserve">Sarmah, A.K.; Sabadie, J. Hydrolysis of Sulfonylurea Herbicides in Soils and Aqueous Solutions: a review. </t>
    </r>
    <r>
      <rPr>
        <i/>
        <sz val="11"/>
        <color theme="1"/>
        <rFont val="Calibri"/>
        <family val="2"/>
        <scheme val="minor"/>
      </rPr>
      <t>J. Agric. Food Chem.</t>
    </r>
    <r>
      <rPr>
        <b/>
        <sz val="11"/>
        <color theme="1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6253-6265.</t>
    </r>
  </si>
  <si>
    <t>range 83-135 kJ/mol = 19.84 - 32.27 kcal/mol</t>
  </si>
  <si>
    <t>Coumarin</t>
  </si>
  <si>
    <t>c1ccc2c(c1)ccc(=O)o2</t>
  </si>
  <si>
    <t>El-Khatib R.M. et al Spectrochimica Acta Part A 67 (2007) 643–648</t>
  </si>
  <si>
    <t>thiocoumarin</t>
  </si>
  <si>
    <t>c1ccc2c(c1)ccc(=S)o2</t>
  </si>
  <si>
    <t>3‐methoxy‐3‐(3‐nitrophenyl)‐1,3‐dihydro‐2‐benzofuran‐1‐one</t>
  </si>
  <si>
    <t>COC1(OC(=O)C2=C1C=CC=C2)C1=CC=CC(=C1)N(=O)=O</t>
  </si>
  <si>
    <t>Weeks D.P. and Whitney D.B. J. Am. Chem. Soc. 1981, 103, 3555-3558</t>
  </si>
  <si>
    <t>pH 1.26</t>
  </si>
  <si>
    <t>pH 5.08</t>
  </si>
  <si>
    <t xml:space="preserve">pH 7.7 </t>
  </si>
  <si>
    <t>β-Butyrolactone</t>
  </si>
  <si>
    <t>CC1CC(=O)O1</t>
  </si>
  <si>
    <t>Olson A.R. and Voule P.V. J. Am. Chem. Soc., 1951, 73 (6), pp 2468–2471</t>
  </si>
  <si>
    <t>pH 13</t>
  </si>
  <si>
    <t>basic pH</t>
  </si>
  <si>
    <t>Imides</t>
  </si>
  <si>
    <t>N-phenylnaphthalimide</t>
  </si>
  <si>
    <t>O=C1N(C(=O)C2=C1C=CC=C2)C1=CC=CC=C1</t>
  </si>
  <si>
    <t>N-(o-carboxyphenyl)-phthalimide</t>
  </si>
  <si>
    <t>c1ccc2c(c1)C(=O)N(C2=O)c3ccccc3C(=O)O</t>
  </si>
  <si>
    <t>Vinclozolin</t>
  </si>
  <si>
    <t>CC1(C(=O)N(C(=O)O1)c2cc(cc(c2)Cl)Cl)C=C</t>
  </si>
  <si>
    <t>Szeto S.Y. et al J. Agric. Food Chem., 37 (2), 523-529, 1989</t>
  </si>
  <si>
    <t>Nitriles</t>
  </si>
  <si>
    <t>benzonitrile</t>
  </si>
  <si>
    <t>N#CC1=CC=CC=C1</t>
  </si>
  <si>
    <t xml:space="preserve"> Wiberg, K.B., JACS, 77,  (1955)</t>
  </si>
  <si>
    <t xml:space="preserve"> Wiberg, K.B., JACS, 77,  (1955), 2519; cited by Pinnell et al, JACS, 94, 6104 (1972) and Buckingham, D.A. et al, JACS, 95, 5649 (1973)</t>
  </si>
  <si>
    <t>313 K, basic pH</t>
  </si>
  <si>
    <t>298 K, base hydrolysis</t>
  </si>
  <si>
    <t>p-Chlorobenzonitrile</t>
  </si>
  <si>
    <t>c1cc(ccc1C#N)Cl</t>
  </si>
  <si>
    <t xml:space="preserve"> Pinnell et al, JACS, 94, 6104 (1972)</t>
  </si>
  <si>
    <t>313K, basic pH</t>
  </si>
  <si>
    <t>298K, base hydrolysis</t>
  </si>
  <si>
    <t xml:space="preserve"> 1,10‐phenanthroline‐2‐carbonitrile</t>
  </si>
  <si>
    <t>N#CC1=CC=C2C=CC3=CC=CN=C3C2=N1</t>
  </si>
  <si>
    <t>R. Breslow, R. Fairweather, and J. Keana, J. Amer. Chem. Soc., 89,2135 (1967).</t>
  </si>
  <si>
    <t>acetonitrile</t>
  </si>
  <si>
    <t>CC#N</t>
  </si>
  <si>
    <t>339K, basic pH</t>
  </si>
  <si>
    <t>N-S Cleavage</t>
  </si>
  <si>
    <t>Captan</t>
  </si>
  <si>
    <t>C1C=CCC2C1C(=O)N(C2=O)SC(Cl)(Cl)Cl</t>
  </si>
  <si>
    <r>
      <t xml:space="preserve">Wolfe, N.L. et al. J Agric. Food Chem. </t>
    </r>
    <r>
      <rPr>
        <b/>
        <sz val="11"/>
        <color theme="1"/>
        <rFont val="Calibri"/>
        <family val="2"/>
        <scheme val="minor"/>
      </rPr>
      <t>1976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, 1041-1045</t>
    </r>
  </si>
  <si>
    <t>CCC(=O)OC(=O)CC</t>
  </si>
  <si>
    <t xml:space="preserve">Propionic anhydride
</t>
  </si>
  <si>
    <t>Saha, S.; Kulshrestha, G. Hydrolysis kinetics of the sulfonylurea herbicide Sulfosulfuron. Intern. J. Environ. Anal. Chem.
 88 (12), 2008, 891–898</t>
  </si>
  <si>
    <t>Donskikh A.I. et al Periodica polytechnica Chemical engineering. Vol 33, No 1 (1987), pp. 61-67</t>
  </si>
  <si>
    <t xml:space="preserve">Ellington1987vol2_EPA600_3-87_019 </t>
  </si>
  <si>
    <t>base pH</t>
  </si>
  <si>
    <t>Acid pH</t>
  </si>
  <si>
    <t>Acid Halide Hydrolysis</t>
  </si>
  <si>
    <t>Phenyl Chloroformate</t>
  </si>
  <si>
    <t>Queen A. C. J. Chem. 45, 1619 (1967)</t>
  </si>
  <si>
    <t>Methyl Chloroformate</t>
  </si>
  <si>
    <t>Ethyl Chloroformate</t>
  </si>
  <si>
    <t>Propyl Chloroformate</t>
  </si>
  <si>
    <t>Isopropyl Chloroformate</t>
  </si>
  <si>
    <t>Methyl thiochloroformate</t>
  </si>
  <si>
    <t>CSC(Cl)=O</t>
  </si>
  <si>
    <r>
      <t xml:space="preserve">Queen, A.; Nour, T.A.; Paddon-Row, M.N.; Preston, K. Kinetics of the hydrolysis of thiochloroformate esters in pure water. </t>
    </r>
    <r>
      <rPr>
        <i/>
        <sz val="11"/>
        <color theme="1"/>
        <rFont val="Calibri"/>
        <family val="2"/>
        <scheme val="minor"/>
      </rPr>
      <t>Can. J. Chem.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1970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48,</t>
    </r>
    <r>
      <rPr>
        <sz val="11"/>
        <color theme="1"/>
        <rFont val="Calibri"/>
        <family val="2"/>
        <scheme val="minor"/>
      </rPr>
      <t xml:space="preserve"> 522-527</t>
    </r>
  </si>
  <si>
    <t>ClCCl</t>
  </si>
  <si>
    <t>2,2-Dichloropropane</t>
  </si>
  <si>
    <t>CC(C)(Cl)Cl</t>
  </si>
  <si>
    <t>pH 9.3</t>
  </si>
  <si>
    <t>pH 10.4</t>
  </si>
  <si>
    <t>308 K</t>
  </si>
  <si>
    <t>neutral</t>
  </si>
  <si>
    <t>base</t>
  </si>
  <si>
    <t>acid avg</t>
  </si>
  <si>
    <t>neutral avg</t>
  </si>
  <si>
    <t>base avg</t>
  </si>
  <si>
    <t xml:space="preserve"> </t>
  </si>
  <si>
    <t>(5.1_Acid_halide_chloroformates)</t>
  </si>
  <si>
    <t>(5_Acid_Halide)</t>
  </si>
  <si>
    <t xml:space="preserve"> neutral</t>
  </si>
  <si>
    <t>base-catalyzed</t>
  </si>
  <si>
    <t>total hydrolysis</t>
  </si>
  <si>
    <r>
      <t xml:space="preserve">Ea from </t>
    </r>
    <r>
      <rPr>
        <i/>
        <sz val="11"/>
        <color theme="1"/>
        <rFont val="Calibri"/>
        <family val="2"/>
        <scheme val="minor"/>
      </rPr>
      <t>Environmental Organic Chemistry, 2nd Ed</t>
    </r>
    <r>
      <rPr>
        <sz val="11"/>
        <color theme="1"/>
        <rFont val="Calibri"/>
        <family val="2"/>
        <scheme val="minor"/>
      </rPr>
      <t>by R.P. Schwarzenbach, P.M. Gschwend, D.M. Imboden. Pg. 508-509</t>
    </r>
  </si>
  <si>
    <t>ClC(=O)OC1=CC=CC=C1</t>
  </si>
  <si>
    <t>COC(Cl)=O</t>
  </si>
  <si>
    <t>CCOC(Cl)=O</t>
  </si>
  <si>
    <t>CCCOC(Cl)=O</t>
  </si>
  <si>
    <t>CC(C)OC(Cl)=O</t>
  </si>
  <si>
    <r>
      <t xml:space="preserve">Ea = </t>
    </r>
    <r>
      <rPr>
        <b/>
        <sz val="11"/>
        <color theme="1"/>
        <rFont val="Times New Roman"/>
        <family val="1"/>
      </rPr>
      <t>Δ</t>
    </r>
    <r>
      <rPr>
        <b/>
        <sz val="11"/>
        <color theme="1"/>
        <rFont val="Calibri"/>
        <family val="2"/>
        <scheme val="minor"/>
      </rPr>
      <t>H+RT</t>
    </r>
  </si>
  <si>
    <t>Calculation of Activation Energy from Enthalphy of Activation:</t>
  </si>
  <si>
    <t>Halogenated Aliphatics: Elimination activation energies</t>
  </si>
  <si>
    <t>Carboxylic Acid Esters</t>
  </si>
  <si>
    <t>Carbamates</t>
  </si>
  <si>
    <t>Epoxides</t>
  </si>
  <si>
    <t>Anhydrides</t>
  </si>
  <si>
    <t>Becker A.R. et al J. Am. Chem. Soc. 101, 19, 5679-5686, 1979</t>
  </si>
  <si>
    <t>Activation Energy Values for Hydrolysis Reactions</t>
  </si>
  <si>
    <t>Average Activation energy for Specified pH Range (Kcal/Mol)</t>
  </si>
  <si>
    <t>Average Activation Energy: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</si>
</sst>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top" wrapText="1"/>
    </xf>
    <xf numFmtId="0" fontId="0" fillId="2" borderId="0" xfId="0" applyNumberFormat="1" applyFill="1"/>
    <xf numFmtId="0" fontId="5" fillId="0" borderId="0" xfId="0" applyFon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0" fontId="4" fillId="0" borderId="0" xfId="0" applyFont="1" applyAlignment="1">
      <alignment horizontal="right"/>
    </xf>
    <xf numFmtId="1" fontId="0" fillId="2" borderId="0" xfId="0" applyNumberFormat="1" applyFill="1"/>
    <xf numFmtId="0" fontId="1" fillId="0" borderId="0" xfId="0" applyFont="1" applyAlignment="1"/>
    <xf numFmtId="0" fontId="7" fillId="0" borderId="0" xfId="0" applyFont="1" applyAlignment="1"/>
    <xf numFmtId="11" fontId="1" fillId="0" borderId="0" xfId="0" applyNumberFormat="1" applyFont="1" applyAlignment="1">
      <alignment horizontal="right"/>
    </xf>
    <xf numFmtId="0" fontId="0" fillId="3" borderId="0" xfId="0" applyFill="1"/>
    <xf numFmtId="1" fontId="0" fillId="3" borderId="0" xfId="0" applyNumberFormat="1" applyFill="1"/>
    <xf numFmtId="11" fontId="0" fillId="3" borderId="0" xfId="0" applyNumberFormat="1" applyFill="1"/>
    <xf numFmtId="0" fontId="0" fillId="3" borderId="0" xfId="0" applyNumberFormat="1" applyFill="1"/>
    <xf numFmtId="2" fontId="0" fillId="3" borderId="0" xfId="0" applyNumberFormat="1" applyFill="1"/>
    <xf numFmtId="0" fontId="0" fillId="3" borderId="0" xfId="0" applyFont="1" applyFill="1"/>
    <xf numFmtId="0" fontId="0" fillId="3" borderId="0" xfId="0" applyFont="1" applyFill="1" applyAlignment="1">
      <alignment vertical="center"/>
    </xf>
    <xf numFmtId="165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zoomScaleNormal="100" workbookViewId="0"/>
  </sheetViews>
  <sheetFormatPr defaultRowHeight="14.4" x14ac:dyDescent="0.3"/>
  <cols>
    <col min="2" max="2" width="37.6640625" customWidth="1"/>
    <col min="3" max="3" width="36.5546875" customWidth="1"/>
    <col min="4" max="4" width="60.33203125" customWidth="1"/>
    <col min="5" max="5" width="53" customWidth="1"/>
    <col min="6" max="6" width="27.44140625" customWidth="1"/>
    <col min="7" max="7" width="32.88671875" customWidth="1"/>
    <col min="8" max="8" width="27" customWidth="1"/>
    <col min="9" max="9" width="33.44140625" customWidth="1"/>
    <col min="10" max="10" width="28.5546875" style="14" customWidth="1"/>
    <col min="11" max="11" width="14.5546875" customWidth="1"/>
  </cols>
  <sheetData>
    <row r="1" spans="1:19" ht="18" x14ac:dyDescent="0.35">
      <c r="A1" s="32" t="s">
        <v>238</v>
      </c>
      <c r="B1" s="31"/>
      <c r="C1" s="31"/>
      <c r="H1" s="29" t="s">
        <v>231</v>
      </c>
      <c r="I1" s="1" t="s">
        <v>230</v>
      </c>
      <c r="K1" s="1"/>
      <c r="O1" s="1"/>
    </row>
    <row r="2" spans="1:19" x14ac:dyDescent="0.3">
      <c r="B2" s="31" t="s">
        <v>14</v>
      </c>
      <c r="C2" s="31"/>
      <c r="D2" s="31"/>
      <c r="G2" s="2"/>
      <c r="H2" s="1"/>
      <c r="K2" s="1"/>
      <c r="L2" s="15" t="s">
        <v>239</v>
      </c>
      <c r="O2" s="1"/>
    </row>
    <row r="3" spans="1:19" x14ac:dyDescent="0.3">
      <c r="B3" s="1" t="s">
        <v>0</v>
      </c>
      <c r="C3" s="1" t="s">
        <v>1</v>
      </c>
      <c r="D3" s="1" t="s">
        <v>2</v>
      </c>
      <c r="E3" s="1" t="s">
        <v>89</v>
      </c>
      <c r="F3" s="1" t="s">
        <v>90</v>
      </c>
      <c r="G3" s="1" t="s">
        <v>17</v>
      </c>
      <c r="H3" s="1" t="s">
        <v>15</v>
      </c>
      <c r="I3" s="1" t="s">
        <v>16</v>
      </c>
      <c r="J3" s="15" t="s">
        <v>29</v>
      </c>
      <c r="K3" s="1"/>
      <c r="L3" s="1" t="s">
        <v>116</v>
      </c>
      <c r="M3" s="1"/>
      <c r="N3" s="1" t="s">
        <v>117</v>
      </c>
      <c r="O3" s="1"/>
      <c r="P3" s="1" t="s">
        <v>118</v>
      </c>
      <c r="Q3" s="1"/>
      <c r="R3" s="1"/>
      <c r="S3" s="1"/>
    </row>
    <row r="4" spans="1:19" x14ac:dyDescent="0.3">
      <c r="G4" s="3"/>
      <c r="R4" s="1"/>
      <c r="S4" s="1"/>
    </row>
    <row r="5" spans="1:19" x14ac:dyDescent="0.3">
      <c r="A5" s="9"/>
      <c r="B5" t="s">
        <v>3</v>
      </c>
      <c r="C5" t="s">
        <v>4</v>
      </c>
      <c r="D5" s="5" t="s">
        <v>13</v>
      </c>
      <c r="E5" s="5" t="s">
        <v>18</v>
      </c>
      <c r="F5" s="5">
        <v>323.16000000000003</v>
      </c>
      <c r="G5">
        <v>25.591000000000001</v>
      </c>
      <c r="H5">
        <f>4184*G5</f>
        <v>107072.74400000001</v>
      </c>
      <c r="I5" s="27">
        <f>(H5 + 8.314*F5)</f>
        <v>109759.49624000001</v>
      </c>
      <c r="J5" s="12">
        <f>0.239*I5/1000</f>
        <v>26.23251960136</v>
      </c>
    </row>
    <row r="6" spans="1:19" x14ac:dyDescent="0.3">
      <c r="A6" s="4"/>
      <c r="B6" t="s">
        <v>3</v>
      </c>
      <c r="C6" t="s">
        <v>4</v>
      </c>
      <c r="D6" t="s">
        <v>20</v>
      </c>
      <c r="E6" s="5" t="s">
        <v>18</v>
      </c>
      <c r="F6" s="5">
        <v>373.16</v>
      </c>
      <c r="I6" s="27"/>
      <c r="J6" s="23">
        <v>22.9</v>
      </c>
    </row>
    <row r="7" spans="1:19" x14ac:dyDescent="0.3">
      <c r="A7" s="9"/>
      <c r="B7" t="s">
        <v>5</v>
      </c>
      <c r="C7" t="s">
        <v>6</v>
      </c>
      <c r="D7" s="5" t="s">
        <v>13</v>
      </c>
      <c r="E7" s="5" t="s">
        <v>18</v>
      </c>
      <c r="F7" s="5">
        <v>323.16000000000003</v>
      </c>
      <c r="G7">
        <v>25.263000000000002</v>
      </c>
      <c r="H7">
        <f>4184*G7</f>
        <v>105700.39200000001</v>
      </c>
      <c r="I7" s="27">
        <f>(H7 + 8.314*F7)</f>
        <v>108387.14424000001</v>
      </c>
      <c r="J7" s="12">
        <f t="shared" ref="J7:J24" si="0">0.239*I7/1000</f>
        <v>25.904527473360002</v>
      </c>
    </row>
    <row r="8" spans="1:19" x14ac:dyDescent="0.3">
      <c r="A8" s="4"/>
      <c r="B8" t="s">
        <v>5</v>
      </c>
      <c r="C8" t="s">
        <v>6</v>
      </c>
      <c r="D8" t="s">
        <v>20</v>
      </c>
      <c r="E8" s="5" t="s">
        <v>18</v>
      </c>
      <c r="F8" s="5"/>
      <c r="I8" s="27"/>
      <c r="J8" s="12">
        <v>26.3</v>
      </c>
    </row>
    <row r="9" spans="1:19" x14ac:dyDescent="0.3">
      <c r="B9" t="s">
        <v>7</v>
      </c>
      <c r="C9" t="s">
        <v>8</v>
      </c>
      <c r="D9" s="5" t="s">
        <v>13</v>
      </c>
      <c r="E9" s="5" t="s">
        <v>18</v>
      </c>
      <c r="F9" s="5">
        <v>323.16000000000003</v>
      </c>
      <c r="G9">
        <v>24.141999999999999</v>
      </c>
      <c r="H9">
        <f>4184*G9</f>
        <v>101010.128</v>
      </c>
      <c r="I9" s="27">
        <f>(H9 + 8.314*F9)</f>
        <v>103696.88024</v>
      </c>
      <c r="J9" s="12">
        <f t="shared" si="0"/>
        <v>24.783554377360002</v>
      </c>
    </row>
    <row r="10" spans="1:19" x14ac:dyDescent="0.3">
      <c r="A10" s="4"/>
      <c r="B10" t="s">
        <v>7</v>
      </c>
      <c r="C10" t="s">
        <v>8</v>
      </c>
      <c r="D10" t="s">
        <v>20</v>
      </c>
      <c r="E10" s="5" t="s">
        <v>18</v>
      </c>
      <c r="F10" s="5"/>
      <c r="I10" s="27"/>
      <c r="J10" s="12">
        <v>25.3</v>
      </c>
    </row>
    <row r="11" spans="1:19" x14ac:dyDescent="0.3">
      <c r="B11" t="s">
        <v>9</v>
      </c>
      <c r="C11" t="s">
        <v>10</v>
      </c>
      <c r="D11" s="5" t="s">
        <v>13</v>
      </c>
      <c r="E11" s="5" t="s">
        <v>18</v>
      </c>
      <c r="F11" s="5">
        <v>323.16000000000003</v>
      </c>
      <c r="G11">
        <v>25.95</v>
      </c>
      <c r="H11">
        <f>4184*G11</f>
        <v>108574.8</v>
      </c>
      <c r="I11" s="27">
        <f>(H11 + 8.314*F11)</f>
        <v>111261.55224</v>
      </c>
      <c r="J11" s="12">
        <f t="shared" si="0"/>
        <v>26.591510985359999</v>
      </c>
    </row>
    <row r="12" spans="1:19" x14ac:dyDescent="0.3">
      <c r="B12" t="s">
        <v>9</v>
      </c>
      <c r="C12" t="s">
        <v>10</v>
      </c>
      <c r="D12" t="s">
        <v>20</v>
      </c>
      <c r="E12" s="5" t="s">
        <v>18</v>
      </c>
      <c r="F12" s="5"/>
      <c r="I12" s="27"/>
      <c r="J12" s="12">
        <v>26.3</v>
      </c>
    </row>
    <row r="13" spans="1:19" x14ac:dyDescent="0.3">
      <c r="B13" t="s">
        <v>11</v>
      </c>
      <c r="C13" t="s">
        <v>12</v>
      </c>
      <c r="D13" s="5" t="s">
        <v>13</v>
      </c>
      <c r="E13" s="5" t="s">
        <v>18</v>
      </c>
      <c r="F13" s="5">
        <v>323.16000000000003</v>
      </c>
      <c r="G13">
        <v>24.96</v>
      </c>
      <c r="H13">
        <f>4184*G13</f>
        <v>104432.64</v>
      </c>
      <c r="I13" s="27">
        <f>(H13 + 8.314*F13)</f>
        <v>107119.39224</v>
      </c>
      <c r="J13" s="12">
        <f t="shared" si="0"/>
        <v>25.601534745360002</v>
      </c>
    </row>
    <row r="14" spans="1:19" x14ac:dyDescent="0.3">
      <c r="B14" t="s">
        <v>11</v>
      </c>
      <c r="C14" t="s">
        <v>12</v>
      </c>
      <c r="D14" t="s">
        <v>21</v>
      </c>
      <c r="E14" s="5" t="s">
        <v>18</v>
      </c>
      <c r="F14" s="5"/>
      <c r="G14" s="5"/>
      <c r="I14" s="27">
        <v>110800</v>
      </c>
      <c r="J14" s="12">
        <f t="shared" si="0"/>
        <v>26.481200000000001</v>
      </c>
    </row>
    <row r="15" spans="1:19" x14ac:dyDescent="0.3">
      <c r="B15" t="s">
        <v>91</v>
      </c>
      <c r="C15" t="s">
        <v>207</v>
      </c>
      <c r="D15" t="s">
        <v>20</v>
      </c>
      <c r="E15" s="5" t="s">
        <v>18</v>
      </c>
      <c r="F15" s="5"/>
      <c r="I15" s="27"/>
      <c r="J15" s="12">
        <v>26.5</v>
      </c>
    </row>
    <row r="16" spans="1:19" x14ac:dyDescent="0.3">
      <c r="B16" t="s">
        <v>3</v>
      </c>
      <c r="C16" t="s">
        <v>4</v>
      </c>
      <c r="D16" t="s">
        <v>20</v>
      </c>
      <c r="E16" s="5" t="s">
        <v>19</v>
      </c>
      <c r="F16" s="5"/>
      <c r="I16" s="27"/>
      <c r="J16" s="23">
        <v>21.6</v>
      </c>
    </row>
    <row r="17" spans="2:10" x14ac:dyDescent="0.3">
      <c r="E17" s="5"/>
      <c r="F17" s="5"/>
      <c r="I17" s="27"/>
    </row>
    <row r="18" spans="2:10" x14ac:dyDescent="0.3">
      <c r="B18" t="s">
        <v>5</v>
      </c>
      <c r="C18" t="s">
        <v>6</v>
      </c>
      <c r="D18" t="s">
        <v>20</v>
      </c>
      <c r="E18" s="5" t="s">
        <v>19</v>
      </c>
      <c r="F18" s="5"/>
      <c r="I18" s="27"/>
      <c r="J18" s="14">
        <v>24.3</v>
      </c>
    </row>
    <row r="19" spans="2:10" x14ac:dyDescent="0.3">
      <c r="E19" s="5"/>
      <c r="F19" s="5"/>
      <c r="I19" s="27"/>
    </row>
    <row r="20" spans="2:10" x14ac:dyDescent="0.3">
      <c r="B20" t="s">
        <v>7</v>
      </c>
      <c r="C20" t="s">
        <v>8</v>
      </c>
      <c r="D20" t="s">
        <v>20</v>
      </c>
      <c r="E20" s="5" t="s">
        <v>19</v>
      </c>
      <c r="F20" s="5"/>
      <c r="I20" s="27"/>
      <c r="J20" s="23">
        <v>23</v>
      </c>
    </row>
    <row r="21" spans="2:10" x14ac:dyDescent="0.3">
      <c r="E21" s="5"/>
      <c r="F21" s="5"/>
      <c r="I21" s="27"/>
    </row>
    <row r="22" spans="2:10" x14ac:dyDescent="0.3">
      <c r="B22" t="s">
        <v>9</v>
      </c>
      <c r="C22" t="s">
        <v>10</v>
      </c>
      <c r="D22" t="s">
        <v>20</v>
      </c>
      <c r="E22" s="5" t="s">
        <v>19</v>
      </c>
      <c r="F22" s="5"/>
      <c r="I22" s="27"/>
      <c r="J22" s="23">
        <v>22.2</v>
      </c>
    </row>
    <row r="23" spans="2:10" x14ac:dyDescent="0.3">
      <c r="E23" s="5"/>
      <c r="F23" s="5"/>
      <c r="I23" s="27"/>
    </row>
    <row r="24" spans="2:10" x14ac:dyDescent="0.3">
      <c r="B24" t="s">
        <v>11</v>
      </c>
      <c r="C24" t="s">
        <v>12</v>
      </c>
      <c r="D24" t="s">
        <v>45</v>
      </c>
      <c r="E24" s="5" t="s">
        <v>19</v>
      </c>
      <c r="F24" s="5"/>
      <c r="I24" s="27">
        <v>101200</v>
      </c>
      <c r="J24" s="12">
        <f t="shared" si="0"/>
        <v>24.186799999999998</v>
      </c>
    </row>
    <row r="25" spans="2:10" x14ac:dyDescent="0.3">
      <c r="B25" t="s">
        <v>91</v>
      </c>
      <c r="C25" t="s">
        <v>207</v>
      </c>
      <c r="D25" t="s">
        <v>20</v>
      </c>
      <c r="E25" s="5" t="s">
        <v>19</v>
      </c>
      <c r="I25" s="27"/>
      <c r="J25" s="23">
        <v>26.2</v>
      </c>
    </row>
    <row r="26" spans="2:10" x14ac:dyDescent="0.3">
      <c r="B26" t="s">
        <v>22</v>
      </c>
      <c r="C26" t="s">
        <v>23</v>
      </c>
      <c r="D26" t="s">
        <v>24</v>
      </c>
      <c r="E26">
        <v>25</v>
      </c>
      <c r="F26">
        <f t="shared" ref="F26:F31" si="1">273+E26</f>
        <v>298</v>
      </c>
      <c r="G26">
        <v>23.26</v>
      </c>
      <c r="H26">
        <f t="shared" ref="H26:H29" si="2">4184*G26</f>
        <v>97319.840000000011</v>
      </c>
      <c r="I26" s="27">
        <f t="shared" ref="I26:I31" si="3">H26+(F26*8.314)</f>
        <v>99797.412000000011</v>
      </c>
      <c r="J26" s="12">
        <f t="shared" ref="J26:J29" si="4">G26+(F26*1.9872041*10^-3)</f>
        <v>23.8521868218</v>
      </c>
    </row>
    <row r="27" spans="2:10" x14ac:dyDescent="0.3">
      <c r="E27">
        <v>50</v>
      </c>
      <c r="F27">
        <f t="shared" si="1"/>
        <v>323</v>
      </c>
      <c r="G27">
        <v>22.01</v>
      </c>
      <c r="H27">
        <f t="shared" si="2"/>
        <v>92089.840000000011</v>
      </c>
      <c r="I27" s="27">
        <f t="shared" si="3"/>
        <v>94775.262000000017</v>
      </c>
      <c r="J27" s="12">
        <f t="shared" si="4"/>
        <v>22.651866924300002</v>
      </c>
    </row>
    <row r="28" spans="2:10" x14ac:dyDescent="0.3">
      <c r="B28" t="s">
        <v>25</v>
      </c>
      <c r="C28" t="s">
        <v>26</v>
      </c>
      <c r="D28" t="s">
        <v>24</v>
      </c>
      <c r="E28">
        <v>25</v>
      </c>
      <c r="F28">
        <f t="shared" si="1"/>
        <v>298</v>
      </c>
      <c r="G28">
        <v>22.63</v>
      </c>
      <c r="H28">
        <f t="shared" si="2"/>
        <v>94683.92</v>
      </c>
      <c r="I28" s="27">
        <f t="shared" si="3"/>
        <v>97161.491999999998</v>
      </c>
      <c r="J28" s="12">
        <f t="shared" si="4"/>
        <v>23.222186821799998</v>
      </c>
    </row>
    <row r="29" spans="2:10" x14ac:dyDescent="0.3">
      <c r="E29">
        <v>50</v>
      </c>
      <c r="F29">
        <f t="shared" si="1"/>
        <v>323</v>
      </c>
      <c r="G29">
        <v>21.15</v>
      </c>
      <c r="H29">
        <f t="shared" si="2"/>
        <v>88491.599999999991</v>
      </c>
      <c r="I29" s="27">
        <f t="shared" si="3"/>
        <v>91177.021999999997</v>
      </c>
      <c r="J29" s="12">
        <f t="shared" si="4"/>
        <v>21.791866924299999</v>
      </c>
    </row>
    <row r="30" spans="2:10" x14ac:dyDescent="0.3">
      <c r="B30" t="s">
        <v>27</v>
      </c>
      <c r="C30" t="s">
        <v>28</v>
      </c>
      <c r="D30" t="s">
        <v>24</v>
      </c>
      <c r="E30">
        <v>25</v>
      </c>
      <c r="F30">
        <f t="shared" si="1"/>
        <v>298</v>
      </c>
      <c r="G30">
        <v>24.08</v>
      </c>
      <c r="H30">
        <f>4184*G30</f>
        <v>100750.71999999999</v>
      </c>
      <c r="I30" s="27">
        <f t="shared" si="3"/>
        <v>103228.29199999999</v>
      </c>
      <c r="J30" s="12">
        <f>G30+(F30*1.9872041*10^-3)</f>
        <v>24.672186821799997</v>
      </c>
    </row>
    <row r="31" spans="2:10" x14ac:dyDescent="0.3">
      <c r="E31">
        <v>50</v>
      </c>
      <c r="F31">
        <f t="shared" si="1"/>
        <v>323</v>
      </c>
      <c r="G31">
        <v>22.91</v>
      </c>
      <c r="H31">
        <f>4184*G31</f>
        <v>95855.44</v>
      </c>
      <c r="I31" s="27">
        <f t="shared" si="3"/>
        <v>98540.862000000008</v>
      </c>
      <c r="J31" s="12">
        <f>G31+(F31*1.9872041*10^-3)</f>
        <v>23.551866924300001</v>
      </c>
    </row>
    <row r="32" spans="2:10" x14ac:dyDescent="0.3">
      <c r="B32" s="10" t="s">
        <v>30</v>
      </c>
      <c r="C32" t="s">
        <v>31</v>
      </c>
      <c r="D32" t="s">
        <v>32</v>
      </c>
      <c r="E32" t="s">
        <v>35</v>
      </c>
      <c r="I32" s="27">
        <v>103000</v>
      </c>
      <c r="J32" s="12">
        <f>0.239*I32/1000</f>
        <v>24.617000000000001</v>
      </c>
    </row>
    <row r="33" spans="2:16" x14ac:dyDescent="0.3">
      <c r="B33" t="s">
        <v>33</v>
      </c>
      <c r="C33" t="s">
        <v>34</v>
      </c>
      <c r="D33" t="s">
        <v>32</v>
      </c>
      <c r="I33" s="27"/>
    </row>
    <row r="34" spans="2:16" x14ac:dyDescent="0.3">
      <c r="D34" s="5"/>
      <c r="I34" s="27"/>
    </row>
    <row r="35" spans="2:16" x14ac:dyDescent="0.3">
      <c r="B35" t="s">
        <v>36</v>
      </c>
      <c r="C35" t="s">
        <v>37</v>
      </c>
      <c r="D35" t="s">
        <v>38</v>
      </c>
      <c r="E35" t="s">
        <v>39</v>
      </c>
      <c r="I35" s="27">
        <f>111*1000</f>
        <v>111000</v>
      </c>
      <c r="J35" s="12">
        <f>0.239*I35/1000</f>
        <v>26.529</v>
      </c>
    </row>
    <row r="36" spans="2:16" x14ac:dyDescent="0.3">
      <c r="D36" s="5"/>
      <c r="I36" s="27"/>
    </row>
    <row r="37" spans="2:16" x14ac:dyDescent="0.3">
      <c r="B37" t="s">
        <v>40</v>
      </c>
      <c r="C37" t="s">
        <v>41</v>
      </c>
      <c r="D37" t="s">
        <v>38</v>
      </c>
      <c r="E37" t="s">
        <v>42</v>
      </c>
      <c r="I37" s="27">
        <f>119*1000</f>
        <v>119000</v>
      </c>
      <c r="J37" s="12">
        <f>0.239*I37/1000</f>
        <v>28.440999999999999</v>
      </c>
    </row>
    <row r="38" spans="2:16" x14ac:dyDescent="0.3">
      <c r="D38" s="5"/>
      <c r="E38" s="5"/>
      <c r="F38" s="5"/>
      <c r="I38" s="27"/>
    </row>
    <row r="39" spans="2:16" x14ac:dyDescent="0.3">
      <c r="B39" t="s">
        <v>43</v>
      </c>
      <c r="C39" t="s">
        <v>44</v>
      </c>
      <c r="D39" t="s">
        <v>45</v>
      </c>
      <c r="I39" s="14">
        <v>118700</v>
      </c>
      <c r="J39" s="12">
        <f>0.239*I39*10^-3</f>
        <v>28.369299999999999</v>
      </c>
    </row>
    <row r="40" spans="2:16" x14ac:dyDescent="0.3">
      <c r="H40" s="7"/>
      <c r="I40" s="27"/>
      <c r="J40" s="12"/>
    </row>
    <row r="41" spans="2:16" x14ac:dyDescent="0.3">
      <c r="B41" s="34" t="s">
        <v>224</v>
      </c>
      <c r="C41" s="34"/>
      <c r="D41" s="34"/>
      <c r="E41" s="34" t="s">
        <v>106</v>
      </c>
      <c r="F41" s="34">
        <v>298.14999999999998</v>
      </c>
      <c r="G41" s="34"/>
      <c r="H41" s="34"/>
      <c r="I41" s="35"/>
      <c r="J41" s="34">
        <f>MEDIAN(18.6,25.1)</f>
        <v>21.85</v>
      </c>
    </row>
    <row r="42" spans="2:16" x14ac:dyDescent="0.3">
      <c r="B42" s="34"/>
      <c r="C42" s="34"/>
      <c r="D42" s="34"/>
      <c r="E42" s="34" t="s">
        <v>107</v>
      </c>
      <c r="F42" s="34">
        <v>298.14999999999998</v>
      </c>
      <c r="G42" s="34"/>
      <c r="H42" s="34"/>
      <c r="I42" s="35"/>
      <c r="J42" s="34">
        <f>MEDIAN(22.23,29.398)</f>
        <v>25.814</v>
      </c>
    </row>
    <row r="43" spans="2:16" x14ac:dyDescent="0.3">
      <c r="B43" s="16" t="s">
        <v>105</v>
      </c>
      <c r="H43" s="33" t="s">
        <v>240</v>
      </c>
      <c r="I43" s="30">
        <f>4184*J43</f>
        <v>104147.52494940306</v>
      </c>
      <c r="J43" s="17">
        <f>AVERAGE(J5:J39)</f>
        <v>24.89185586744815</v>
      </c>
      <c r="L43" s="12"/>
      <c r="N43" s="12">
        <f>AVERAGE(J5:J15,J26:J31,J32,J35,J39)</f>
        <v>25.107615421055002</v>
      </c>
      <c r="P43" s="12">
        <f>AVERAGE(J16:J25,J37)</f>
        <v>24.275399999999998</v>
      </c>
    </row>
    <row r="44" spans="2:16" x14ac:dyDescent="0.3">
      <c r="H44" s="7"/>
      <c r="I44" s="27"/>
      <c r="N44" t="s">
        <v>213</v>
      </c>
      <c r="P44" t="s">
        <v>214</v>
      </c>
    </row>
    <row r="45" spans="2:16" x14ac:dyDescent="0.3">
      <c r="B45" s="31" t="s">
        <v>232</v>
      </c>
      <c r="C45" s="31"/>
      <c r="D45" s="5"/>
      <c r="H45" s="7"/>
      <c r="I45" s="27"/>
      <c r="K45" s="7"/>
      <c r="L45" s="7"/>
    </row>
    <row r="46" spans="2:16" x14ac:dyDescent="0.3">
      <c r="B46" s="1"/>
      <c r="D46" s="5"/>
      <c r="H46" s="7"/>
      <c r="I46" s="27"/>
      <c r="K46" s="7"/>
      <c r="L46" s="7"/>
    </row>
    <row r="47" spans="2:16" x14ac:dyDescent="0.3">
      <c r="B47" t="s">
        <v>46</v>
      </c>
      <c r="C47" t="s">
        <v>47</v>
      </c>
      <c r="D47" t="s">
        <v>32</v>
      </c>
      <c r="E47" t="s">
        <v>48</v>
      </c>
      <c r="I47" s="14">
        <v>105800</v>
      </c>
      <c r="J47" s="12">
        <f>0.239*I47*10^-3</f>
        <v>25.286200000000001</v>
      </c>
      <c r="K47" s="7"/>
    </row>
    <row r="48" spans="2:16" x14ac:dyDescent="0.3">
      <c r="D48" s="5"/>
      <c r="I48" s="14"/>
      <c r="K48" s="7"/>
    </row>
    <row r="49" spans="2:16" x14ac:dyDescent="0.3">
      <c r="B49" t="s">
        <v>46</v>
      </c>
      <c r="C49" t="s">
        <v>47</v>
      </c>
      <c r="D49" t="s">
        <v>32</v>
      </c>
      <c r="E49" t="s">
        <v>49</v>
      </c>
      <c r="I49" s="14">
        <v>98300</v>
      </c>
      <c r="J49" s="12">
        <f>0.239*I49*10^-3</f>
        <v>23.4937</v>
      </c>
      <c r="K49" s="7"/>
    </row>
    <row r="50" spans="2:16" x14ac:dyDescent="0.3">
      <c r="I50" s="14"/>
      <c r="M50" s="7"/>
    </row>
    <row r="51" spans="2:16" x14ac:dyDescent="0.3">
      <c r="B51" t="s">
        <v>50</v>
      </c>
      <c r="C51" t="s">
        <v>51</v>
      </c>
      <c r="D51" t="s">
        <v>32</v>
      </c>
      <c r="E51" t="s">
        <v>52</v>
      </c>
      <c r="I51" s="14">
        <v>94100</v>
      </c>
      <c r="J51" s="12">
        <f>0.239*I51*10^-3</f>
        <v>22.489899999999999</v>
      </c>
    </row>
    <row r="52" spans="2:16" x14ac:dyDescent="0.3">
      <c r="D52" s="5"/>
      <c r="E52" s="5"/>
      <c r="F52" s="5"/>
      <c r="H52" s="14"/>
      <c r="I52" s="27"/>
    </row>
    <row r="53" spans="2:16" x14ac:dyDescent="0.3">
      <c r="B53" t="s">
        <v>208</v>
      </c>
      <c r="C53" t="s">
        <v>209</v>
      </c>
      <c r="D53" s="5" t="s">
        <v>55</v>
      </c>
      <c r="E53">
        <v>25</v>
      </c>
      <c r="F53">
        <f>273+E53</f>
        <v>298</v>
      </c>
      <c r="G53">
        <v>27</v>
      </c>
      <c r="H53">
        <f t="shared" ref="H53" si="5">4184*G53</f>
        <v>112968</v>
      </c>
      <c r="I53" s="27">
        <f t="shared" ref="I53" si="6">H53+(F53*8.314)</f>
        <v>115445.572</v>
      </c>
      <c r="J53" s="12">
        <f>0.239*I53/1000</f>
        <v>27.591491708</v>
      </c>
    </row>
    <row r="54" spans="2:16" x14ac:dyDescent="0.3">
      <c r="E54" s="5"/>
      <c r="H54" s="14"/>
      <c r="I54" s="27"/>
    </row>
    <row r="55" spans="2:16" x14ac:dyDescent="0.3">
      <c r="B55" t="s">
        <v>53</v>
      </c>
      <c r="C55" t="s">
        <v>54</v>
      </c>
      <c r="D55" t="s">
        <v>55</v>
      </c>
      <c r="E55">
        <v>25</v>
      </c>
      <c r="F55">
        <f>273+E55</f>
        <v>298</v>
      </c>
      <c r="G55">
        <v>26.94</v>
      </c>
      <c r="H55">
        <f t="shared" ref="H55" si="7">4184*G55</f>
        <v>112716.96</v>
      </c>
      <c r="I55" s="27">
        <f t="shared" ref="I55" si="8">H55+(F55*8.314)</f>
        <v>115194.53200000001</v>
      </c>
      <c r="J55" s="12">
        <f>0.239*I55/1000</f>
        <v>27.531493148000003</v>
      </c>
    </row>
    <row r="56" spans="2:16" x14ac:dyDescent="0.3">
      <c r="D56" s="5"/>
      <c r="E56" s="5"/>
      <c r="F56" s="5"/>
      <c r="H56" s="14"/>
      <c r="I56" s="27"/>
    </row>
    <row r="57" spans="2:16" x14ac:dyDescent="0.3">
      <c r="B57" t="s">
        <v>58</v>
      </c>
      <c r="C57" t="s">
        <v>56</v>
      </c>
      <c r="D57" t="s">
        <v>57</v>
      </c>
      <c r="E57" t="s">
        <v>59</v>
      </c>
      <c r="I57" s="14">
        <v>91100</v>
      </c>
      <c r="J57" s="12">
        <f>0.239*I57*10^-3</f>
        <v>21.7729</v>
      </c>
    </row>
    <row r="58" spans="2:16" x14ac:dyDescent="0.3">
      <c r="H58" s="7"/>
      <c r="I58" s="27"/>
    </row>
    <row r="59" spans="2:16" x14ac:dyDescent="0.3">
      <c r="B59" s="34" t="s">
        <v>224</v>
      </c>
      <c r="C59" s="34"/>
      <c r="D59" s="34"/>
      <c r="E59" s="34" t="s">
        <v>104</v>
      </c>
      <c r="F59" s="34">
        <v>298.14999999999998</v>
      </c>
      <c r="G59" s="34"/>
      <c r="H59" s="36"/>
      <c r="I59" s="35"/>
      <c r="J59" s="34">
        <f>MEDIAN(18.6,25.1)</f>
        <v>21.85</v>
      </c>
    </row>
    <row r="60" spans="2:16" x14ac:dyDescent="0.3">
      <c r="B60" s="34"/>
      <c r="C60" s="34"/>
      <c r="D60" s="34"/>
      <c r="E60" s="34" t="s">
        <v>107</v>
      </c>
      <c r="F60" s="34">
        <v>298.14999999999998</v>
      </c>
      <c r="G60" s="34"/>
      <c r="H60" s="36"/>
      <c r="I60" s="35"/>
      <c r="J60" s="34">
        <f>MEDIAN(22.23,29.398)</f>
        <v>25.814</v>
      </c>
    </row>
    <row r="61" spans="2:16" x14ac:dyDescent="0.3">
      <c r="B61" s="16" t="s">
        <v>105</v>
      </c>
      <c r="H61" s="33" t="s">
        <v>240</v>
      </c>
      <c r="I61" s="30">
        <f>4184*J61</f>
        <v>103320.87090625068</v>
      </c>
      <c r="J61" s="17">
        <f>AVERAGE(J47:J57)</f>
        <v>24.694280809333335</v>
      </c>
      <c r="N61" s="12">
        <f>AVERAGE(J57,J53,J55)</f>
        <v>25.631961618666669</v>
      </c>
      <c r="P61" s="12">
        <f>AVERAGE(J47:J51)</f>
        <v>23.756600000000002</v>
      </c>
    </row>
    <row r="62" spans="2:16" x14ac:dyDescent="0.3">
      <c r="H62" s="7"/>
      <c r="I62" s="27"/>
      <c r="N62" t="s">
        <v>221</v>
      </c>
      <c r="P62" t="s">
        <v>214</v>
      </c>
    </row>
    <row r="63" spans="2:16" x14ac:dyDescent="0.3">
      <c r="B63" s="1" t="s">
        <v>235</v>
      </c>
      <c r="D63" s="5"/>
      <c r="E63" s="5"/>
      <c r="F63" s="5"/>
      <c r="I63" s="27"/>
    </row>
    <row r="64" spans="2:16" x14ac:dyDescent="0.3">
      <c r="B64" s="1"/>
      <c r="D64" s="5"/>
      <c r="E64" s="5"/>
      <c r="F64" s="5"/>
      <c r="I64" s="27"/>
    </row>
    <row r="65" spans="1:17" ht="14.25" customHeight="1" x14ac:dyDescent="0.3">
      <c r="B65" s="19" t="s">
        <v>119</v>
      </c>
      <c r="C65" t="s">
        <v>120</v>
      </c>
      <c r="D65" s="20" t="s">
        <v>237</v>
      </c>
      <c r="E65" s="5"/>
      <c r="F65" s="5"/>
      <c r="I65" s="27"/>
      <c r="J65" s="14">
        <v>15.4</v>
      </c>
    </row>
    <row r="66" spans="1:17" x14ac:dyDescent="0.3">
      <c r="B66" t="s">
        <v>61</v>
      </c>
      <c r="C66" t="s">
        <v>62</v>
      </c>
      <c r="D66" s="5" t="s">
        <v>60</v>
      </c>
      <c r="E66" s="5" t="s">
        <v>66</v>
      </c>
      <c r="I66" s="27"/>
      <c r="J66" s="14">
        <v>18.989999999999998</v>
      </c>
    </row>
    <row r="67" spans="1:17" x14ac:dyDescent="0.3">
      <c r="B67" t="s">
        <v>63</v>
      </c>
      <c r="C67" t="s">
        <v>64</v>
      </c>
      <c r="D67" s="5" t="s">
        <v>65</v>
      </c>
      <c r="E67" s="5" t="s">
        <v>66</v>
      </c>
      <c r="F67" s="5"/>
      <c r="I67" s="27"/>
      <c r="J67" s="14">
        <v>18.62</v>
      </c>
      <c r="K67" s="7"/>
      <c r="L67" s="7"/>
    </row>
    <row r="68" spans="1:17" x14ac:dyDescent="0.3">
      <c r="D68" s="5"/>
      <c r="E68" s="5"/>
      <c r="F68" s="5"/>
      <c r="I68" s="27"/>
      <c r="K68" s="7"/>
      <c r="L68" s="7"/>
    </row>
    <row r="69" spans="1:17" x14ac:dyDescent="0.3">
      <c r="B69" s="16" t="s">
        <v>105</v>
      </c>
      <c r="D69" s="5"/>
      <c r="E69" s="5"/>
      <c r="F69" s="5"/>
      <c r="H69" s="33" t="s">
        <v>240</v>
      </c>
      <c r="I69" s="30">
        <f>4184*J69</f>
        <v>73931.280000000013</v>
      </c>
      <c r="J69" s="17">
        <f>AVERAGE(J65:J68)</f>
        <v>17.670000000000002</v>
      </c>
      <c r="K69" s="7"/>
      <c r="L69" s="7"/>
    </row>
    <row r="70" spans="1:17" x14ac:dyDescent="0.3">
      <c r="D70" s="5"/>
      <c r="E70" s="5"/>
      <c r="F70" s="5"/>
      <c r="I70" s="27"/>
      <c r="K70" s="7"/>
      <c r="L70" s="7"/>
    </row>
    <row r="71" spans="1:17" x14ac:dyDescent="0.3">
      <c r="B71" s="1" t="s">
        <v>236</v>
      </c>
      <c r="D71" s="5"/>
      <c r="I71" s="27"/>
    </row>
    <row r="72" spans="1:17" x14ac:dyDescent="0.3">
      <c r="B72" s="1"/>
      <c r="D72" s="5"/>
      <c r="I72" s="27"/>
    </row>
    <row r="73" spans="1:17" x14ac:dyDescent="0.3">
      <c r="B73" s="6" t="s">
        <v>67</v>
      </c>
      <c r="C73" s="11" t="s">
        <v>68</v>
      </c>
      <c r="D73" s="8" t="s">
        <v>69</v>
      </c>
      <c r="E73" s="5"/>
      <c r="F73" s="5"/>
      <c r="I73" s="27">
        <v>57600</v>
      </c>
      <c r="J73" s="12">
        <f>0.239*I73/1000</f>
        <v>13.766399999999999</v>
      </c>
    </row>
    <row r="74" spans="1:17" x14ac:dyDescent="0.3">
      <c r="D74" s="5"/>
      <c r="I74" s="27"/>
    </row>
    <row r="75" spans="1:17" x14ac:dyDescent="0.3">
      <c r="B75" s="24" t="s">
        <v>191</v>
      </c>
      <c r="C75" s="11" t="s">
        <v>190</v>
      </c>
      <c r="D75" s="8" t="s">
        <v>71</v>
      </c>
      <c r="E75" s="5"/>
      <c r="F75" s="5">
        <v>298</v>
      </c>
      <c r="G75">
        <v>9.74</v>
      </c>
      <c r="H75">
        <f t="shared" ref="H75" si="9">4184*G75</f>
        <v>40752.160000000003</v>
      </c>
      <c r="I75" s="27">
        <f t="shared" ref="I75" si="10">H75+(F75*8.314)</f>
        <v>43229.732000000004</v>
      </c>
      <c r="J75" s="12">
        <f>0.239*I75/1000</f>
        <v>10.331905947999999</v>
      </c>
    </row>
    <row r="76" spans="1:17" x14ac:dyDescent="0.3">
      <c r="I76" s="27"/>
    </row>
    <row r="77" spans="1:17" x14ac:dyDescent="0.3">
      <c r="A77" s="4"/>
      <c r="B77" s="6" t="s">
        <v>75</v>
      </c>
      <c r="C77" s="11" t="s">
        <v>70</v>
      </c>
      <c r="D77" t="s">
        <v>74</v>
      </c>
      <c r="I77" s="27"/>
      <c r="J77" s="12">
        <v>11</v>
      </c>
      <c r="M77" s="7"/>
      <c r="N77" s="7"/>
      <c r="Q77" s="7"/>
    </row>
    <row r="78" spans="1:17" x14ac:dyDescent="0.3">
      <c r="A78" s="4"/>
      <c r="B78" t="s">
        <v>72</v>
      </c>
      <c r="C78" t="s">
        <v>73</v>
      </c>
      <c r="D78" t="s">
        <v>74</v>
      </c>
      <c r="I78" s="27"/>
      <c r="J78" s="12">
        <v>16.5</v>
      </c>
      <c r="M78" s="7"/>
      <c r="N78" s="7"/>
      <c r="Q78" s="7"/>
    </row>
    <row r="79" spans="1:17" x14ac:dyDescent="0.3">
      <c r="A79" s="4"/>
      <c r="B79" s="6"/>
      <c r="D79" s="8"/>
      <c r="I79" s="27"/>
    </row>
    <row r="80" spans="1:17" x14ac:dyDescent="0.3">
      <c r="B80" t="s">
        <v>76</v>
      </c>
      <c r="C80" t="s">
        <v>77</v>
      </c>
      <c r="D80" t="s">
        <v>78</v>
      </c>
      <c r="I80" s="28"/>
      <c r="J80" s="12">
        <v>13</v>
      </c>
    </row>
    <row r="81" spans="2:11" x14ac:dyDescent="0.3">
      <c r="I81" s="27"/>
    </row>
    <row r="82" spans="2:11" x14ac:dyDescent="0.3">
      <c r="B82" t="s">
        <v>79</v>
      </c>
      <c r="C82" t="s">
        <v>80</v>
      </c>
      <c r="D82" t="s">
        <v>78</v>
      </c>
      <c r="I82" s="27"/>
      <c r="J82" s="12">
        <v>12</v>
      </c>
    </row>
    <row r="83" spans="2:11" x14ac:dyDescent="0.3">
      <c r="I83" s="27"/>
    </row>
    <row r="84" spans="2:11" x14ac:dyDescent="0.3">
      <c r="B84" t="s">
        <v>81</v>
      </c>
      <c r="C84" t="s">
        <v>82</v>
      </c>
      <c r="D84" t="s">
        <v>78</v>
      </c>
      <c r="I84" s="27"/>
      <c r="J84" s="12">
        <v>14</v>
      </c>
    </row>
    <row r="85" spans="2:11" x14ac:dyDescent="0.3">
      <c r="I85" s="27"/>
    </row>
    <row r="86" spans="2:11" x14ac:dyDescent="0.3">
      <c r="B86" t="s">
        <v>83</v>
      </c>
      <c r="C86" t="s">
        <v>84</v>
      </c>
      <c r="D86" t="s">
        <v>78</v>
      </c>
      <c r="I86" s="27"/>
      <c r="J86" s="12">
        <v>13.5</v>
      </c>
    </row>
    <row r="87" spans="2:11" x14ac:dyDescent="0.3">
      <c r="I87" s="27"/>
      <c r="J87" s="12"/>
    </row>
    <row r="88" spans="2:11" x14ac:dyDescent="0.3">
      <c r="B88" s="16" t="s">
        <v>105</v>
      </c>
      <c r="H88" s="33" t="s">
        <v>240</v>
      </c>
      <c r="I88" s="30">
        <f>4184*J88</f>
        <v>54443.414010803994</v>
      </c>
      <c r="J88" s="17">
        <f>AVERAGE(J73:J87)</f>
        <v>13.012288243499999</v>
      </c>
    </row>
    <row r="89" spans="2:11" x14ac:dyDescent="0.3">
      <c r="I89" s="27"/>
    </row>
    <row r="90" spans="2:11" x14ac:dyDescent="0.3">
      <c r="B90" s="1" t="s">
        <v>85</v>
      </c>
      <c r="I90" s="27"/>
    </row>
    <row r="91" spans="2:11" x14ac:dyDescent="0.3">
      <c r="B91" s="1"/>
      <c r="I91" s="27"/>
    </row>
    <row r="92" spans="2:11" x14ac:dyDescent="0.3">
      <c r="B92" s="11"/>
      <c r="D92" s="10"/>
      <c r="E92" s="10"/>
      <c r="I92" s="27"/>
      <c r="J92" s="12"/>
    </row>
    <row r="93" spans="2:11" x14ac:dyDescent="0.3">
      <c r="B93" s="11"/>
      <c r="D93" s="10"/>
      <c r="E93" s="10"/>
      <c r="I93" s="27"/>
      <c r="J93" s="12"/>
    </row>
    <row r="94" spans="2:11" x14ac:dyDescent="0.3">
      <c r="B94" s="34" t="s">
        <v>108</v>
      </c>
      <c r="C94" s="34"/>
      <c r="D94" s="39"/>
      <c r="E94" s="39" t="s">
        <v>109</v>
      </c>
      <c r="F94" s="34">
        <v>298.14999999999998</v>
      </c>
      <c r="G94" s="34"/>
      <c r="H94" s="34"/>
      <c r="I94" s="35"/>
      <c r="J94" s="38">
        <f>MEDIAN(19.12,20.51)</f>
        <v>19.815000000000001</v>
      </c>
      <c r="K94" s="12"/>
    </row>
    <row r="95" spans="2:11" x14ac:dyDescent="0.3">
      <c r="B95" s="40"/>
      <c r="C95" s="34"/>
      <c r="D95" s="39"/>
      <c r="E95" s="39" t="s">
        <v>110</v>
      </c>
      <c r="F95" s="34">
        <v>298.14999999999998</v>
      </c>
      <c r="G95" s="34"/>
      <c r="H95" s="34"/>
      <c r="I95" s="35"/>
      <c r="J95" s="41">
        <f>MEDIAN(11.95,19.12)</f>
        <v>15.535</v>
      </c>
      <c r="K95" s="26"/>
    </row>
    <row r="96" spans="2:11" x14ac:dyDescent="0.3">
      <c r="B96" s="18" t="s">
        <v>105</v>
      </c>
      <c r="D96" s="10"/>
      <c r="E96" s="10"/>
      <c r="H96" s="33" t="s">
        <v>240</v>
      </c>
      <c r="I96" s="30">
        <f>4184*J96</f>
        <v>73952.2</v>
      </c>
      <c r="J96" s="17">
        <f>AVERAGE(J92:J95)</f>
        <v>17.675000000000001</v>
      </c>
    </row>
    <row r="97" spans="2:11" x14ac:dyDescent="0.3">
      <c r="I97" s="27"/>
    </row>
    <row r="98" spans="2:11" x14ac:dyDescent="0.3">
      <c r="B98" s="1" t="s">
        <v>233</v>
      </c>
      <c r="I98" s="27"/>
    </row>
    <row r="99" spans="2:11" x14ac:dyDescent="0.3">
      <c r="I99" s="27"/>
    </row>
    <row r="100" spans="2:11" x14ac:dyDescent="0.3">
      <c r="B100" s="11"/>
      <c r="C100" s="10"/>
      <c r="D100" s="10"/>
      <c r="I100" s="27"/>
      <c r="J100" s="12"/>
    </row>
    <row r="101" spans="2:11" x14ac:dyDescent="0.3">
      <c r="I101" s="27"/>
    </row>
    <row r="102" spans="2:11" x14ac:dyDescent="0.3">
      <c r="B102" s="11"/>
      <c r="C102" s="10"/>
      <c r="D102" s="10"/>
      <c r="I102" s="27"/>
      <c r="J102" s="12"/>
    </row>
    <row r="103" spans="2:11" x14ac:dyDescent="0.3">
      <c r="I103" s="27"/>
    </row>
    <row r="104" spans="2:11" x14ac:dyDescent="0.3">
      <c r="B104" s="34" t="s">
        <v>111</v>
      </c>
      <c r="C104" s="34"/>
      <c r="D104" s="34"/>
      <c r="E104" s="34" t="s">
        <v>112</v>
      </c>
      <c r="F104" s="34"/>
      <c r="G104" s="34"/>
      <c r="H104" s="34"/>
      <c r="I104" s="35"/>
      <c r="J104" s="37">
        <f>MEDIAN(9.56,19.12)</f>
        <v>14.34</v>
      </c>
    </row>
    <row r="105" spans="2:11" x14ac:dyDescent="0.3">
      <c r="B105" s="42"/>
      <c r="C105" s="42"/>
      <c r="D105" s="42"/>
      <c r="E105" s="42"/>
      <c r="F105" s="42"/>
      <c r="G105" s="42"/>
      <c r="H105" s="42"/>
      <c r="I105" s="43"/>
      <c r="J105" s="44"/>
      <c r="K105" s="42"/>
    </row>
    <row r="106" spans="2:11" x14ac:dyDescent="0.3">
      <c r="B106" s="16" t="s">
        <v>113</v>
      </c>
      <c r="H106" s="33" t="s">
        <v>240</v>
      </c>
      <c r="I106" s="30">
        <f>4184*J106</f>
        <v>59998.559999999998</v>
      </c>
      <c r="J106" s="17">
        <f>AVERAGE(J100:J105)</f>
        <v>14.34</v>
      </c>
    </row>
    <row r="107" spans="2:11" x14ac:dyDescent="0.3">
      <c r="I107" s="27"/>
    </row>
    <row r="108" spans="2:11" x14ac:dyDescent="0.3">
      <c r="B108" s="1" t="s">
        <v>234</v>
      </c>
      <c r="I108" s="27"/>
    </row>
    <row r="109" spans="2:11" x14ac:dyDescent="0.3">
      <c r="I109" s="27"/>
    </row>
    <row r="110" spans="2:11" x14ac:dyDescent="0.3">
      <c r="B110" s="10"/>
      <c r="C110" s="10"/>
      <c r="D110" s="10"/>
      <c r="I110" s="27"/>
      <c r="J110" s="12"/>
    </row>
    <row r="111" spans="2:11" x14ac:dyDescent="0.3">
      <c r="I111" s="27"/>
    </row>
    <row r="112" spans="2:11" x14ac:dyDescent="0.3">
      <c r="I112" s="27"/>
    </row>
    <row r="113" spans="2:10" x14ac:dyDescent="0.3">
      <c r="I113" s="27"/>
    </row>
    <row r="114" spans="2:10" x14ac:dyDescent="0.3">
      <c r="B114" s="10" t="s">
        <v>86</v>
      </c>
      <c r="C114" s="10" t="s">
        <v>87</v>
      </c>
      <c r="D114" s="10" t="s">
        <v>88</v>
      </c>
      <c r="E114">
        <v>25</v>
      </c>
      <c r="F114">
        <v>298</v>
      </c>
      <c r="G114">
        <v>15.8</v>
      </c>
      <c r="H114">
        <f t="shared" ref="H114" si="11">4184*G114</f>
        <v>66107.199999999997</v>
      </c>
      <c r="I114" s="27">
        <f t="shared" ref="I114" si="12">H114+(F114*8.314)</f>
        <v>68584.771999999997</v>
      </c>
      <c r="J114" s="12">
        <f>0.239*I114/1000</f>
        <v>16.391760508000001</v>
      </c>
    </row>
    <row r="115" spans="2:10" x14ac:dyDescent="0.3">
      <c r="B115" s="10"/>
      <c r="C115" s="10"/>
      <c r="D115" s="10"/>
      <c r="I115" s="27"/>
      <c r="J115" s="12"/>
    </row>
    <row r="116" spans="2:10" x14ac:dyDescent="0.3">
      <c r="B116" s="10"/>
      <c r="C116" s="10"/>
      <c r="D116" s="10"/>
      <c r="I116" s="27"/>
      <c r="J116" s="12"/>
    </row>
    <row r="117" spans="2:10" x14ac:dyDescent="0.3">
      <c r="B117" s="34" t="s">
        <v>114</v>
      </c>
      <c r="C117" s="39"/>
      <c r="D117" s="34"/>
      <c r="E117" s="39" t="s">
        <v>115</v>
      </c>
      <c r="F117" s="34">
        <v>298.14999999999998</v>
      </c>
      <c r="G117" s="34"/>
      <c r="H117" s="34"/>
      <c r="I117" s="35"/>
      <c r="J117" s="38">
        <f>MEDIAN(11.95,23.84)</f>
        <v>17.895</v>
      </c>
    </row>
    <row r="118" spans="2:10" x14ac:dyDescent="0.3">
      <c r="I118" s="27"/>
    </row>
    <row r="119" spans="2:10" x14ac:dyDescent="0.3">
      <c r="B119" s="16" t="s">
        <v>105</v>
      </c>
      <c r="H119" s="33" t="s">
        <v>240</v>
      </c>
      <c r="I119" s="30">
        <f>4184*J119</f>
        <v>71727.902982736006</v>
      </c>
      <c r="J119" s="17">
        <f>AVERAGE(J110:J118)</f>
        <v>17.143380254</v>
      </c>
    </row>
    <row r="120" spans="2:10" x14ac:dyDescent="0.3">
      <c r="I120" s="27"/>
    </row>
    <row r="121" spans="2:10" x14ac:dyDescent="0.3">
      <c r="B121" s="1" t="s">
        <v>92</v>
      </c>
      <c r="D121" s="5"/>
      <c r="I121" s="27"/>
    </row>
    <row r="122" spans="2:10" x14ac:dyDescent="0.3">
      <c r="D122" s="5"/>
      <c r="E122" s="5"/>
      <c r="F122" s="5"/>
      <c r="I122" s="27"/>
    </row>
    <row r="123" spans="2:10" x14ac:dyDescent="0.3">
      <c r="B123" s="10" t="s">
        <v>93</v>
      </c>
      <c r="C123" t="s">
        <v>94</v>
      </c>
      <c r="D123" t="s">
        <v>95</v>
      </c>
      <c r="E123" t="s">
        <v>96</v>
      </c>
      <c r="I123" s="27">
        <v>114000</v>
      </c>
      <c r="J123" s="12">
        <f>114/4.184</f>
        <v>27.246653919694072</v>
      </c>
    </row>
    <row r="124" spans="2:10" x14ac:dyDescent="0.3">
      <c r="B124" s="6"/>
      <c r="E124" t="s">
        <v>97</v>
      </c>
      <c r="I124" s="27">
        <v>113000</v>
      </c>
      <c r="J124" s="12">
        <f>113/4.184</f>
        <v>27.007648183556405</v>
      </c>
    </row>
    <row r="125" spans="2:10" x14ac:dyDescent="0.3">
      <c r="B125" s="6"/>
      <c r="D125" s="13"/>
      <c r="E125" t="s">
        <v>98</v>
      </c>
      <c r="I125" s="27">
        <v>98000</v>
      </c>
      <c r="J125" s="12">
        <f>98/4.184</f>
        <v>23.422562141491394</v>
      </c>
    </row>
    <row r="126" spans="2:10" x14ac:dyDescent="0.3">
      <c r="B126" s="6"/>
      <c r="D126" s="8"/>
      <c r="E126" t="s">
        <v>99</v>
      </c>
      <c r="I126" s="27">
        <v>67000</v>
      </c>
      <c r="J126" s="12">
        <f>67/4.184</f>
        <v>16.013384321223707</v>
      </c>
    </row>
    <row r="127" spans="2:10" x14ac:dyDescent="0.3">
      <c r="B127" s="6"/>
      <c r="D127" s="8"/>
      <c r="I127" s="27"/>
      <c r="J127" s="12"/>
    </row>
    <row r="128" spans="2:10" x14ac:dyDescent="0.3">
      <c r="B128" s="6" t="s">
        <v>121</v>
      </c>
      <c r="C128" t="s">
        <v>122</v>
      </c>
      <c r="D128" t="s">
        <v>123</v>
      </c>
      <c r="E128" t="s">
        <v>96</v>
      </c>
      <c r="I128" s="27">
        <v>92280</v>
      </c>
      <c r="J128" s="14">
        <f>0.239*I128/1000</f>
        <v>22.054919999999999</v>
      </c>
    </row>
    <row r="129" spans="2:16" x14ac:dyDescent="0.3">
      <c r="B129" s="6"/>
      <c r="D129" s="8"/>
      <c r="I129" s="27"/>
    </row>
    <row r="130" spans="2:16" x14ac:dyDescent="0.3">
      <c r="B130" t="s">
        <v>124</v>
      </c>
      <c r="C130" t="s">
        <v>125</v>
      </c>
      <c r="D130" t="s">
        <v>126</v>
      </c>
      <c r="E130" t="s">
        <v>127</v>
      </c>
      <c r="I130" s="27">
        <v>56800</v>
      </c>
      <c r="J130" s="14">
        <f t="shared" ref="J130:J139" si="13">0.239*I130/1000</f>
        <v>13.575199999999999</v>
      </c>
    </row>
    <row r="131" spans="2:16" x14ac:dyDescent="0.3">
      <c r="B131" s="6"/>
      <c r="D131" s="8"/>
      <c r="E131" t="s">
        <v>99</v>
      </c>
      <c r="I131" s="27">
        <v>113700</v>
      </c>
      <c r="J131" s="14">
        <f t="shared" si="13"/>
        <v>27.174299999999999</v>
      </c>
    </row>
    <row r="132" spans="2:16" x14ac:dyDescent="0.3">
      <c r="B132" s="6" t="s">
        <v>128</v>
      </c>
      <c r="C132" s="6" t="s">
        <v>129</v>
      </c>
      <c r="D132" t="s">
        <v>126</v>
      </c>
      <c r="E132" t="s">
        <v>127</v>
      </c>
      <c r="I132" s="27">
        <v>80700</v>
      </c>
      <c r="J132" s="14">
        <f t="shared" si="13"/>
        <v>19.287299999999998</v>
      </c>
    </row>
    <row r="133" spans="2:16" x14ac:dyDescent="0.3">
      <c r="B133" s="6"/>
      <c r="D133" s="8"/>
      <c r="E133" t="s">
        <v>99</v>
      </c>
      <c r="I133" s="27">
        <v>84400</v>
      </c>
      <c r="J133" s="14">
        <f t="shared" si="13"/>
        <v>20.171599999999998</v>
      </c>
    </row>
    <row r="134" spans="2:16" x14ac:dyDescent="0.3">
      <c r="B134" t="s">
        <v>130</v>
      </c>
      <c r="C134" t="s">
        <v>131</v>
      </c>
      <c r="D134" t="s">
        <v>132</v>
      </c>
      <c r="E134" t="s">
        <v>96</v>
      </c>
      <c r="I134" s="27">
        <v>111500</v>
      </c>
      <c r="J134" s="14">
        <f t="shared" si="13"/>
        <v>26.648499999999999</v>
      </c>
    </row>
    <row r="135" spans="2:16" x14ac:dyDescent="0.3">
      <c r="E135" t="s">
        <v>98</v>
      </c>
      <c r="I135" s="27">
        <v>157600</v>
      </c>
      <c r="J135" s="14">
        <f t="shared" si="13"/>
        <v>37.666400000000003</v>
      </c>
    </row>
    <row r="136" spans="2:16" x14ac:dyDescent="0.3">
      <c r="E136" t="s">
        <v>99</v>
      </c>
      <c r="I136" s="27">
        <v>166100</v>
      </c>
      <c r="J136" s="14">
        <f t="shared" si="13"/>
        <v>39.697900000000004</v>
      </c>
    </row>
    <row r="137" spans="2:16" x14ac:dyDescent="0.3">
      <c r="B137" t="s">
        <v>133</v>
      </c>
      <c r="C137" t="s">
        <v>134</v>
      </c>
      <c r="D137" t="s">
        <v>123</v>
      </c>
      <c r="E137" t="s">
        <v>96</v>
      </c>
      <c r="I137" s="27">
        <v>86080</v>
      </c>
      <c r="J137" s="14">
        <f t="shared" si="13"/>
        <v>20.573119999999999</v>
      </c>
    </row>
    <row r="138" spans="2:16" x14ac:dyDescent="0.3">
      <c r="B138" t="s">
        <v>135</v>
      </c>
      <c r="C138" t="s">
        <v>136</v>
      </c>
      <c r="D138" t="s">
        <v>123</v>
      </c>
      <c r="E138" t="s">
        <v>96</v>
      </c>
      <c r="I138" s="27">
        <v>58020</v>
      </c>
      <c r="J138" s="14">
        <f t="shared" si="13"/>
        <v>13.866779999999999</v>
      </c>
    </row>
    <row r="139" spans="2:16" x14ac:dyDescent="0.3">
      <c r="B139" t="s">
        <v>137</v>
      </c>
      <c r="C139" s="10" t="s">
        <v>138</v>
      </c>
      <c r="D139" t="s">
        <v>123</v>
      </c>
      <c r="E139" t="s">
        <v>96</v>
      </c>
      <c r="I139" s="27">
        <v>34440</v>
      </c>
      <c r="J139" s="14">
        <f t="shared" si="13"/>
        <v>8.2311599999999991</v>
      </c>
    </row>
    <row r="140" spans="2:16" x14ac:dyDescent="0.3">
      <c r="B140" t="s">
        <v>139</v>
      </c>
      <c r="C140" s="10"/>
      <c r="E140" t="s">
        <v>140</v>
      </c>
      <c r="I140" s="27"/>
      <c r="J140" s="12">
        <v>23.9</v>
      </c>
    </row>
    <row r="141" spans="2:16" x14ac:dyDescent="0.3">
      <c r="B141" t="s">
        <v>141</v>
      </c>
      <c r="D141" s="25" t="s">
        <v>192</v>
      </c>
      <c r="I141" s="27">
        <v>63870</v>
      </c>
      <c r="J141" s="12">
        <f>0.239*I141/1000</f>
        <v>15.264929999999998</v>
      </c>
    </row>
    <row r="142" spans="2:16" x14ac:dyDescent="0.3">
      <c r="B142" s="34" t="s">
        <v>142</v>
      </c>
      <c r="C142" s="39"/>
      <c r="D142" s="34"/>
      <c r="E142" s="34" t="s">
        <v>143</v>
      </c>
      <c r="F142" s="34"/>
      <c r="G142" s="34"/>
      <c r="H142" s="34"/>
      <c r="I142" s="35"/>
      <c r="J142" s="38">
        <v>26.06</v>
      </c>
    </row>
    <row r="143" spans="2:16" x14ac:dyDescent="0.3">
      <c r="I143" s="27"/>
    </row>
    <row r="144" spans="2:16" x14ac:dyDescent="0.3">
      <c r="B144" s="16" t="s">
        <v>105</v>
      </c>
      <c r="H144" s="33" t="s">
        <v>240</v>
      </c>
      <c r="I144" s="30">
        <f>4184*J144</f>
        <v>94805.33934666666</v>
      </c>
      <c r="J144" s="17">
        <f>AVERAGE(J123:J143)</f>
        <v>22.659019920331421</v>
      </c>
      <c r="L144" s="12">
        <f>AVERAGE(J123,J124,J128,J130,J132,J137:J139,J134,J140)</f>
        <v>20.239128210325045</v>
      </c>
      <c r="N144" s="12">
        <f>AVERAGE(J125,J135)</f>
        <v>30.544481070745697</v>
      </c>
      <c r="P144" s="12">
        <f>AVERAGE(J126,J131,J133,J136)</f>
        <v>25.764296080305925</v>
      </c>
    </row>
    <row r="145" spans="2:16" x14ac:dyDescent="0.3">
      <c r="I145" s="27"/>
      <c r="L145" t="s">
        <v>215</v>
      </c>
      <c r="N145" t="s">
        <v>216</v>
      </c>
      <c r="P145" t="s">
        <v>217</v>
      </c>
    </row>
    <row r="146" spans="2:16" x14ac:dyDescent="0.3">
      <c r="B146" s="1" t="s">
        <v>100</v>
      </c>
      <c r="I146" s="27"/>
    </row>
    <row r="147" spans="2:16" x14ac:dyDescent="0.3">
      <c r="I147" s="27"/>
    </row>
    <row r="148" spans="2:16" x14ac:dyDescent="0.3">
      <c r="B148" t="s">
        <v>101</v>
      </c>
      <c r="C148" t="s">
        <v>102</v>
      </c>
      <c r="D148" t="s">
        <v>103</v>
      </c>
      <c r="E148" t="s">
        <v>158</v>
      </c>
      <c r="F148">
        <v>298</v>
      </c>
      <c r="G148">
        <f>H148/4184</f>
        <v>11.902485659655833</v>
      </c>
      <c r="H148">
        <v>49800</v>
      </c>
      <c r="I148" s="27">
        <f>(H148+(8.314*F148))</f>
        <v>52277.572</v>
      </c>
      <c r="J148" s="12">
        <f>G148+(F148*0.0019872041)</f>
        <v>12.494672481455833</v>
      </c>
    </row>
    <row r="149" spans="2:16" x14ac:dyDescent="0.3">
      <c r="I149" s="27"/>
    </row>
    <row r="150" spans="2:16" x14ac:dyDescent="0.3">
      <c r="B150" t="s">
        <v>144</v>
      </c>
      <c r="C150" t="s">
        <v>145</v>
      </c>
      <c r="D150" t="s">
        <v>146</v>
      </c>
      <c r="E150" t="s">
        <v>159</v>
      </c>
      <c r="I150" s="27">
        <v>47990</v>
      </c>
      <c r="J150" s="14">
        <f>0.239*I150/1000</f>
        <v>11.469609999999999</v>
      </c>
    </row>
    <row r="151" spans="2:16" x14ac:dyDescent="0.3">
      <c r="B151" t="s">
        <v>147</v>
      </c>
      <c r="C151" t="s">
        <v>148</v>
      </c>
      <c r="D151" t="s">
        <v>146</v>
      </c>
      <c r="E151" t="s">
        <v>159</v>
      </c>
      <c r="I151" s="27">
        <v>49560</v>
      </c>
      <c r="J151" s="14">
        <f>0.239*I151/1000</f>
        <v>11.84484</v>
      </c>
    </row>
    <row r="152" spans="2:16" x14ac:dyDescent="0.3">
      <c r="B152" t="s">
        <v>149</v>
      </c>
      <c r="C152" t="s">
        <v>150</v>
      </c>
      <c r="D152" t="s">
        <v>151</v>
      </c>
      <c r="E152" t="s">
        <v>152</v>
      </c>
      <c r="I152" s="27"/>
      <c r="J152" s="14">
        <v>18</v>
      </c>
    </row>
    <row r="153" spans="2:16" x14ac:dyDescent="0.3">
      <c r="E153" t="s">
        <v>153</v>
      </c>
      <c r="I153" s="27"/>
      <c r="J153" s="14">
        <v>14.8</v>
      </c>
    </row>
    <row r="154" spans="2:16" x14ac:dyDescent="0.3">
      <c r="E154" t="s">
        <v>154</v>
      </c>
      <c r="I154" s="27"/>
      <c r="J154" s="14">
        <v>23.4</v>
      </c>
    </row>
    <row r="155" spans="2:16" x14ac:dyDescent="0.3">
      <c r="B155" t="s">
        <v>155</v>
      </c>
      <c r="C155" t="s">
        <v>156</v>
      </c>
      <c r="D155" t="s">
        <v>157</v>
      </c>
      <c r="E155" t="s">
        <v>223</v>
      </c>
      <c r="I155" s="27"/>
      <c r="J155" s="14">
        <v>20</v>
      </c>
    </row>
    <row r="156" spans="2:16" x14ac:dyDescent="0.3">
      <c r="E156" t="s">
        <v>222</v>
      </c>
      <c r="I156" s="27"/>
      <c r="J156" s="14">
        <v>13</v>
      </c>
    </row>
    <row r="157" spans="2:16" x14ac:dyDescent="0.3">
      <c r="I157" s="27"/>
    </row>
    <row r="158" spans="2:16" x14ac:dyDescent="0.3">
      <c r="I158" s="27"/>
    </row>
    <row r="159" spans="2:16" x14ac:dyDescent="0.3">
      <c r="B159" s="16" t="s">
        <v>105</v>
      </c>
      <c r="H159" s="33" t="s">
        <v>240</v>
      </c>
      <c r="I159" s="30">
        <f>4184*J159</f>
        <v>65379.771057801394</v>
      </c>
      <c r="J159" s="17">
        <f>AVERAGE(J148:J158)</f>
        <v>15.626140310181977</v>
      </c>
      <c r="L159">
        <f>AVERAGE(J153,J152)</f>
        <v>16.399999999999999</v>
      </c>
      <c r="N159">
        <f>AVERAGE(J155)</f>
        <v>20</v>
      </c>
      <c r="P159" s="12">
        <f>AVERAGE(J148,J150:J151,J154,J156:J157)</f>
        <v>14.441824496291167</v>
      </c>
    </row>
    <row r="160" spans="2:16" x14ac:dyDescent="0.3">
      <c r="I160" s="27"/>
      <c r="L160" t="s">
        <v>215</v>
      </c>
      <c r="N160" t="s">
        <v>216</v>
      </c>
      <c r="P160" t="s">
        <v>217</v>
      </c>
    </row>
    <row r="161" spans="1:10" x14ac:dyDescent="0.3">
      <c r="I161" s="27"/>
    </row>
    <row r="162" spans="1:10" x14ac:dyDescent="0.3">
      <c r="B162" s="1" t="s">
        <v>160</v>
      </c>
      <c r="I162" s="27"/>
    </row>
    <row r="163" spans="1:10" x14ac:dyDescent="0.3">
      <c r="I163" s="27"/>
    </row>
    <row r="164" spans="1:10" x14ac:dyDescent="0.3">
      <c r="B164" t="s">
        <v>161</v>
      </c>
      <c r="C164" t="s">
        <v>162</v>
      </c>
      <c r="D164" t="s">
        <v>193</v>
      </c>
      <c r="E164" t="s">
        <v>211</v>
      </c>
      <c r="I164" s="27">
        <v>43400</v>
      </c>
      <c r="J164" s="14">
        <f>I164*0.239/1000</f>
        <v>10.3726</v>
      </c>
    </row>
    <row r="165" spans="1:10" x14ac:dyDescent="0.3">
      <c r="B165" t="s">
        <v>163</v>
      </c>
      <c r="C165" t="s">
        <v>164</v>
      </c>
      <c r="D165" t="s">
        <v>193</v>
      </c>
      <c r="E165" t="s">
        <v>210</v>
      </c>
      <c r="I165" s="27">
        <v>93500</v>
      </c>
      <c r="J165" s="14">
        <f>I165*0.239/1000</f>
        <v>22.346499999999999</v>
      </c>
    </row>
    <row r="166" spans="1:10" x14ac:dyDescent="0.3">
      <c r="B166" t="s">
        <v>165</v>
      </c>
      <c r="C166" t="s">
        <v>166</v>
      </c>
      <c r="D166" t="s">
        <v>167</v>
      </c>
      <c r="E166" t="s">
        <v>98</v>
      </c>
      <c r="F166" t="s">
        <v>212</v>
      </c>
      <c r="I166" s="27"/>
      <c r="J166" s="14">
        <v>23.23</v>
      </c>
    </row>
    <row r="167" spans="1:10" x14ac:dyDescent="0.3">
      <c r="I167" s="27"/>
    </row>
    <row r="168" spans="1:10" x14ac:dyDescent="0.3">
      <c r="I168" s="27"/>
    </row>
    <row r="169" spans="1:10" x14ac:dyDescent="0.3">
      <c r="B169" s="16" t="s">
        <v>105</v>
      </c>
      <c r="F169" t="s">
        <v>218</v>
      </c>
      <c r="H169" s="33" t="s">
        <v>240</v>
      </c>
      <c r="I169" s="30">
        <f>4184*J169</f>
        <v>78030.344799999992</v>
      </c>
      <c r="J169" s="21">
        <f>AVERAGE(J164:J168)</f>
        <v>18.649699999999999</v>
      </c>
    </row>
    <row r="170" spans="1:10" x14ac:dyDescent="0.3">
      <c r="I170" s="27"/>
    </row>
    <row r="171" spans="1:10" x14ac:dyDescent="0.3">
      <c r="I171" s="27"/>
    </row>
    <row r="172" spans="1:10" x14ac:dyDescent="0.3">
      <c r="B172" s="1" t="s">
        <v>168</v>
      </c>
      <c r="I172" s="27"/>
    </row>
    <row r="173" spans="1:10" x14ac:dyDescent="0.3">
      <c r="I173" s="27"/>
    </row>
    <row r="174" spans="1:10" x14ac:dyDescent="0.3">
      <c r="A174" t="s">
        <v>218</v>
      </c>
      <c r="B174" t="s">
        <v>169</v>
      </c>
      <c r="C174" t="s">
        <v>170</v>
      </c>
      <c r="D174" t="s">
        <v>171</v>
      </c>
      <c r="E174" t="s">
        <v>173</v>
      </c>
      <c r="F174">
        <v>313</v>
      </c>
      <c r="G174" s="14">
        <v>20.5</v>
      </c>
      <c r="H174">
        <f t="shared" ref="H174" si="14">4184*G174</f>
        <v>85772</v>
      </c>
      <c r="I174" s="27">
        <f t="shared" ref="I174" si="15">H174+(F174*8.314)</f>
        <v>88374.282000000007</v>
      </c>
      <c r="J174" s="12">
        <f>0.239*I174/1000</f>
        <v>21.121453398</v>
      </c>
    </row>
    <row r="175" spans="1:10" x14ac:dyDescent="0.3">
      <c r="D175" t="s">
        <v>172</v>
      </c>
      <c r="E175" t="s">
        <v>174</v>
      </c>
      <c r="I175" s="27"/>
      <c r="J175" s="14">
        <v>19.899999999999999</v>
      </c>
    </row>
    <row r="176" spans="1:10" x14ac:dyDescent="0.3">
      <c r="B176" t="s">
        <v>175</v>
      </c>
      <c r="C176" t="s">
        <v>176</v>
      </c>
      <c r="D176" t="s">
        <v>171</v>
      </c>
      <c r="E176" t="s">
        <v>178</v>
      </c>
      <c r="F176">
        <v>313</v>
      </c>
      <c r="G176" s="14">
        <v>18</v>
      </c>
      <c r="H176">
        <f t="shared" ref="H176" si="16">4184*G176</f>
        <v>75312</v>
      </c>
      <c r="I176" s="27">
        <f t="shared" ref="I176" si="17">H176+(F176*8.314)</f>
        <v>77914.282000000007</v>
      </c>
      <c r="J176" s="12">
        <f>0.239*I176/1000</f>
        <v>18.621513397999998</v>
      </c>
    </row>
    <row r="177" spans="2:10" x14ac:dyDescent="0.3">
      <c r="D177" s="22" t="s">
        <v>177</v>
      </c>
      <c r="E177" t="s">
        <v>179</v>
      </c>
      <c r="I177" s="27"/>
      <c r="J177" s="14">
        <v>17.399999999999999</v>
      </c>
    </row>
    <row r="178" spans="2:10" x14ac:dyDescent="0.3">
      <c r="B178" t="s">
        <v>180</v>
      </c>
      <c r="C178" t="s">
        <v>181</v>
      </c>
      <c r="D178" t="s">
        <v>182</v>
      </c>
      <c r="E178" t="s">
        <v>179</v>
      </c>
      <c r="I178" s="27"/>
      <c r="J178" s="14">
        <v>15.1</v>
      </c>
    </row>
    <row r="179" spans="2:10" x14ac:dyDescent="0.3">
      <c r="B179" t="s">
        <v>183</v>
      </c>
      <c r="C179" t="s">
        <v>184</v>
      </c>
      <c r="D179" t="s">
        <v>194</v>
      </c>
      <c r="E179" t="s">
        <v>185</v>
      </c>
      <c r="I179" s="27"/>
      <c r="J179" s="14">
        <v>27.7</v>
      </c>
    </row>
    <row r="180" spans="2:10" x14ac:dyDescent="0.3">
      <c r="I180" s="27"/>
    </row>
    <row r="181" spans="2:10" x14ac:dyDescent="0.3">
      <c r="B181" s="16" t="s">
        <v>105</v>
      </c>
      <c r="H181" s="33" t="s">
        <v>240</v>
      </c>
      <c r="I181" s="30">
        <f>4184*J181</f>
        <v>83570.495512410664</v>
      </c>
      <c r="J181" s="17">
        <f>AVERAGE(J174:J180)</f>
        <v>19.973827799333332</v>
      </c>
    </row>
    <row r="182" spans="2:10" x14ac:dyDescent="0.3">
      <c r="I182" s="27"/>
    </row>
    <row r="183" spans="2:10" x14ac:dyDescent="0.3">
      <c r="I183" s="27"/>
    </row>
    <row r="184" spans="2:10" x14ac:dyDescent="0.3">
      <c r="B184" s="1" t="s">
        <v>186</v>
      </c>
      <c r="I184" s="27"/>
    </row>
    <row r="185" spans="2:10" x14ac:dyDescent="0.3">
      <c r="I185" s="27"/>
    </row>
    <row r="186" spans="2:10" x14ac:dyDescent="0.3">
      <c r="B186" t="s">
        <v>187</v>
      </c>
      <c r="C186" s="6" t="s">
        <v>188</v>
      </c>
      <c r="D186" t="s">
        <v>189</v>
      </c>
      <c r="E186" t="s">
        <v>195</v>
      </c>
      <c r="F186">
        <f>273+28</f>
        <v>301</v>
      </c>
      <c r="G186" s="14">
        <v>22.8</v>
      </c>
      <c r="H186">
        <f t="shared" ref="H186:H187" si="18">4184*G186</f>
        <v>95395.199999999997</v>
      </c>
      <c r="I186" s="27">
        <f t="shared" ref="I186:I187" si="19">H186+(F186*8.314)</f>
        <v>97897.713999999993</v>
      </c>
      <c r="J186" s="12">
        <f>0.239*I186/1000</f>
        <v>23.397553645999995</v>
      </c>
    </row>
    <row r="187" spans="2:10" x14ac:dyDescent="0.3">
      <c r="E187" t="s">
        <v>196</v>
      </c>
      <c r="F187">
        <f>273+28</f>
        <v>301</v>
      </c>
      <c r="G187" s="14">
        <v>28.8</v>
      </c>
      <c r="H187">
        <f t="shared" si="18"/>
        <v>120499.2</v>
      </c>
      <c r="I187" s="27">
        <f t="shared" si="19"/>
        <v>123001.71399999999</v>
      </c>
      <c r="J187" s="12">
        <f>0.239*I187/1000</f>
        <v>29.397409645999996</v>
      </c>
    </row>
    <row r="188" spans="2:10" x14ac:dyDescent="0.3">
      <c r="I188" s="27"/>
    </row>
    <row r="189" spans="2:10" x14ac:dyDescent="0.3">
      <c r="B189" s="16" t="s">
        <v>105</v>
      </c>
      <c r="H189" s="33" t="s">
        <v>240</v>
      </c>
      <c r="I189" s="30">
        <f>4184*J189</f>
        <v>107947.2</v>
      </c>
      <c r="J189" s="21">
        <f>AVERAGE(G186:G187)</f>
        <v>25.8</v>
      </c>
    </row>
    <row r="190" spans="2:10" x14ac:dyDescent="0.3">
      <c r="I190" s="27"/>
    </row>
    <row r="191" spans="2:10" x14ac:dyDescent="0.3">
      <c r="B191" s="1" t="s">
        <v>197</v>
      </c>
      <c r="I191" s="27"/>
    </row>
    <row r="192" spans="2:10" x14ac:dyDescent="0.3">
      <c r="B192" t="s">
        <v>219</v>
      </c>
      <c r="I192" s="27"/>
    </row>
    <row r="193" spans="2:10" x14ac:dyDescent="0.3">
      <c r="B193" t="s">
        <v>198</v>
      </c>
      <c r="C193" t="s">
        <v>225</v>
      </c>
      <c r="D193" t="s">
        <v>199</v>
      </c>
      <c r="F193">
        <v>298</v>
      </c>
      <c r="G193">
        <v>14.11</v>
      </c>
      <c r="H193">
        <f>4184*G193</f>
        <v>59036.24</v>
      </c>
      <c r="I193" s="27">
        <f t="shared" ref="I193:I201" si="20">(H193+(8.314*F193))</f>
        <v>61513.811999999998</v>
      </c>
      <c r="J193" s="12">
        <f>0.239*I193/1000</f>
        <v>14.701801067999998</v>
      </c>
    </row>
    <row r="194" spans="2:10" x14ac:dyDescent="0.3">
      <c r="I194" s="27"/>
    </row>
    <row r="195" spans="2:10" x14ac:dyDescent="0.3">
      <c r="B195" t="s">
        <v>200</v>
      </c>
      <c r="C195" t="s">
        <v>226</v>
      </c>
      <c r="D195" t="s">
        <v>199</v>
      </c>
      <c r="F195">
        <v>298</v>
      </c>
      <c r="G195">
        <v>16.199000000000002</v>
      </c>
      <c r="H195">
        <f t="shared" ref="H195:H201" si="21">4184*G195</f>
        <v>67776.616000000009</v>
      </c>
      <c r="I195" s="27">
        <f t="shared" si="20"/>
        <v>70254.188000000009</v>
      </c>
      <c r="J195" s="12">
        <f>0.239*I195/1000</f>
        <v>16.790750932000002</v>
      </c>
    </row>
    <row r="196" spans="2:10" x14ac:dyDescent="0.3">
      <c r="I196" s="27"/>
    </row>
    <row r="197" spans="2:10" x14ac:dyDescent="0.3">
      <c r="B197" t="s">
        <v>201</v>
      </c>
      <c r="C197" t="s">
        <v>227</v>
      </c>
      <c r="D197" t="s">
        <v>199</v>
      </c>
      <c r="F197">
        <v>298</v>
      </c>
      <c r="G197">
        <v>17.07</v>
      </c>
      <c r="H197">
        <f t="shared" si="21"/>
        <v>71420.88</v>
      </c>
      <c r="I197" s="27">
        <f t="shared" si="20"/>
        <v>73898.452000000005</v>
      </c>
      <c r="J197" s="12">
        <f>0.239*I197/1000</f>
        <v>17.661730028000001</v>
      </c>
    </row>
    <row r="198" spans="2:10" x14ac:dyDescent="0.3">
      <c r="I198" s="27"/>
    </row>
    <row r="199" spans="2:10" x14ac:dyDescent="0.3">
      <c r="B199" t="s">
        <v>202</v>
      </c>
      <c r="C199" t="s">
        <v>228</v>
      </c>
      <c r="D199" t="s">
        <v>199</v>
      </c>
      <c r="F199">
        <v>298</v>
      </c>
      <c r="G199">
        <v>17.131</v>
      </c>
      <c r="H199">
        <f t="shared" si="21"/>
        <v>71676.104000000007</v>
      </c>
      <c r="I199" s="27">
        <f t="shared" si="20"/>
        <v>74153.676000000007</v>
      </c>
      <c r="J199" s="12">
        <f>0.239*I199/1000</f>
        <v>17.722728564000001</v>
      </c>
    </row>
    <row r="200" spans="2:10" x14ac:dyDescent="0.3">
      <c r="I200" s="27"/>
    </row>
    <row r="201" spans="2:10" x14ac:dyDescent="0.3">
      <c r="B201" t="s">
        <v>203</v>
      </c>
      <c r="C201" t="s">
        <v>229</v>
      </c>
      <c r="D201" t="s">
        <v>199</v>
      </c>
      <c r="F201">
        <v>298</v>
      </c>
      <c r="G201">
        <v>24.102</v>
      </c>
      <c r="H201">
        <f t="shared" si="21"/>
        <v>100842.768</v>
      </c>
      <c r="I201" s="27">
        <f t="shared" si="20"/>
        <v>103320.34</v>
      </c>
      <c r="J201" s="12">
        <f>0.239*I201/1000</f>
        <v>24.693561259999999</v>
      </c>
    </row>
    <row r="202" spans="2:10" x14ac:dyDescent="0.3">
      <c r="B202" t="s">
        <v>220</v>
      </c>
      <c r="I202" s="27"/>
    </row>
    <row r="203" spans="2:10" x14ac:dyDescent="0.3">
      <c r="B203" t="s">
        <v>204</v>
      </c>
      <c r="C203" t="s">
        <v>205</v>
      </c>
      <c r="D203" t="s">
        <v>206</v>
      </c>
      <c r="F203">
        <v>298</v>
      </c>
      <c r="G203">
        <v>22.161000000000001</v>
      </c>
      <c r="H203">
        <f t="shared" ref="H203" si="22">4184*G203</f>
        <v>92721.624000000011</v>
      </c>
      <c r="I203" s="27">
        <f t="shared" ref="I203" si="23">H203+(F203*8.314)</f>
        <v>95199.196000000011</v>
      </c>
      <c r="J203" s="12">
        <f>0.239*I203/1000</f>
        <v>22.752607844000003</v>
      </c>
    </row>
    <row r="204" spans="2:10" x14ac:dyDescent="0.3">
      <c r="I204" s="27"/>
    </row>
    <row r="205" spans="2:10" x14ac:dyDescent="0.3">
      <c r="B205" s="16" t="s">
        <v>105</v>
      </c>
      <c r="H205" s="33" t="s">
        <v>240</v>
      </c>
      <c r="I205" s="30">
        <f>4184*J205</f>
        <v>79721.363974677341</v>
      </c>
      <c r="J205" s="17">
        <f>AVERAGE(J193:J203)</f>
        <v>19.053863282666669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EPA User or Contractor</dc:creator>
  <cp:lastModifiedBy>Stevens, Caroline</cp:lastModifiedBy>
  <dcterms:created xsi:type="dcterms:W3CDTF">2014-09-30T18:13:59Z</dcterms:created>
  <dcterms:modified xsi:type="dcterms:W3CDTF">2017-05-19T12:56:39Z</dcterms:modified>
</cp:coreProperties>
</file>