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Aa.ad.epa.gov\ord\ATH\Users\A-M\CSTEVENS\Net MyDocuments\_MovedData\MyResearch\ChemFateTrans\EFS\ProcessScience\Hydrolysis\Paper\"/>
    </mc:Choice>
  </mc:AlternateContent>
  <bookViews>
    <workbookView xWindow="0" yWindow="0" windowWidth="23040" windowHeight="9108" tabRatio="726"/>
  </bookViews>
  <sheets>
    <sheet name="Key" sheetId="39" r:id="rId1"/>
    <sheet name="1_HalAliph_NS_v0.3" sheetId="38" r:id="rId2"/>
    <sheet name="2_HalAliph_E" sheetId="29" r:id="rId3"/>
    <sheet name="3_Epoxide" sheetId="30" r:id="rId4"/>
    <sheet name="4_OPEster1" sheetId="31" r:id="rId5"/>
    <sheet name="5_Acid_Halide" sheetId="32" r:id="rId6"/>
    <sheet name="5.1_Acid_halide_chloroformates" sheetId="36" r:id="rId7"/>
    <sheet name="6_CarboxAcidEst" sheetId="6" r:id="rId8"/>
    <sheet name="7_Anhydride" sheetId="7" r:id="rId9"/>
    <sheet name="8_Amide" sheetId="34" r:id="rId10"/>
    <sheet name="9_Carbamate" sheetId="9" r:id="rId11"/>
    <sheet name="10_Urea" sheetId="18" r:id="rId12"/>
    <sheet name="11_Sulfonylurea" sheetId="19" r:id="rId13"/>
    <sheet name="11.1_Sulfonylurea_bridg_contrac" sheetId="37" r:id="rId14"/>
    <sheet name="12_Carbonate" sheetId="20" r:id="rId15"/>
    <sheet name="13_Lactones" sheetId="21" r:id="rId16"/>
    <sheet name="14_Imides" sheetId="22" r:id="rId17"/>
    <sheet name="15_Nitriles" sheetId="23" r:id="rId18"/>
    <sheet name="16_Lactams" sheetId="24" r:id="rId19"/>
    <sheet name="17_N-S Cleavage" sheetId="35" r:id="rId20"/>
  </sheets>
  <calcPr calcId="171027"/>
</workbook>
</file>

<file path=xl/calcChain.xml><?xml version="1.0" encoding="utf-8"?>
<calcChain xmlns="http://schemas.openxmlformats.org/spreadsheetml/2006/main">
  <c r="P18" i="23" l="1"/>
  <c r="P20" i="23"/>
  <c r="P22" i="23"/>
  <c r="P24" i="23"/>
  <c r="P6" i="9" l="1"/>
  <c r="AQ27" i="22" l="1"/>
  <c r="AQ26" i="22"/>
  <c r="AQ25" i="22"/>
  <c r="AQ24" i="22"/>
  <c r="AD23" i="22"/>
  <c r="AD22" i="22"/>
  <c r="H108" i="21" l="1"/>
  <c r="H107" i="21"/>
  <c r="H106" i="21"/>
  <c r="H105" i="21"/>
  <c r="H104" i="21"/>
  <c r="H103" i="21"/>
  <c r="H102" i="21"/>
  <c r="H101" i="21"/>
  <c r="H100" i="21"/>
  <c r="AQ58" i="19" l="1"/>
  <c r="AQ57" i="19"/>
  <c r="AD58" i="19"/>
  <c r="O55" i="19"/>
  <c r="AD56" i="19"/>
  <c r="AQ48" i="19"/>
  <c r="O48" i="19"/>
  <c r="AQ21" i="19" l="1"/>
  <c r="AQ20" i="19"/>
  <c r="AD21" i="19"/>
  <c r="AD20" i="19"/>
  <c r="O20" i="19"/>
  <c r="O19" i="19"/>
  <c r="O18" i="19"/>
  <c r="O19" i="18" l="1"/>
  <c r="O18" i="18"/>
  <c r="AQ24" i="6" l="1"/>
  <c r="AQ18" i="6"/>
  <c r="AQ16" i="6"/>
  <c r="AQ14" i="6"/>
  <c r="AD24" i="6"/>
  <c r="AD16" i="6"/>
  <c r="AD20" i="6"/>
  <c r="AD19" i="6"/>
  <c r="AD14" i="6"/>
  <c r="AD12" i="6"/>
  <c r="O24" i="6"/>
  <c r="O16" i="6"/>
  <c r="O22" i="6"/>
  <c r="O21" i="6"/>
  <c r="O20" i="6"/>
  <c r="O19" i="6"/>
  <c r="O14" i="6"/>
  <c r="O10" i="6"/>
  <c r="O9" i="6"/>
  <c r="AD191" i="38" l="1"/>
  <c r="AD146" i="38" l="1"/>
  <c r="H22" i="35" l="1"/>
  <c r="I22" i="35" s="1"/>
  <c r="AF21" i="19" l="1"/>
  <c r="AE21" i="19" s="1"/>
  <c r="P19" i="19"/>
  <c r="P20" i="19"/>
  <c r="P18" i="19"/>
  <c r="H18" i="19"/>
  <c r="I18" i="19" s="1"/>
  <c r="H19" i="19"/>
  <c r="I19" i="19" s="1"/>
  <c r="H20" i="19"/>
  <c r="AF20" i="19" s="1"/>
  <c r="AE20" i="19" s="1"/>
  <c r="H21" i="19"/>
  <c r="I21" i="19" s="1"/>
  <c r="AR21" i="19" s="1"/>
  <c r="AU21" i="19" s="1"/>
  <c r="AT21" i="19" s="1"/>
  <c r="AS21" i="19" s="1"/>
  <c r="AQ52" i="9"/>
  <c r="H52" i="9"/>
  <c r="I52" i="9" s="1"/>
  <c r="AR52" i="9" l="1"/>
  <c r="AU52" i="9" s="1"/>
  <c r="AT52" i="9" s="1"/>
  <c r="AS52" i="9" s="1"/>
  <c r="AV52" i="9" s="1"/>
  <c r="S18" i="19"/>
  <c r="R18" i="19" s="1"/>
  <c r="Q18" i="19" s="1"/>
  <c r="I20" i="19"/>
  <c r="AR20" i="19" s="1"/>
  <c r="AU20" i="19" s="1"/>
  <c r="AT20" i="19" s="1"/>
  <c r="AS20" i="19" s="1"/>
  <c r="AX20" i="19" s="1"/>
  <c r="S20" i="19"/>
  <c r="R20" i="19" s="1"/>
  <c r="Q20" i="19" s="1"/>
  <c r="S19" i="19"/>
  <c r="R19" i="19" s="1"/>
  <c r="Q19" i="19" s="1"/>
  <c r="AW20" i="19"/>
  <c r="V16" i="19"/>
  <c r="AO99" i="38"/>
  <c r="AO100" i="38"/>
  <c r="AV20" i="19" l="1"/>
  <c r="T16" i="19"/>
  <c r="U16" i="19"/>
  <c r="AD37" i="35"/>
  <c r="AD36" i="35"/>
  <c r="O19" i="22"/>
  <c r="P19" i="22" s="1"/>
  <c r="M21" i="22"/>
  <c r="O21" i="22" s="1"/>
  <c r="P21" i="22" s="1"/>
  <c r="M20" i="22"/>
  <c r="O20" i="22" s="1"/>
  <c r="P20" i="22" s="1"/>
  <c r="M19" i="22"/>
  <c r="M18" i="22"/>
  <c r="O18" i="22" s="1"/>
  <c r="P18" i="22" s="1"/>
  <c r="M17" i="22"/>
  <c r="O17" i="22" s="1"/>
  <c r="P17" i="22" s="1"/>
  <c r="M16" i="22"/>
  <c r="O16" i="22" s="1"/>
  <c r="P16" i="22" s="1"/>
  <c r="O130" i="19" l="1"/>
  <c r="O128" i="19"/>
  <c r="O129" i="19"/>
  <c r="AQ83" i="19" l="1"/>
  <c r="AQ81" i="19"/>
  <c r="AD80" i="19"/>
  <c r="O82" i="19"/>
  <c r="L79" i="19"/>
  <c r="O79" i="19" s="1"/>
  <c r="AB18" i="30" l="1"/>
  <c r="AB17" i="30"/>
  <c r="M17" i="30"/>
  <c r="AD26" i="29"/>
  <c r="AD16" i="29"/>
  <c r="AD15" i="29"/>
  <c r="AO48" i="29"/>
  <c r="AQ48" i="29" s="1"/>
  <c r="AO47" i="29"/>
  <c r="AQ47" i="29" s="1"/>
  <c r="AO46" i="29"/>
  <c r="AQ46" i="29" s="1"/>
  <c r="AO45" i="29"/>
  <c r="AQ45" i="29" s="1"/>
  <c r="AO44" i="29"/>
  <c r="AQ44" i="29" s="1"/>
  <c r="AO43" i="29"/>
  <c r="AQ43" i="29" s="1"/>
  <c r="AO42" i="29"/>
  <c r="AQ42" i="29" s="1"/>
  <c r="AB33" i="29"/>
  <c r="M190" i="38" l="1"/>
  <c r="O190" i="38" s="1"/>
  <c r="AF26" i="29" l="1"/>
  <c r="AE26" i="29" s="1"/>
  <c r="AG26" i="29" s="1"/>
  <c r="AQ29" i="21" l="1"/>
  <c r="AQ28" i="21"/>
  <c r="AQ27" i="21"/>
  <c r="AQ114" i="21"/>
  <c r="AQ110" i="21"/>
  <c r="AQ108" i="21"/>
  <c r="AQ107" i="21"/>
  <c r="AQ106" i="21"/>
  <c r="AQ92" i="21"/>
  <c r="AQ95" i="21"/>
  <c r="AQ94" i="21"/>
  <c r="AQ93" i="21"/>
  <c r="AD112" i="21"/>
  <c r="AD113" i="21"/>
  <c r="AQ46" i="37" l="1"/>
  <c r="H46" i="37"/>
  <c r="I46" i="37" s="1"/>
  <c r="AD45" i="37"/>
  <c r="H45" i="37"/>
  <c r="I45" i="37" s="1"/>
  <c r="O44" i="37"/>
  <c r="P44" i="37" s="1"/>
  <c r="H44" i="37"/>
  <c r="I44" i="37" s="1"/>
  <c r="O43" i="37"/>
  <c r="P43" i="37" s="1"/>
  <c r="H43" i="37"/>
  <c r="I43" i="37" s="1"/>
  <c r="H30" i="37"/>
  <c r="I30" i="37" s="1"/>
  <c r="AD30" i="37"/>
  <c r="AN30" i="37"/>
  <c r="AQ30" i="37"/>
  <c r="H31" i="37"/>
  <c r="I31" i="37" s="1"/>
  <c r="AD31" i="37"/>
  <c r="AN31" i="37"/>
  <c r="AQ31" i="37" s="1"/>
  <c r="H32" i="37"/>
  <c r="I32" i="37" s="1"/>
  <c r="O32" i="37"/>
  <c r="P32" i="37" s="1"/>
  <c r="H33" i="37"/>
  <c r="I33" i="37" s="1"/>
  <c r="O33" i="37"/>
  <c r="P33" i="37" s="1"/>
  <c r="H34" i="37"/>
  <c r="I34" i="37" s="1"/>
  <c r="J34" i="37"/>
  <c r="O34" i="37"/>
  <c r="P34" i="37" s="1"/>
  <c r="H35" i="37"/>
  <c r="I35" i="37" s="1"/>
  <c r="J35" i="37"/>
  <c r="O35" i="37"/>
  <c r="P35" i="37" s="1"/>
  <c r="H36" i="37"/>
  <c r="I36" i="37" s="1"/>
  <c r="J36" i="37"/>
  <c r="O36" i="37"/>
  <c r="P36" i="37" s="1"/>
  <c r="H37" i="37"/>
  <c r="I37" i="37" s="1"/>
  <c r="J37" i="37"/>
  <c r="O37" i="37"/>
  <c r="P37" i="37" s="1"/>
  <c r="H38" i="37"/>
  <c r="I38" i="37" s="1"/>
  <c r="J38" i="37"/>
  <c r="O38" i="37"/>
  <c r="P38" i="37" s="1"/>
  <c r="H39" i="37"/>
  <c r="I39" i="37" s="1"/>
  <c r="J39" i="37"/>
  <c r="O39" i="37"/>
  <c r="P39" i="37" s="1"/>
  <c r="H40" i="37"/>
  <c r="I40" i="37" s="1"/>
  <c r="J40" i="37"/>
  <c r="O40" i="37"/>
  <c r="P40" i="37" s="1"/>
  <c r="AR31" i="37" l="1"/>
  <c r="AR46" i="37"/>
  <c r="S43" i="37"/>
  <c r="R43" i="37" s="1"/>
  <c r="Q43" i="37" s="1"/>
  <c r="AF45" i="37"/>
  <c r="AE45" i="37" s="1"/>
  <c r="AG43" i="37" s="1"/>
  <c r="S32" i="37"/>
  <c r="R32" i="37" s="1"/>
  <c r="Q32" i="37" s="1"/>
  <c r="S44" i="37"/>
  <c r="R44" i="37" s="1"/>
  <c r="Q44" i="37" s="1"/>
  <c r="AF31" i="37"/>
  <c r="AE31" i="37" s="1"/>
  <c r="AU46" i="37"/>
  <c r="AT46" i="37" s="1"/>
  <c r="AS46" i="37" s="1"/>
  <c r="AV43" i="37" s="1"/>
  <c r="S40" i="37"/>
  <c r="R40" i="37" s="1"/>
  <c r="Q40" i="37" s="1"/>
  <c r="S39" i="37"/>
  <c r="R39" i="37" s="1"/>
  <c r="Q39" i="37" s="1"/>
  <c r="S38" i="37"/>
  <c r="R38" i="37" s="1"/>
  <c r="Q38" i="37" s="1"/>
  <c r="S37" i="37"/>
  <c r="R37" i="37" s="1"/>
  <c r="Q37" i="37" s="1"/>
  <c r="S36" i="37"/>
  <c r="R36" i="37" s="1"/>
  <c r="Q36" i="37" s="1"/>
  <c r="S35" i="37"/>
  <c r="R35" i="37" s="1"/>
  <c r="Q35" i="37" s="1"/>
  <c r="S34" i="37"/>
  <c r="R34" i="37" s="1"/>
  <c r="Q34" i="37" s="1"/>
  <c r="S33" i="37"/>
  <c r="R33" i="37" s="1"/>
  <c r="Q33" i="37" s="1"/>
  <c r="AU31" i="37"/>
  <c r="AT31" i="37" s="1"/>
  <c r="AS31" i="37" s="1"/>
  <c r="AR30" i="37"/>
  <c r="AU30" i="37" s="1"/>
  <c r="AT30" i="37" s="1"/>
  <c r="AS30" i="37" s="1"/>
  <c r="AF30" i="37"/>
  <c r="AE30" i="37" s="1"/>
  <c r="V43" i="37" l="1"/>
  <c r="T43" i="37"/>
  <c r="U43" i="37"/>
  <c r="T30" i="37"/>
  <c r="V30" i="37"/>
  <c r="U30" i="37"/>
  <c r="AH30" i="37"/>
  <c r="AI30" i="37"/>
  <c r="AG30" i="37"/>
  <c r="AV30" i="37"/>
  <c r="AW30" i="37"/>
  <c r="AX30" i="37"/>
  <c r="H8" i="38" l="1"/>
  <c r="I8" i="38" s="1"/>
  <c r="AD8" i="38"/>
  <c r="H9" i="38"/>
  <c r="I9" i="38" s="1"/>
  <c r="AD9" i="38"/>
  <c r="H10" i="38"/>
  <c r="I10" i="38" s="1"/>
  <c r="AD10" i="38"/>
  <c r="H11" i="38"/>
  <c r="I11" i="38" s="1"/>
  <c r="AD11" i="38"/>
  <c r="H14" i="38"/>
  <c r="I14" i="38" s="1"/>
  <c r="AB14" i="38"/>
  <c r="AD14" i="38" s="1"/>
  <c r="H15" i="38"/>
  <c r="I15" i="38" s="1"/>
  <c r="AD15" i="38"/>
  <c r="H16" i="38"/>
  <c r="I16" i="38" s="1"/>
  <c r="AR16" i="38"/>
  <c r="H18" i="38"/>
  <c r="I18" i="38" s="1"/>
  <c r="AB18" i="38"/>
  <c r="AD18" i="38" s="1"/>
  <c r="H21" i="38"/>
  <c r="I21" i="38" s="1"/>
  <c r="AB21" i="38"/>
  <c r="AD21" i="38" s="1"/>
  <c r="H23" i="38"/>
  <c r="I23" i="38" s="1"/>
  <c r="AB23" i="38"/>
  <c r="AD23" i="38" s="1"/>
  <c r="H24" i="38"/>
  <c r="I24" i="38" s="1"/>
  <c r="AA24" i="38"/>
  <c r="AB24" i="38"/>
  <c r="AD24" i="38" s="1"/>
  <c r="H25" i="38"/>
  <c r="I25" i="38" s="1"/>
  <c r="AA25" i="38"/>
  <c r="AB25" i="38"/>
  <c r="AD25" i="38" s="1"/>
  <c r="H26" i="38"/>
  <c r="I26" i="38" s="1"/>
  <c r="AA26" i="38"/>
  <c r="AB26" i="38"/>
  <c r="AD26" i="38" s="1"/>
  <c r="H27" i="38"/>
  <c r="I27" i="38" s="1"/>
  <c r="AA27" i="38"/>
  <c r="AB27" i="38"/>
  <c r="AD27" i="38" s="1"/>
  <c r="H28" i="38"/>
  <c r="I28" i="38" s="1"/>
  <c r="AA28" i="38"/>
  <c r="AB28" i="38"/>
  <c r="AD28" i="38" s="1"/>
  <c r="H29" i="38"/>
  <c r="I29" i="38" s="1"/>
  <c r="AA29" i="38"/>
  <c r="AB29" i="38"/>
  <c r="AD29" i="38" s="1"/>
  <c r="H30" i="38"/>
  <c r="I30" i="38" s="1"/>
  <c r="AA30" i="38"/>
  <c r="AB30" i="38"/>
  <c r="AD30" i="38" s="1"/>
  <c r="H31" i="38"/>
  <c r="I31" i="38" s="1"/>
  <c r="AA31" i="38"/>
  <c r="AB31" i="38"/>
  <c r="AD31" i="38" s="1"/>
  <c r="H32" i="38"/>
  <c r="I32" i="38" s="1"/>
  <c r="AA32" i="38"/>
  <c r="AB32" i="38"/>
  <c r="AD32" i="38" s="1"/>
  <c r="H33" i="38"/>
  <c r="I33" i="38" s="1"/>
  <c r="AA33" i="38"/>
  <c r="AB33" i="38"/>
  <c r="AD33" i="38" s="1"/>
  <c r="H34" i="38"/>
  <c r="I34" i="38" s="1"/>
  <c r="AA34" i="38"/>
  <c r="AB34" i="38"/>
  <c r="AD34" i="38" s="1"/>
  <c r="H35" i="38"/>
  <c r="I35" i="38" s="1"/>
  <c r="AB35" i="38"/>
  <c r="AD35" i="38" s="1"/>
  <c r="H38" i="38"/>
  <c r="I38" i="38" s="1"/>
  <c r="AA38" i="38"/>
  <c r="AB38" i="38"/>
  <c r="AD38" i="38" s="1"/>
  <c r="H39" i="38"/>
  <c r="I39" i="38" s="1"/>
  <c r="AA39" i="38"/>
  <c r="AB39" i="38"/>
  <c r="AD39" i="38" s="1"/>
  <c r="H40" i="38"/>
  <c r="I40" i="38" s="1"/>
  <c r="AA40" i="38"/>
  <c r="AB40" i="38"/>
  <c r="AD40" i="38" s="1"/>
  <c r="H41" i="38"/>
  <c r="I41" i="38" s="1"/>
  <c r="AA41" i="38"/>
  <c r="AB41" i="38"/>
  <c r="AD41" i="38" s="1"/>
  <c r="H42" i="38"/>
  <c r="I42" i="38" s="1"/>
  <c r="AA42" i="38"/>
  <c r="AB42" i="38"/>
  <c r="AD42" i="38" s="1"/>
  <c r="H43" i="38"/>
  <c r="I43" i="38" s="1"/>
  <c r="AA43" i="38"/>
  <c r="AB43" i="38"/>
  <c r="AD43" i="38" s="1"/>
  <c r="H44" i="38"/>
  <c r="I44" i="38" s="1"/>
  <c r="AA44" i="38"/>
  <c r="AB44" i="38"/>
  <c r="AD44" i="38" s="1"/>
  <c r="H45" i="38"/>
  <c r="I45" i="38" s="1"/>
  <c r="AB45" i="38"/>
  <c r="AD45" i="38" s="1"/>
  <c r="H131" i="38"/>
  <c r="I131" i="38" s="1"/>
  <c r="AB131" i="38"/>
  <c r="AD131" i="38" s="1"/>
  <c r="H46" i="38"/>
  <c r="I46" i="38" s="1"/>
  <c r="AD46" i="38"/>
  <c r="H47" i="38"/>
  <c r="I47" i="38" s="1"/>
  <c r="AD47" i="38"/>
  <c r="H49" i="38"/>
  <c r="I49" i="38" s="1"/>
  <c r="AD49" i="38"/>
  <c r="H52" i="38"/>
  <c r="I52" i="38" s="1"/>
  <c r="AD52" i="38"/>
  <c r="H145" i="38"/>
  <c r="I145" i="38" s="1"/>
  <c r="AD145" i="38"/>
  <c r="H146" i="38"/>
  <c r="I146" i="38" s="1"/>
  <c r="H147" i="38"/>
  <c r="I147" i="38" s="1"/>
  <c r="AR147" i="38"/>
  <c r="H149" i="38"/>
  <c r="I149" i="38" s="1"/>
  <c r="AD149" i="38"/>
  <c r="H150" i="38"/>
  <c r="I150" i="38" s="1"/>
  <c r="AN150" i="38"/>
  <c r="AQ150" i="38" s="1"/>
  <c r="H152" i="38"/>
  <c r="I152" i="38" s="1"/>
  <c r="AD152" i="38"/>
  <c r="H154" i="38"/>
  <c r="I154" i="38" s="1"/>
  <c r="AD154" i="38"/>
  <c r="H156" i="38"/>
  <c r="I156" i="38" s="1"/>
  <c r="AB156" i="38"/>
  <c r="AD156" i="38" s="1"/>
  <c r="H158" i="38"/>
  <c r="I158" i="38" s="1"/>
  <c r="AD158" i="38"/>
  <c r="H159" i="38"/>
  <c r="I159" i="38" s="1"/>
  <c r="AD159" i="38"/>
  <c r="H160" i="38"/>
  <c r="I160" i="38" s="1"/>
  <c r="AD160" i="38"/>
  <c r="H53" i="38"/>
  <c r="I53" i="38" s="1"/>
  <c r="AD53" i="38"/>
  <c r="H54" i="38"/>
  <c r="I54" i="38" s="1"/>
  <c r="AD54" i="38"/>
  <c r="H55" i="38"/>
  <c r="I55" i="38" s="1"/>
  <c r="AD55" i="38"/>
  <c r="H56" i="38"/>
  <c r="I56" i="38" s="1"/>
  <c r="AD56" i="38"/>
  <c r="H57" i="38"/>
  <c r="I57" i="38" s="1"/>
  <c r="AD57" i="38"/>
  <c r="H59" i="38"/>
  <c r="I59" i="38" s="1"/>
  <c r="AB59" i="38"/>
  <c r="AD59" i="38" s="1"/>
  <c r="H60" i="38"/>
  <c r="I60" i="38" s="1"/>
  <c r="AB60" i="38"/>
  <c r="AD60" i="38" s="1"/>
  <c r="H61" i="38"/>
  <c r="AD61" i="38"/>
  <c r="H62" i="38"/>
  <c r="I62" i="38" s="1"/>
  <c r="AD62" i="38"/>
  <c r="H63" i="38"/>
  <c r="I63" i="38" s="1"/>
  <c r="AD63" i="38"/>
  <c r="H64" i="38"/>
  <c r="I64" i="38" s="1"/>
  <c r="AD64" i="38"/>
  <c r="H65" i="38"/>
  <c r="I65" i="38" s="1"/>
  <c r="AD65" i="38"/>
  <c r="H66" i="38"/>
  <c r="I66" i="38" s="1"/>
  <c r="AD66" i="38"/>
  <c r="H67" i="38"/>
  <c r="I67" i="38" s="1"/>
  <c r="AD67" i="38"/>
  <c r="H68" i="38"/>
  <c r="I68" i="38" s="1"/>
  <c r="AD68" i="38"/>
  <c r="H69" i="38"/>
  <c r="I69" i="38" s="1"/>
  <c r="AD69" i="38"/>
  <c r="H70" i="38"/>
  <c r="I70" i="38" s="1"/>
  <c r="AD70" i="38"/>
  <c r="H71" i="38"/>
  <c r="I71" i="38" s="1"/>
  <c r="AD71" i="38"/>
  <c r="H72" i="38"/>
  <c r="I72" i="38" s="1"/>
  <c r="AD72" i="38"/>
  <c r="H73" i="38"/>
  <c r="AD73" i="38"/>
  <c r="H75" i="38"/>
  <c r="I75" i="38" s="1"/>
  <c r="AD75" i="38"/>
  <c r="H76" i="38"/>
  <c r="I76" i="38" s="1"/>
  <c r="AD76" i="38"/>
  <c r="H77" i="38"/>
  <c r="I77" i="38" s="1"/>
  <c r="AD77" i="38"/>
  <c r="H78" i="38"/>
  <c r="I78" i="38" s="1"/>
  <c r="AD78" i="38"/>
  <c r="H79" i="38"/>
  <c r="AD79" i="38"/>
  <c r="H81" i="38"/>
  <c r="I81" i="38" s="1"/>
  <c r="AB81" i="38"/>
  <c r="AD81" i="38" s="1"/>
  <c r="H82" i="38"/>
  <c r="I82" i="38" s="1"/>
  <c r="O82" i="38"/>
  <c r="P82" i="38" s="1"/>
  <c r="AD82" i="38"/>
  <c r="AQ82" i="38"/>
  <c r="H83" i="38"/>
  <c r="I83" i="38" s="1"/>
  <c r="AD83" i="38"/>
  <c r="H84" i="38"/>
  <c r="I84" i="38" s="1"/>
  <c r="AR84" i="38"/>
  <c r="H85" i="38"/>
  <c r="I85" i="38" s="1"/>
  <c r="O85" i="38"/>
  <c r="P85" i="38" s="1"/>
  <c r="AD85" i="38"/>
  <c r="AQ85" i="38"/>
  <c r="G87" i="38"/>
  <c r="H87" i="38" s="1"/>
  <c r="I87" i="38" s="1"/>
  <c r="AB87" i="38"/>
  <c r="AD87" i="38" s="1"/>
  <c r="G89" i="38"/>
  <c r="H89" i="38" s="1"/>
  <c r="AB89" i="38"/>
  <c r="AD89" i="38" s="1"/>
  <c r="H91" i="38"/>
  <c r="I91" i="38" s="1"/>
  <c r="AB91" i="38"/>
  <c r="AD91" i="38" s="1"/>
  <c r="H93" i="38"/>
  <c r="I93" i="38" s="1"/>
  <c r="AB93" i="38"/>
  <c r="AD93" i="38" s="1"/>
  <c r="H95" i="38"/>
  <c r="I95" i="38" s="1"/>
  <c r="AB95" i="38"/>
  <c r="AD95" i="38" s="1"/>
  <c r="H97" i="38"/>
  <c r="I97" i="38" s="1"/>
  <c r="AO97" i="38"/>
  <c r="AQ97" i="38" s="1"/>
  <c r="H98" i="38"/>
  <c r="I98" i="38" s="1"/>
  <c r="AO98" i="38"/>
  <c r="AQ98" i="38" s="1"/>
  <c r="H99" i="38"/>
  <c r="I99" i="38" s="1"/>
  <c r="AQ99" i="38"/>
  <c r="H100" i="38"/>
  <c r="I100" i="38" s="1"/>
  <c r="AQ100" i="38"/>
  <c r="H102" i="38"/>
  <c r="I102" i="38" s="1"/>
  <c r="AD102" i="38"/>
  <c r="H103" i="38"/>
  <c r="I103" i="38" s="1"/>
  <c r="AD103" i="38"/>
  <c r="H104" i="38"/>
  <c r="I104" i="38" s="1"/>
  <c r="AD104" i="38"/>
  <c r="H105" i="38"/>
  <c r="I105" i="38" s="1"/>
  <c r="AD105" i="38"/>
  <c r="H106" i="38"/>
  <c r="I106" i="38" s="1"/>
  <c r="AD106" i="38"/>
  <c r="H108" i="38"/>
  <c r="I108" i="38" s="1"/>
  <c r="AB108" i="38"/>
  <c r="AD108" i="38" s="1"/>
  <c r="H109" i="38"/>
  <c r="I109" i="38" s="1"/>
  <c r="AR109" i="38"/>
  <c r="H110" i="38"/>
  <c r="I110" i="38" s="1"/>
  <c r="AD110" i="38"/>
  <c r="H112" i="38"/>
  <c r="I112" i="38" s="1"/>
  <c r="AB112" i="38"/>
  <c r="AD112" i="38" s="1"/>
  <c r="G114" i="38"/>
  <c r="H114" i="38" s="1"/>
  <c r="I114" i="38" s="1"/>
  <c r="AB114" i="38"/>
  <c r="AD114" i="38" s="1"/>
  <c r="H163" i="38"/>
  <c r="I163" i="38" s="1"/>
  <c r="AB163" i="38"/>
  <c r="AD163" i="38" s="1"/>
  <c r="H184" i="38"/>
  <c r="I184" i="38" s="1"/>
  <c r="AB184" i="38"/>
  <c r="AD184" i="38" s="1"/>
  <c r="H185" i="38"/>
  <c r="I185" i="38" s="1"/>
  <c r="AD185" i="38"/>
  <c r="H186" i="38"/>
  <c r="I186" i="38" s="1"/>
  <c r="AR186" i="38"/>
  <c r="G188" i="38"/>
  <c r="H188" i="38" s="1"/>
  <c r="I188" i="38" s="1"/>
  <c r="AB188" i="38"/>
  <c r="AD188" i="38" s="1"/>
  <c r="H190" i="38"/>
  <c r="I190" i="38" s="1"/>
  <c r="P190" i="38"/>
  <c r="H191" i="38"/>
  <c r="H192" i="38"/>
  <c r="I192" i="38" s="1"/>
  <c r="AO192" i="38"/>
  <c r="AQ192" i="38" s="1"/>
  <c r="H193" i="38"/>
  <c r="I193" i="38" s="1"/>
  <c r="I191" i="38" l="1"/>
  <c r="AF191" i="38"/>
  <c r="AE191" i="38" s="1"/>
  <c r="AG191" i="38" s="1"/>
  <c r="AQ147" i="38"/>
  <c r="AU16" i="38"/>
  <c r="AT16" i="38" s="1"/>
  <c r="AS16" i="38" s="1"/>
  <c r="AV16" i="38" s="1"/>
  <c r="AF46" i="38"/>
  <c r="AE46" i="38" s="1"/>
  <c r="AF44" i="38"/>
  <c r="AE44" i="38" s="1"/>
  <c r="AF45" i="38"/>
  <c r="AE45" i="38" s="1"/>
  <c r="AF40" i="38"/>
  <c r="AE40" i="38" s="1"/>
  <c r="AF35" i="38"/>
  <c r="AE35" i="38" s="1"/>
  <c r="AF24" i="38"/>
  <c r="AE24" i="38" s="1"/>
  <c r="AF163" i="38"/>
  <c r="AE163" i="38" s="1"/>
  <c r="AG163" i="38" s="1"/>
  <c r="AF112" i="38"/>
  <c r="AE112" i="38" s="1"/>
  <c r="AG112" i="38" s="1"/>
  <c r="AF69" i="38"/>
  <c r="AE69" i="38" s="1"/>
  <c r="AF131" i="38"/>
  <c r="AE131" i="38" s="1"/>
  <c r="AG131" i="38" s="1"/>
  <c r="AF8" i="38"/>
  <c r="AE8" i="38" s="1"/>
  <c r="AF185" i="38"/>
  <c r="AE185" i="38" s="1"/>
  <c r="AF18" i="38"/>
  <c r="AE18" i="38" s="1"/>
  <c r="AG18" i="38" s="1"/>
  <c r="AF9" i="38"/>
  <c r="AE9" i="38" s="1"/>
  <c r="AF32" i="38"/>
  <c r="AE32" i="38" s="1"/>
  <c r="AF31" i="38"/>
  <c r="AE31" i="38" s="1"/>
  <c r="AF30" i="38"/>
  <c r="AE30" i="38" s="1"/>
  <c r="AF29" i="38"/>
  <c r="AE29" i="38" s="1"/>
  <c r="AF28" i="38"/>
  <c r="AE28" i="38" s="1"/>
  <c r="AF27" i="38"/>
  <c r="AE27" i="38" s="1"/>
  <c r="AQ186" i="38"/>
  <c r="AF184" i="38"/>
  <c r="AE184" i="38" s="1"/>
  <c r="AF110" i="38"/>
  <c r="AE110" i="38" s="1"/>
  <c r="AF95" i="38"/>
  <c r="AE95" i="38" s="1"/>
  <c r="AG95" i="38" s="1"/>
  <c r="AF21" i="38"/>
  <c r="AE21" i="38" s="1"/>
  <c r="AG21" i="38" s="1"/>
  <c r="AF43" i="38"/>
  <c r="AE43" i="38" s="1"/>
  <c r="AF26" i="38"/>
  <c r="AE26" i="38" s="1"/>
  <c r="AF39" i="38"/>
  <c r="AE39" i="38" s="1"/>
  <c r="AF38" i="38"/>
  <c r="AE38" i="38" s="1"/>
  <c r="AF15" i="38"/>
  <c r="AE15" i="38" s="1"/>
  <c r="AF81" i="38"/>
  <c r="AE81" i="38" s="1"/>
  <c r="AF76" i="38"/>
  <c r="AE76" i="38" s="1"/>
  <c r="AF71" i="38"/>
  <c r="AE71" i="38" s="1"/>
  <c r="AF57" i="38"/>
  <c r="AE57" i="38" s="1"/>
  <c r="AR150" i="38"/>
  <c r="AU150" i="38" s="1"/>
  <c r="AT150" i="38" s="1"/>
  <c r="AS150" i="38" s="1"/>
  <c r="AV150" i="38" s="1"/>
  <c r="AF72" i="38"/>
  <c r="AE72" i="38" s="1"/>
  <c r="AF70" i="38"/>
  <c r="AE70" i="38" s="1"/>
  <c r="AF160" i="38"/>
  <c r="AE160" i="38" s="1"/>
  <c r="AF56" i="38"/>
  <c r="AE56" i="38" s="1"/>
  <c r="AF146" i="38"/>
  <c r="AE146" i="38" s="1"/>
  <c r="AF105" i="38"/>
  <c r="AE105" i="38" s="1"/>
  <c r="AF91" i="38"/>
  <c r="AE91" i="38" s="1"/>
  <c r="AG91" i="38" s="1"/>
  <c r="S85" i="38"/>
  <c r="R85" i="38" s="1"/>
  <c r="Q85" i="38" s="1"/>
  <c r="AF83" i="38"/>
  <c r="AE83" i="38" s="1"/>
  <c r="AF64" i="38"/>
  <c r="AE64" i="38" s="1"/>
  <c r="AF60" i="38"/>
  <c r="AE60" i="38" s="1"/>
  <c r="AF54" i="38"/>
  <c r="AE54" i="38" s="1"/>
  <c r="AF156" i="38"/>
  <c r="AE156" i="38" s="1"/>
  <c r="AG156" i="38" s="1"/>
  <c r="AF49" i="38"/>
  <c r="AE49" i="38" s="1"/>
  <c r="AQ16" i="38"/>
  <c r="S190" i="38"/>
  <c r="R190" i="38" s="1"/>
  <c r="Q190" i="38" s="1"/>
  <c r="T190" i="38" s="1"/>
  <c r="AF104" i="38"/>
  <c r="AE104" i="38" s="1"/>
  <c r="AF102" i="38"/>
  <c r="AE102" i="38" s="1"/>
  <c r="AR99" i="38"/>
  <c r="AU99" i="38" s="1"/>
  <c r="AT99" i="38" s="1"/>
  <c r="AS99" i="38" s="1"/>
  <c r="AF93" i="38"/>
  <c r="AE93" i="38" s="1"/>
  <c r="AG93" i="38" s="1"/>
  <c r="AF63" i="38"/>
  <c r="AE63" i="38" s="1"/>
  <c r="AF152" i="38"/>
  <c r="AE152" i="38" s="1"/>
  <c r="AG152" i="38" s="1"/>
  <c r="AF14" i="38"/>
  <c r="AE14" i="38" s="1"/>
  <c r="AF10" i="38"/>
  <c r="AE10" i="38" s="1"/>
  <c r="AF85" i="38"/>
  <c r="AE85" i="38" s="1"/>
  <c r="AF145" i="38"/>
  <c r="AE145" i="38" s="1"/>
  <c r="AF42" i="38"/>
  <c r="AE42" i="38" s="1"/>
  <c r="AF34" i="38"/>
  <c r="AE34" i="38" s="1"/>
  <c r="AR82" i="38"/>
  <c r="AU82" i="38" s="1"/>
  <c r="AT82" i="38" s="1"/>
  <c r="AS82" i="38" s="1"/>
  <c r="AF106" i="38"/>
  <c r="AE106" i="38" s="1"/>
  <c r="AR85" i="38"/>
  <c r="AU85" i="38" s="1"/>
  <c r="AT85" i="38" s="1"/>
  <c r="AS85" i="38" s="1"/>
  <c r="AF82" i="38"/>
  <c r="AE82" i="38" s="1"/>
  <c r="AF79" i="38"/>
  <c r="AE79" i="38" s="1"/>
  <c r="AF67" i="38"/>
  <c r="AE67" i="38" s="1"/>
  <c r="AF61" i="38"/>
  <c r="AE61" i="38" s="1"/>
  <c r="AF149" i="38"/>
  <c r="AE149" i="38" s="1"/>
  <c r="AG149" i="38" s="1"/>
  <c r="AF47" i="38"/>
  <c r="AE47" i="38" s="1"/>
  <c r="AF25" i="38"/>
  <c r="AE25" i="38" s="1"/>
  <c r="AF23" i="38"/>
  <c r="AE23" i="38" s="1"/>
  <c r="AG23" i="38" s="1"/>
  <c r="AR192" i="38"/>
  <c r="AU192" i="38" s="1"/>
  <c r="AT192" i="38" s="1"/>
  <c r="AS192" i="38" s="1"/>
  <c r="AF188" i="38"/>
  <c r="AE188" i="38" s="1"/>
  <c r="AG188" i="38" s="1"/>
  <c r="AR97" i="38"/>
  <c r="AU97" i="38" s="1"/>
  <c r="AT97" i="38" s="1"/>
  <c r="AS97" i="38" s="1"/>
  <c r="S82" i="38"/>
  <c r="R82" i="38" s="1"/>
  <c r="Q82" i="38" s="1"/>
  <c r="AF77" i="38"/>
  <c r="AE77" i="38" s="1"/>
  <c r="AF68" i="38"/>
  <c r="AE68" i="38" s="1"/>
  <c r="AF55" i="38"/>
  <c r="AE55" i="38" s="1"/>
  <c r="AF154" i="38"/>
  <c r="AE154" i="38" s="1"/>
  <c r="AG154" i="38" s="1"/>
  <c r="AF52" i="38"/>
  <c r="AE52" i="38" s="1"/>
  <c r="AQ109" i="38"/>
  <c r="AF114" i="38"/>
  <c r="AE114" i="38" s="1"/>
  <c r="AG114" i="38" s="1"/>
  <c r="AF87" i="38"/>
  <c r="AE87" i="38" s="1"/>
  <c r="AG87" i="38" s="1"/>
  <c r="AF78" i="38"/>
  <c r="AE78" i="38" s="1"/>
  <c r="AF108" i="38"/>
  <c r="AE108" i="38" s="1"/>
  <c r="AF73" i="38"/>
  <c r="AE73" i="38" s="1"/>
  <c r="AF41" i="38"/>
  <c r="AE41" i="38" s="1"/>
  <c r="AF33" i="38"/>
  <c r="AE33" i="38" s="1"/>
  <c r="AF11" i="38"/>
  <c r="AE11" i="38" s="1"/>
  <c r="AR100" i="38"/>
  <c r="AU100" i="38" s="1"/>
  <c r="AT100" i="38" s="1"/>
  <c r="AS100" i="38" s="1"/>
  <c r="AR98" i="38"/>
  <c r="AU98" i="38" s="1"/>
  <c r="AT98" i="38" s="1"/>
  <c r="AS98" i="38" s="1"/>
  <c r="I89" i="38"/>
  <c r="AF89" i="38"/>
  <c r="AE89" i="38" s="1"/>
  <c r="AG89" i="38" s="1"/>
  <c r="AF103" i="38"/>
  <c r="AE103" i="38" s="1"/>
  <c r="AU109" i="38"/>
  <c r="AT109" i="38" s="1"/>
  <c r="AS109" i="38" s="1"/>
  <c r="AV109" i="38" s="1"/>
  <c r="I79" i="38"/>
  <c r="I73" i="38"/>
  <c r="AF66" i="38"/>
  <c r="AE66" i="38" s="1"/>
  <c r="AF65" i="38"/>
  <c r="AE65" i="38" s="1"/>
  <c r="I61" i="38"/>
  <c r="AF59" i="38"/>
  <c r="AE59" i="38" s="1"/>
  <c r="AF158" i="38"/>
  <c r="AE158" i="38" s="1"/>
  <c r="AU186" i="38"/>
  <c r="AT186" i="38" s="1"/>
  <c r="AS186" i="38" s="1"/>
  <c r="AV186" i="38" s="1"/>
  <c r="AQ84" i="38"/>
  <c r="AF53" i="38"/>
  <c r="AE53" i="38" s="1"/>
  <c r="AF159" i="38"/>
  <c r="AE159" i="38" s="1"/>
  <c r="AF75" i="38"/>
  <c r="AE75" i="38" s="1"/>
  <c r="AF62" i="38"/>
  <c r="AE62" i="38" s="1"/>
  <c r="AU84" i="38"/>
  <c r="AT84" i="38" s="1"/>
  <c r="AS84" i="38" s="1"/>
  <c r="AU147" i="38"/>
  <c r="AT147" i="38" s="1"/>
  <c r="AS147" i="38" s="1"/>
  <c r="AV147" i="38" s="1"/>
  <c r="Q115" i="38" l="1"/>
  <c r="AG138" i="38"/>
  <c r="AG134" i="38"/>
  <c r="AG133" i="38"/>
  <c r="AG137" i="38"/>
  <c r="AG136" i="38"/>
  <c r="AG135" i="38"/>
  <c r="AV169" i="38"/>
  <c r="AV170" i="38"/>
  <c r="AV168" i="38"/>
  <c r="AV166" i="38"/>
  <c r="AV171" i="38"/>
  <c r="AV167" i="38"/>
  <c r="AS169" i="38"/>
  <c r="AS168" i="38"/>
  <c r="AS171" i="38"/>
  <c r="AS167" i="38"/>
  <c r="AS170" i="38"/>
  <c r="AS166" i="38"/>
  <c r="AS120" i="38"/>
  <c r="AS116" i="38"/>
  <c r="AS119" i="38"/>
  <c r="AS115" i="38"/>
  <c r="AS118" i="38"/>
  <c r="AS117" i="38"/>
  <c r="AE171" i="38"/>
  <c r="AE167" i="38"/>
  <c r="AE170" i="38"/>
  <c r="AE166" i="38"/>
  <c r="AE169" i="38"/>
  <c r="AE168" i="38"/>
  <c r="AE138" i="38"/>
  <c r="AE134" i="38"/>
  <c r="AE136" i="38"/>
  <c r="AE135" i="38"/>
  <c r="AE137" i="38"/>
  <c r="AE133" i="38"/>
  <c r="AE116" i="38"/>
  <c r="AE119" i="38"/>
  <c r="AE115" i="38"/>
  <c r="AE117" i="38"/>
  <c r="AE120" i="38"/>
  <c r="AE118" i="38"/>
  <c r="U82" i="38"/>
  <c r="Q120" i="38"/>
  <c r="Q116" i="38"/>
  <c r="Q118" i="38"/>
  <c r="Q117" i="38"/>
  <c r="Q119" i="38"/>
  <c r="AI46" i="38"/>
  <c r="AG145" i="38"/>
  <c r="AH184" i="38"/>
  <c r="AI108" i="38"/>
  <c r="AG81" i="38"/>
  <c r="AG46" i="38"/>
  <c r="AI184" i="38"/>
  <c r="AI8" i="38"/>
  <c r="AH46" i="38"/>
  <c r="AI14" i="38"/>
  <c r="AI102" i="38"/>
  <c r="AG184" i="38"/>
  <c r="AH8" i="38"/>
  <c r="AI145" i="38"/>
  <c r="AI38" i="38"/>
  <c r="T82" i="38"/>
  <c r="V82" i="38"/>
  <c r="AG8" i="38"/>
  <c r="AH145" i="38"/>
  <c r="AW82" i="38"/>
  <c r="AV191" i="38"/>
  <c r="AG38" i="38"/>
  <c r="AH81" i="38"/>
  <c r="AH24" i="38"/>
  <c r="AH14" i="38"/>
  <c r="AI81" i="38"/>
  <c r="AH108" i="38"/>
  <c r="AH38" i="38"/>
  <c r="AG14" i="38"/>
  <c r="AG49" i="38"/>
  <c r="AI24" i="38"/>
  <c r="AG108" i="38"/>
  <c r="AG24" i="38"/>
  <c r="AV82" i="38"/>
  <c r="AX82" i="38"/>
  <c r="AH102" i="38"/>
  <c r="AX97" i="38"/>
  <c r="AI53" i="38"/>
  <c r="AG53" i="38"/>
  <c r="AH53" i="38"/>
  <c r="AI158" i="38"/>
  <c r="AG158" i="38"/>
  <c r="AH158" i="38"/>
  <c r="AG102" i="38"/>
  <c r="AW97" i="38"/>
  <c r="AG59" i="38"/>
  <c r="AH59" i="38"/>
  <c r="AI59" i="38"/>
  <c r="AV97" i="38"/>
  <c r="AG75" i="38"/>
  <c r="AH75" i="38"/>
  <c r="AI75" i="38"/>
  <c r="AV121" i="38" l="1"/>
  <c r="AG172" i="38"/>
  <c r="AG121" i="38"/>
  <c r="AV118" i="38"/>
  <c r="AV117" i="38"/>
  <c r="AV120" i="38"/>
  <c r="AV116" i="38"/>
  <c r="AV119" i="38"/>
  <c r="AV115" i="38"/>
  <c r="AG116" i="38"/>
  <c r="AG119" i="38"/>
  <c r="AG118" i="38"/>
  <c r="AG117" i="38"/>
  <c r="AG120" i="38"/>
  <c r="AG115" i="38"/>
  <c r="AG169" i="38"/>
  <c r="AG168" i="38"/>
  <c r="AG171" i="38"/>
  <c r="AG167" i="38"/>
  <c r="AG170" i="38"/>
  <c r="AG166" i="38"/>
  <c r="T117" i="38"/>
  <c r="T120" i="38"/>
  <c r="T115" i="38"/>
  <c r="T118" i="38"/>
  <c r="T119" i="38"/>
  <c r="AG174" i="38" l="1"/>
  <c r="AH174" i="38" s="1"/>
  <c r="AG173" i="38"/>
  <c r="AV123" i="38"/>
  <c r="AW123" i="38" s="1"/>
  <c r="AV122" i="38"/>
  <c r="AG123" i="38"/>
  <c r="L120" i="38" s="1"/>
  <c r="AG122" i="38"/>
  <c r="L119" i="38" s="1"/>
  <c r="AQ27" i="37"/>
  <c r="H27" i="37"/>
  <c r="I27" i="37" s="1"/>
  <c r="H26" i="37"/>
  <c r="I26" i="37" s="1"/>
  <c r="AQ25" i="37"/>
  <c r="J25" i="37"/>
  <c r="H25" i="37"/>
  <c r="I25" i="37" s="1"/>
  <c r="H24" i="37"/>
  <c r="I24" i="37" s="1"/>
  <c r="J23" i="37"/>
  <c r="H23" i="37"/>
  <c r="I23" i="37" s="1"/>
  <c r="AQ20" i="37"/>
  <c r="H20" i="37"/>
  <c r="I20" i="37" s="1"/>
  <c r="AD19" i="37"/>
  <c r="H19" i="37"/>
  <c r="O18" i="37"/>
  <c r="P18" i="37" s="1"/>
  <c r="H18" i="37"/>
  <c r="I18" i="37" s="1"/>
  <c r="AQ17" i="37"/>
  <c r="AD17" i="37"/>
  <c r="O17" i="37"/>
  <c r="P17" i="37" s="1"/>
  <c r="H17" i="37"/>
  <c r="I17" i="37" s="1"/>
  <c r="AQ36" i="6"/>
  <c r="H36" i="6"/>
  <c r="I36" i="6" s="1"/>
  <c r="AN14" i="37"/>
  <c r="AQ14" i="37" s="1"/>
  <c r="J14" i="37"/>
  <c r="H14" i="37"/>
  <c r="I14" i="37" s="1"/>
  <c r="AN13" i="37"/>
  <c r="AQ13" i="37" s="1"/>
  <c r="J13" i="37"/>
  <c r="H13" i="37"/>
  <c r="I13" i="37" s="1"/>
  <c r="H12" i="37"/>
  <c r="I12" i="37" s="1"/>
  <c r="H11" i="37"/>
  <c r="I11" i="37" s="1"/>
  <c r="J10" i="37"/>
  <c r="H10" i="37"/>
  <c r="I10" i="37" s="1"/>
  <c r="H9" i="37"/>
  <c r="I9" i="37" s="1"/>
  <c r="H8" i="37"/>
  <c r="I8" i="37" s="1"/>
  <c r="AQ7" i="37"/>
  <c r="H7" i="37"/>
  <c r="I7" i="37" s="1"/>
  <c r="AQ6" i="37"/>
  <c r="H6" i="37"/>
  <c r="I6" i="37" s="1"/>
  <c r="AR6" i="37" l="1"/>
  <c r="AU6" i="37" s="1"/>
  <c r="AT6" i="37" s="1"/>
  <c r="AS6" i="37" s="1"/>
  <c r="AR7" i="37"/>
  <c r="AU7" i="37" s="1"/>
  <c r="AT7" i="37" s="1"/>
  <c r="AS7" i="37" s="1"/>
  <c r="AR20" i="37"/>
  <c r="AU20" i="37" s="1"/>
  <c r="AT20" i="37" s="1"/>
  <c r="AS20" i="37" s="1"/>
  <c r="AR25" i="37"/>
  <c r="AU25" i="37" s="1"/>
  <c r="AT25" i="37" s="1"/>
  <c r="AS25" i="37" s="1"/>
  <c r="AH123" i="38"/>
  <c r="AR36" i="6"/>
  <c r="AU36" i="6" s="1"/>
  <c r="AT36" i="6" s="1"/>
  <c r="AS36" i="6" s="1"/>
  <c r="AV36" i="6" s="1"/>
  <c r="AR17" i="37"/>
  <c r="AU17" i="37" s="1"/>
  <c r="AT17" i="37" s="1"/>
  <c r="AS17" i="37" s="1"/>
  <c r="S17" i="37"/>
  <c r="R17" i="37" s="1"/>
  <c r="Q17" i="37" s="1"/>
  <c r="S18" i="37"/>
  <c r="R18" i="37" s="1"/>
  <c r="Q18" i="37" s="1"/>
  <c r="AR14" i="37"/>
  <c r="AU14" i="37" s="1"/>
  <c r="AT14" i="37" s="1"/>
  <c r="AS14" i="37" s="1"/>
  <c r="AF17" i="37"/>
  <c r="AE17" i="37" s="1"/>
  <c r="AF19" i="37"/>
  <c r="AE19" i="37" s="1"/>
  <c r="AR13" i="37"/>
  <c r="AU13" i="37" s="1"/>
  <c r="AT13" i="37" s="1"/>
  <c r="AS13" i="37" s="1"/>
  <c r="AR27" i="37"/>
  <c r="AU27" i="37" s="1"/>
  <c r="AT27" i="37" s="1"/>
  <c r="AS27" i="37" s="1"/>
  <c r="I19" i="37"/>
  <c r="AH17" i="37" l="1"/>
  <c r="V17" i="37"/>
  <c r="U17" i="37"/>
  <c r="AG17" i="37"/>
  <c r="AG50" i="37" s="1"/>
  <c r="T17" i="37"/>
  <c r="T50" i="37" s="1"/>
  <c r="AI17" i="37"/>
  <c r="AV6" i="37"/>
  <c r="AG48" i="37"/>
  <c r="AE48" i="37"/>
  <c r="AE52" i="37"/>
  <c r="Q51" i="37"/>
  <c r="Q54" i="37"/>
  <c r="Q50" i="37"/>
  <c r="Q53" i="37"/>
  <c r="Q49" i="37"/>
  <c r="Q52" i="37"/>
  <c r="T54" i="37"/>
  <c r="T53" i="37"/>
  <c r="T49" i="37"/>
  <c r="T51" i="37"/>
  <c r="AW6" i="37"/>
  <c r="AS49" i="37"/>
  <c r="AS52" i="37"/>
  <c r="AS51" i="37"/>
  <c r="AS53" i="37"/>
  <c r="AS54" i="37"/>
  <c r="AS50" i="37"/>
  <c r="AV17" i="37"/>
  <c r="AX6" i="37"/>
  <c r="AV23" i="37"/>
  <c r="AX23" i="37"/>
  <c r="AW23" i="37"/>
  <c r="AX17" i="37"/>
  <c r="AW17" i="37"/>
  <c r="AG53" i="37" l="1"/>
  <c r="AV55" i="37"/>
  <c r="AG51" i="37"/>
  <c r="AG49" i="37"/>
  <c r="AG52" i="37"/>
  <c r="AV51" i="37"/>
  <c r="AV56" i="37" s="1"/>
  <c r="AW56" i="37" s="1"/>
  <c r="T52" i="37"/>
  <c r="AV52" i="37"/>
  <c r="AV54" i="37"/>
  <c r="AV49" i="37"/>
  <c r="AV53" i="37"/>
  <c r="AV50" i="37"/>
  <c r="AD13" i="36"/>
  <c r="H13" i="36"/>
  <c r="AD12" i="36"/>
  <c r="H12" i="36"/>
  <c r="I12" i="36" s="1"/>
  <c r="AD10" i="36"/>
  <c r="H10" i="36"/>
  <c r="AD8" i="36"/>
  <c r="H8" i="36"/>
  <c r="I8" i="36" s="1"/>
  <c r="AD6" i="36"/>
  <c r="H6" i="36"/>
  <c r="AV57" i="37" l="1"/>
  <c r="AW57" i="37" s="1"/>
  <c r="AF12" i="36"/>
  <c r="AE12" i="36" s="1"/>
  <c r="AG12" i="36" s="1"/>
  <c r="AF6" i="36"/>
  <c r="AE6" i="36" s="1"/>
  <c r="AG6" i="36" s="1"/>
  <c r="AF10" i="36"/>
  <c r="AE10" i="36" s="1"/>
  <c r="AG10" i="36" s="1"/>
  <c r="AF13" i="36"/>
  <c r="AE13" i="36" s="1"/>
  <c r="AG13" i="36" s="1"/>
  <c r="AF8" i="36"/>
  <c r="AE8" i="36" s="1"/>
  <c r="AG8" i="36" s="1"/>
  <c r="I6" i="36"/>
  <c r="I10" i="36"/>
  <c r="I13" i="36"/>
  <c r="G18" i="23"/>
  <c r="G20" i="23"/>
  <c r="G22" i="23"/>
  <c r="G24" i="23"/>
  <c r="AG30" i="36" l="1"/>
  <c r="AE29" i="36"/>
  <c r="AE24" i="36"/>
  <c r="AE26" i="36"/>
  <c r="AE28" i="36"/>
  <c r="AE27" i="36"/>
  <c r="AE25" i="36"/>
  <c r="AG29" i="36"/>
  <c r="AG28" i="36"/>
  <c r="AG26" i="36"/>
  <c r="AG27" i="36"/>
  <c r="AG25" i="36"/>
  <c r="AG24" i="36"/>
  <c r="AG31" i="36" l="1"/>
  <c r="AH31" i="36" s="1"/>
  <c r="AG32" i="36"/>
  <c r="AH32" i="36" s="1"/>
  <c r="AQ32" i="6"/>
  <c r="AQ31" i="6"/>
  <c r="AQ26" i="6"/>
  <c r="AQ6" i="6"/>
  <c r="AO29" i="6"/>
  <c r="AQ29" i="6" s="1"/>
  <c r="AO28" i="6"/>
  <c r="AQ28" i="6" s="1"/>
  <c r="H6" i="35" l="1"/>
  <c r="I6" i="35" s="1"/>
  <c r="L6" i="35"/>
  <c r="O6" i="35" s="1"/>
  <c r="P6" i="35" s="1"/>
  <c r="S6" i="35" s="1"/>
  <c r="R6" i="35" s="1"/>
  <c r="Q6" i="35" s="1"/>
  <c r="H7" i="35"/>
  <c r="I7" i="35" s="1"/>
  <c r="M7" i="35"/>
  <c r="O7" i="35" s="1"/>
  <c r="P7" i="35" s="1"/>
  <c r="H8" i="35"/>
  <c r="I8" i="35" s="1"/>
  <c r="AB8" i="35"/>
  <c r="AD8" i="35" s="1"/>
  <c r="H9" i="35"/>
  <c r="I9" i="35" s="1"/>
  <c r="AO9" i="35"/>
  <c r="AQ9" i="35" s="1"/>
  <c r="AR9" i="35" s="1"/>
  <c r="H10" i="35"/>
  <c r="I10" i="35"/>
  <c r="M10" i="35"/>
  <c r="O10" i="35" s="1"/>
  <c r="P10" i="35" s="1"/>
  <c r="H11" i="35"/>
  <c r="I11" i="35" s="1"/>
  <c r="L11" i="35"/>
  <c r="O11" i="35"/>
  <c r="P11" i="35" s="1"/>
  <c r="AA11" i="35"/>
  <c r="AD11" i="35"/>
  <c r="AN11" i="35"/>
  <c r="AQ11" i="35"/>
  <c r="H12" i="35"/>
  <c r="I12" i="35" s="1"/>
  <c r="AN12" i="35"/>
  <c r="AQ12" i="35"/>
  <c r="H14" i="35"/>
  <c r="I14" i="35" s="1"/>
  <c r="L14" i="35"/>
  <c r="O14" i="35" s="1"/>
  <c r="P14" i="35" s="1"/>
  <c r="AA14" i="35"/>
  <c r="AD14" i="35" s="1"/>
  <c r="AN14" i="35"/>
  <c r="AQ14" i="35"/>
  <c r="H15" i="35"/>
  <c r="I15" i="35" s="1"/>
  <c r="L15" i="35"/>
  <c r="O15" i="35" s="1"/>
  <c r="P15" i="35" s="1"/>
  <c r="AA15" i="35"/>
  <c r="AD15" i="35" s="1"/>
  <c r="H16" i="35"/>
  <c r="I16" i="35" s="1"/>
  <c r="L16" i="35"/>
  <c r="O16" i="35" s="1"/>
  <c r="P16" i="35" s="1"/>
  <c r="AA16" i="35"/>
  <c r="AD16" i="35" s="1"/>
  <c r="H17" i="35"/>
  <c r="I17" i="35" s="1"/>
  <c r="L17" i="35"/>
  <c r="O17" i="35" s="1"/>
  <c r="P17" i="35" s="1"/>
  <c r="S17" i="35" s="1"/>
  <c r="R17" i="35" s="1"/>
  <c r="Q17" i="35" s="1"/>
  <c r="H18" i="35"/>
  <c r="I18" i="35" s="1"/>
  <c r="AA18" i="35"/>
  <c r="AD18" i="35" s="1"/>
  <c r="H19" i="35"/>
  <c r="I19" i="35" s="1"/>
  <c r="AQ19" i="35"/>
  <c r="AR19" i="35" s="1"/>
  <c r="AU19" i="35" s="1"/>
  <c r="AT19" i="35" s="1"/>
  <c r="AS19" i="35" s="1"/>
  <c r="AQ22" i="35"/>
  <c r="AR22" i="35" s="1"/>
  <c r="AU22" i="35" s="1"/>
  <c r="H23" i="35"/>
  <c r="I23" i="35" s="1"/>
  <c r="AD23" i="35"/>
  <c r="H24" i="35"/>
  <c r="I24" i="35" s="1"/>
  <c r="AD24" i="35"/>
  <c r="H25" i="35"/>
  <c r="I25" i="35" s="1"/>
  <c r="AD25" i="35"/>
  <c r="H26" i="35"/>
  <c r="I26" i="35" s="1"/>
  <c r="AD26" i="35"/>
  <c r="H27" i="35"/>
  <c r="I27" i="35" s="1"/>
  <c r="AD27" i="35"/>
  <c r="H28" i="35"/>
  <c r="I28" i="35" s="1"/>
  <c r="AD28" i="35"/>
  <c r="H29" i="35"/>
  <c r="I29" i="35" s="1"/>
  <c r="AQ29" i="35"/>
  <c r="H30" i="35"/>
  <c r="I30" i="35" s="1"/>
  <c r="AQ30" i="35"/>
  <c r="H31" i="35"/>
  <c r="I31" i="35" s="1"/>
  <c r="AR31" i="35" s="1"/>
  <c r="AU31" i="35" s="1"/>
  <c r="AT31" i="35" s="1"/>
  <c r="AS31" i="35" s="1"/>
  <c r="AQ31" i="35"/>
  <c r="H32" i="35"/>
  <c r="I32" i="35" s="1"/>
  <c r="AQ32" i="35"/>
  <c r="H33" i="35"/>
  <c r="I33" i="35" s="1"/>
  <c r="AQ33" i="35"/>
  <c r="H34" i="35"/>
  <c r="I34" i="35" s="1"/>
  <c r="AQ34" i="35"/>
  <c r="H35" i="35"/>
  <c r="I35" i="35" s="1"/>
  <c r="AQ35" i="35"/>
  <c r="H36" i="35"/>
  <c r="AF36" i="35" s="1"/>
  <c r="AE36" i="35" s="1"/>
  <c r="H37" i="35"/>
  <c r="AF37" i="35" s="1"/>
  <c r="AE37" i="35" s="1"/>
  <c r="H38" i="35"/>
  <c r="I38" i="35" s="1"/>
  <c r="AR38" i="35"/>
  <c r="AQ38" i="35" s="1"/>
  <c r="H39" i="35"/>
  <c r="I39" i="35" s="1"/>
  <c r="L39" i="35"/>
  <c r="O39" i="35" s="1"/>
  <c r="P39" i="35" s="1"/>
  <c r="AA39" i="35"/>
  <c r="AD39" i="35" s="1"/>
  <c r="AN39" i="35"/>
  <c r="AQ39" i="35" s="1"/>
  <c r="H40" i="35"/>
  <c r="I40" i="35" s="1"/>
  <c r="L40" i="35"/>
  <c r="O40" i="35" s="1"/>
  <c r="P40" i="35" s="1"/>
  <c r="AA40" i="35"/>
  <c r="AD40" i="35" s="1"/>
  <c r="AN40" i="35"/>
  <c r="AQ40" i="35" s="1"/>
  <c r="H41" i="35"/>
  <c r="I41" i="35" s="1"/>
  <c r="L41" i="35"/>
  <c r="O41" i="35" s="1"/>
  <c r="P41" i="35" s="1"/>
  <c r="AA41" i="35"/>
  <c r="AD41" i="35" s="1"/>
  <c r="AN41" i="35"/>
  <c r="AQ41" i="35" s="1"/>
  <c r="H43" i="35"/>
  <c r="I43" i="35" s="1"/>
  <c r="AQ43" i="35"/>
  <c r="H45" i="35"/>
  <c r="I45" i="35" s="1"/>
  <c r="AA45" i="35"/>
  <c r="AD45" i="35" s="1"/>
  <c r="H47" i="35"/>
  <c r="I47" i="35" s="1"/>
  <c r="L47" i="35"/>
  <c r="O47" i="35"/>
  <c r="P47" i="35" s="1"/>
  <c r="AA47" i="35"/>
  <c r="AD47" i="35"/>
  <c r="AN47" i="35"/>
  <c r="AQ47" i="35"/>
  <c r="H49" i="35"/>
  <c r="AD49" i="35"/>
  <c r="H50" i="35"/>
  <c r="I50" i="35" s="1"/>
  <c r="AQ50" i="35"/>
  <c r="H52" i="35"/>
  <c r="I52" i="35" s="1"/>
  <c r="O52" i="35"/>
  <c r="P52" i="35" s="1"/>
  <c r="AD52" i="35"/>
  <c r="AQ52" i="35"/>
  <c r="H53" i="35"/>
  <c r="I53" i="35" s="1"/>
  <c r="O53" i="35"/>
  <c r="P53" i="35" s="1"/>
  <c r="AD53" i="35"/>
  <c r="AQ53" i="35"/>
  <c r="S10" i="35" l="1"/>
  <c r="R10" i="35" s="1"/>
  <c r="Q10" i="35" s="1"/>
  <c r="AF45" i="35"/>
  <c r="AE45" i="35" s="1"/>
  <c r="AG45" i="35" s="1"/>
  <c r="AR41" i="35"/>
  <c r="AU41" i="35" s="1"/>
  <c r="AT41" i="35" s="1"/>
  <c r="AS41" i="35" s="1"/>
  <c r="AR50" i="35"/>
  <c r="AF27" i="35"/>
  <c r="AE27" i="35" s="1"/>
  <c r="AF23" i="35"/>
  <c r="AE23" i="35" s="1"/>
  <c r="AR14" i="35"/>
  <c r="AU14" i="35" s="1"/>
  <c r="AT14" i="35" s="1"/>
  <c r="AS14" i="35" s="1"/>
  <c r="AV14" i="35" s="1"/>
  <c r="AF53" i="35"/>
  <c r="AE53" i="35" s="1"/>
  <c r="S41" i="35"/>
  <c r="R41" i="35" s="1"/>
  <c r="Q41" i="35" s="1"/>
  <c r="S40" i="35"/>
  <c r="R40" i="35" s="1"/>
  <c r="Q40" i="35" s="1"/>
  <c r="I37" i="35"/>
  <c r="S14" i="35"/>
  <c r="R14" i="35" s="1"/>
  <c r="Q14" i="35" s="1"/>
  <c r="AF52" i="35"/>
  <c r="AE52" i="35" s="1"/>
  <c r="AH52" i="35" s="1"/>
  <c r="AF26" i="35"/>
  <c r="AE26" i="35" s="1"/>
  <c r="AT22" i="35"/>
  <c r="AS22" i="35" s="1"/>
  <c r="AF18" i="35"/>
  <c r="AE18" i="35" s="1"/>
  <c r="S15" i="35"/>
  <c r="R15" i="35" s="1"/>
  <c r="Q15" i="35" s="1"/>
  <c r="AR52" i="35"/>
  <c r="AU52" i="35" s="1"/>
  <c r="AT52" i="35" s="1"/>
  <c r="AS52" i="35" s="1"/>
  <c r="AF39" i="35"/>
  <c r="AE39" i="35" s="1"/>
  <c r="AR34" i="35"/>
  <c r="AU34" i="35" s="1"/>
  <c r="AT34" i="35" s="1"/>
  <c r="AS34" i="35" s="1"/>
  <c r="AF28" i="35"/>
  <c r="AE28" i="35" s="1"/>
  <c r="AF40" i="35"/>
  <c r="AE40" i="35" s="1"/>
  <c r="AR32" i="35"/>
  <c r="AU32" i="35" s="1"/>
  <c r="AT32" i="35" s="1"/>
  <c r="AS32" i="35" s="1"/>
  <c r="AR30" i="35"/>
  <c r="AU30" i="35" s="1"/>
  <c r="AT30" i="35" s="1"/>
  <c r="AS30" i="35" s="1"/>
  <c r="AF24" i="35"/>
  <c r="AE24" i="35" s="1"/>
  <c r="S11" i="35"/>
  <c r="R11" i="35" s="1"/>
  <c r="Q11" i="35" s="1"/>
  <c r="S39" i="35"/>
  <c r="R39" i="35" s="1"/>
  <c r="Q39" i="35" s="1"/>
  <c r="AF16" i="35"/>
  <c r="AE16" i="35" s="1"/>
  <c r="AF14" i="35"/>
  <c r="AE14" i="35" s="1"/>
  <c r="AR12" i="35"/>
  <c r="AU12" i="35" s="1"/>
  <c r="AT12" i="35" s="1"/>
  <c r="AS12" i="35" s="1"/>
  <c r="S53" i="35"/>
  <c r="R53" i="35" s="1"/>
  <c r="Q53" i="35" s="1"/>
  <c r="AR47" i="35"/>
  <c r="AU47" i="35" s="1"/>
  <c r="AT47" i="35" s="1"/>
  <c r="AS47" i="35" s="1"/>
  <c r="AV47" i="35" s="1"/>
  <c r="AF41" i="35"/>
  <c r="AE41" i="35" s="1"/>
  <c r="AR39" i="35"/>
  <c r="AU39" i="35" s="1"/>
  <c r="AT39" i="35" s="1"/>
  <c r="AS39" i="35" s="1"/>
  <c r="S16" i="35"/>
  <c r="R16" i="35" s="1"/>
  <c r="Q16" i="35" s="1"/>
  <c r="AF11" i="35"/>
  <c r="AE11" i="35" s="1"/>
  <c r="AF49" i="35"/>
  <c r="AE49" i="35" s="1"/>
  <c r="AG49" i="35" s="1"/>
  <c r="S47" i="35"/>
  <c r="R47" i="35" s="1"/>
  <c r="Q47" i="35" s="1"/>
  <c r="T47" i="35" s="1"/>
  <c r="S7" i="35"/>
  <c r="R7" i="35" s="1"/>
  <c r="Q7" i="35" s="1"/>
  <c r="S52" i="35"/>
  <c r="R52" i="35" s="1"/>
  <c r="Q52" i="35" s="1"/>
  <c r="AR29" i="35"/>
  <c r="AU29" i="35" s="1"/>
  <c r="AT29" i="35" s="1"/>
  <c r="AS29" i="35" s="1"/>
  <c r="AF25" i="35"/>
  <c r="AE25" i="35" s="1"/>
  <c r="AF15" i="35"/>
  <c r="AE15" i="35" s="1"/>
  <c r="AR11" i="35"/>
  <c r="AU11" i="35" s="1"/>
  <c r="AT11" i="35" s="1"/>
  <c r="AS11" i="35" s="1"/>
  <c r="AR43" i="35"/>
  <c r="AU43" i="35" s="1"/>
  <c r="AT43" i="35" s="1"/>
  <c r="AS43" i="35" s="1"/>
  <c r="AV43" i="35" s="1"/>
  <c r="AF47" i="35"/>
  <c r="AE47" i="35" s="1"/>
  <c r="AG47" i="35" s="1"/>
  <c r="AR35" i="35"/>
  <c r="AU35" i="35" s="1"/>
  <c r="AT35" i="35" s="1"/>
  <c r="AS35" i="35" s="1"/>
  <c r="AR33" i="35"/>
  <c r="AU33" i="35" s="1"/>
  <c r="AT33" i="35" s="1"/>
  <c r="AS33" i="35" s="1"/>
  <c r="AF8" i="35"/>
  <c r="AE8" i="35" s="1"/>
  <c r="AR40" i="35"/>
  <c r="AU40" i="35" s="1"/>
  <c r="AT40" i="35" s="1"/>
  <c r="AS40" i="35" s="1"/>
  <c r="AU38" i="35"/>
  <c r="AT38" i="35" s="1"/>
  <c r="AS38" i="35" s="1"/>
  <c r="AX14" i="35"/>
  <c r="AR53" i="35"/>
  <c r="AU53" i="35" s="1"/>
  <c r="AT53" i="35" s="1"/>
  <c r="AS53" i="35" s="1"/>
  <c r="I49" i="35"/>
  <c r="I36" i="35"/>
  <c r="AU9" i="35"/>
  <c r="AT9" i="35" s="1"/>
  <c r="AS9" i="35" s="1"/>
  <c r="AU50" i="35" l="1"/>
  <c r="AT50" i="35" s="1"/>
  <c r="AS50" i="35" s="1"/>
  <c r="AV49" i="35" s="1"/>
  <c r="AI14" i="35"/>
  <c r="AI52" i="35"/>
  <c r="AG6" i="35"/>
  <c r="AX22" i="35"/>
  <c r="AW22" i="35"/>
  <c r="AV22" i="35"/>
  <c r="AW14" i="35"/>
  <c r="V14" i="35"/>
  <c r="U52" i="35"/>
  <c r="AH21" i="35"/>
  <c r="AG52" i="35"/>
  <c r="U14" i="35"/>
  <c r="T14" i="35"/>
  <c r="T59" i="35" s="1"/>
  <c r="AE60" i="35"/>
  <c r="V6" i="35"/>
  <c r="U21" i="35"/>
  <c r="V21" i="35"/>
  <c r="T21" i="35"/>
  <c r="U6" i="35"/>
  <c r="T6" i="35"/>
  <c r="AG21" i="35"/>
  <c r="Q59" i="35"/>
  <c r="AX52" i="35"/>
  <c r="Q60" i="35"/>
  <c r="T52" i="35"/>
  <c r="AH6" i="35"/>
  <c r="AG14" i="35"/>
  <c r="AE57" i="35"/>
  <c r="AH14" i="35"/>
  <c r="AI6" i="35"/>
  <c r="AE61" i="35"/>
  <c r="AE58" i="35"/>
  <c r="Q58" i="35"/>
  <c r="AE59" i="35"/>
  <c r="AW52" i="35"/>
  <c r="AI21" i="35"/>
  <c r="Q57" i="35"/>
  <c r="AE62" i="35"/>
  <c r="Q62" i="35"/>
  <c r="AV52" i="35"/>
  <c r="Q61" i="35"/>
  <c r="AX6" i="35"/>
  <c r="AV6" i="35"/>
  <c r="AW6" i="35"/>
  <c r="AS57" i="35"/>
  <c r="AS59" i="35"/>
  <c r="AS61" i="35"/>
  <c r="AS62" i="35"/>
  <c r="AS58" i="35"/>
  <c r="AS60" i="35"/>
  <c r="AV63" i="35" l="1"/>
  <c r="AG63" i="35"/>
  <c r="T62" i="35"/>
  <c r="T57" i="35"/>
  <c r="T63" i="35"/>
  <c r="T65" i="35" s="1"/>
  <c r="T60" i="35"/>
  <c r="T61" i="35"/>
  <c r="T58" i="35"/>
  <c r="AG58" i="35"/>
  <c r="AG62" i="35"/>
  <c r="AG60" i="35"/>
  <c r="AG61" i="35"/>
  <c r="AG57" i="35"/>
  <c r="AG59" i="35"/>
  <c r="V52" i="35"/>
  <c r="AV60" i="35"/>
  <c r="AV61" i="35"/>
  <c r="AV62" i="35"/>
  <c r="AV57" i="35"/>
  <c r="AV58" i="35"/>
  <c r="AV59" i="35"/>
  <c r="U65" i="35" l="1"/>
  <c r="T64" i="35"/>
  <c r="U64" i="35" s="1"/>
  <c r="AG65" i="35"/>
  <c r="AH65" i="35" s="1"/>
  <c r="AG64" i="35"/>
  <c r="AH64" i="35" s="1"/>
  <c r="AV65" i="35"/>
  <c r="AW65" i="35" s="1"/>
  <c r="AV64" i="35"/>
  <c r="AW64" i="35" s="1"/>
  <c r="AQ30" i="23"/>
  <c r="AQ29" i="23"/>
  <c r="H30" i="23"/>
  <c r="H29" i="23"/>
  <c r="I29" i="23" l="1"/>
  <c r="AR29" i="23" s="1"/>
  <c r="AU29" i="23" s="1"/>
  <c r="AT29" i="23" s="1"/>
  <c r="AS29" i="23" s="1"/>
  <c r="G29" i="23"/>
  <c r="I30" i="23"/>
  <c r="AR30" i="23" s="1"/>
  <c r="AU30" i="23" s="1"/>
  <c r="AT30" i="23" s="1"/>
  <c r="AS30" i="23" s="1"/>
  <c r="G30" i="23"/>
  <c r="AQ34" i="34"/>
  <c r="H34" i="34"/>
  <c r="I34" i="34" s="1"/>
  <c r="H33" i="34"/>
  <c r="I33" i="34" s="1"/>
  <c r="AQ31" i="34"/>
  <c r="H31" i="34"/>
  <c r="I31" i="34" s="1"/>
  <c r="H29" i="34"/>
  <c r="I29" i="34" s="1"/>
  <c r="AQ27" i="34"/>
  <c r="AD27" i="34"/>
  <c r="O27" i="34"/>
  <c r="P27" i="34" s="1"/>
  <c r="H27" i="34"/>
  <c r="I27" i="34" s="1"/>
  <c r="AD26" i="34"/>
  <c r="O26" i="34"/>
  <c r="P26" i="34" s="1"/>
  <c r="H26" i="34"/>
  <c r="I26" i="34" s="1"/>
  <c r="AQ25" i="34"/>
  <c r="AD25" i="34"/>
  <c r="O25" i="34"/>
  <c r="P25" i="34" s="1"/>
  <c r="H25" i="34"/>
  <c r="AQ24" i="34"/>
  <c r="AD24" i="34"/>
  <c r="O24" i="34"/>
  <c r="P24" i="34" s="1"/>
  <c r="H24" i="34"/>
  <c r="I24" i="34" s="1"/>
  <c r="AQ22" i="34"/>
  <c r="H22" i="34"/>
  <c r="I22" i="34" s="1"/>
  <c r="AD21" i="34"/>
  <c r="H21" i="34"/>
  <c r="I21" i="34" s="1"/>
  <c r="AQ20" i="34"/>
  <c r="H20" i="34"/>
  <c r="I20" i="34" s="1"/>
  <c r="AD19" i="34"/>
  <c r="H19" i="34"/>
  <c r="I19" i="34" s="1"/>
  <c r="AQ18" i="34"/>
  <c r="H18" i="34"/>
  <c r="I18" i="34" s="1"/>
  <c r="H17" i="34"/>
  <c r="I17" i="34" s="1"/>
  <c r="AQ16" i="34"/>
  <c r="H16" i="34"/>
  <c r="I16" i="34" s="1"/>
  <c r="AD15" i="34"/>
  <c r="H15" i="34"/>
  <c r="I15" i="34" s="1"/>
  <c r="AQ14" i="34"/>
  <c r="H14" i="34"/>
  <c r="I14" i="34" s="1"/>
  <c r="AD13" i="34"/>
  <c r="H13" i="34"/>
  <c r="I13" i="34" s="1"/>
  <c r="AQ12" i="34"/>
  <c r="H12" i="34"/>
  <c r="I12" i="34" s="1"/>
  <c r="H11" i="34"/>
  <c r="I11" i="34" s="1"/>
  <c r="H10" i="34"/>
  <c r="I10" i="34" s="1"/>
  <c r="AQ8" i="34"/>
  <c r="H8" i="34"/>
  <c r="I8" i="34" s="1"/>
  <c r="AQ7" i="34"/>
  <c r="H7" i="34"/>
  <c r="I7" i="34" s="1"/>
  <c r="AD6" i="34"/>
  <c r="H6" i="34"/>
  <c r="I6" i="34" s="1"/>
  <c r="AR20" i="34" l="1"/>
  <c r="AU20" i="34" s="1"/>
  <c r="AT20" i="34" s="1"/>
  <c r="AS20" i="34" s="1"/>
  <c r="AR18" i="34"/>
  <c r="AU18" i="34" s="1"/>
  <c r="AT18" i="34" s="1"/>
  <c r="AS18" i="34" s="1"/>
  <c r="AR7" i="34"/>
  <c r="AU7" i="34" s="1"/>
  <c r="AT7" i="34" s="1"/>
  <c r="AS7" i="34" s="1"/>
  <c r="AR22" i="34"/>
  <c r="AU22" i="34" s="1"/>
  <c r="AT22" i="34" s="1"/>
  <c r="AS22" i="34" s="1"/>
  <c r="AR8" i="34"/>
  <c r="AU8" i="34" s="1"/>
  <c r="AT8" i="34" s="1"/>
  <c r="AS8" i="34" s="1"/>
  <c r="AR12" i="34"/>
  <c r="AU12" i="34" s="1"/>
  <c r="AT12" i="34" s="1"/>
  <c r="AS12" i="34" s="1"/>
  <c r="AR14" i="34"/>
  <c r="AU14" i="34" s="1"/>
  <c r="AT14" i="34" s="1"/>
  <c r="AS14" i="34" s="1"/>
  <c r="AR16" i="34"/>
  <c r="AU16" i="34" s="1"/>
  <c r="AT16" i="34" s="1"/>
  <c r="AS16" i="34" s="1"/>
  <c r="AR27" i="34"/>
  <c r="AU27" i="34" s="1"/>
  <c r="AT27" i="34" s="1"/>
  <c r="AS27" i="34" s="1"/>
  <c r="AR31" i="34"/>
  <c r="AU31" i="34" s="1"/>
  <c r="AT31" i="34" s="1"/>
  <c r="AS31" i="34" s="1"/>
  <c r="AV31" i="34" s="1"/>
  <c r="S26" i="34"/>
  <c r="R26" i="34" s="1"/>
  <c r="Q26" i="34" s="1"/>
  <c r="S27" i="34"/>
  <c r="R27" i="34" s="1"/>
  <c r="Q27" i="34" s="1"/>
  <c r="AF19" i="34"/>
  <c r="AE19" i="34" s="1"/>
  <c r="AF25" i="34"/>
  <c r="AE25" i="34" s="1"/>
  <c r="AF21" i="34"/>
  <c r="AE21" i="34" s="1"/>
  <c r="AF15" i="34"/>
  <c r="AE15" i="34" s="1"/>
  <c r="AF24" i="34"/>
  <c r="AE24" i="34" s="1"/>
  <c r="AF6" i="34"/>
  <c r="AE6" i="34" s="1"/>
  <c r="AG6" i="34" s="1"/>
  <c r="AF26" i="34"/>
  <c r="AE26" i="34" s="1"/>
  <c r="AF13" i="34"/>
  <c r="AE13" i="34" s="1"/>
  <c r="S24" i="34"/>
  <c r="R24" i="34" s="1"/>
  <c r="Q24" i="34" s="1"/>
  <c r="S25" i="34"/>
  <c r="R25" i="34" s="1"/>
  <c r="Q25" i="34" s="1"/>
  <c r="AF27" i="34"/>
  <c r="AE27" i="34" s="1"/>
  <c r="AR34" i="34"/>
  <c r="AU34" i="34" s="1"/>
  <c r="AT34" i="34" s="1"/>
  <c r="AS34" i="34" s="1"/>
  <c r="AV34" i="34" s="1"/>
  <c r="AR24" i="34"/>
  <c r="AU24" i="34" s="1"/>
  <c r="AT24" i="34" s="1"/>
  <c r="AS24" i="34" s="1"/>
  <c r="I25" i="34"/>
  <c r="AR25" i="34" s="1"/>
  <c r="AU25" i="34" s="1"/>
  <c r="AT25" i="34" s="1"/>
  <c r="AS25" i="34" s="1"/>
  <c r="V24" i="34" l="1"/>
  <c r="AX6" i="34"/>
  <c r="Q40" i="34"/>
  <c r="AE40" i="34"/>
  <c r="AH24" i="34"/>
  <c r="Q42" i="34"/>
  <c r="Q41" i="34"/>
  <c r="Q39" i="34"/>
  <c r="AG24" i="34"/>
  <c r="T24" i="34"/>
  <c r="Q38" i="34"/>
  <c r="U24" i="34"/>
  <c r="AE41" i="34"/>
  <c r="AV6" i="34"/>
  <c r="AI10" i="34"/>
  <c r="Q37" i="34"/>
  <c r="AE42" i="34"/>
  <c r="AE39" i="34"/>
  <c r="AI24" i="34"/>
  <c r="AW6" i="34"/>
  <c r="AE38" i="34"/>
  <c r="AE37" i="34"/>
  <c r="AG10" i="34"/>
  <c r="AH10" i="34"/>
  <c r="AV24" i="34"/>
  <c r="AX24" i="34"/>
  <c r="AW24" i="34"/>
  <c r="AX10" i="34"/>
  <c r="AW10" i="34"/>
  <c r="AV10" i="34"/>
  <c r="AS41" i="34"/>
  <c r="AS40" i="34"/>
  <c r="AS38" i="34"/>
  <c r="AS39" i="34"/>
  <c r="AS42" i="34"/>
  <c r="AS37" i="34"/>
  <c r="AV43" i="34" l="1"/>
  <c r="AV37" i="34"/>
  <c r="T37" i="34"/>
  <c r="T39" i="34"/>
  <c r="AG42" i="34"/>
  <c r="AG38" i="34"/>
  <c r="AG37" i="34"/>
  <c r="AG39" i="34"/>
  <c r="AG41" i="34"/>
  <c r="AG40" i="34"/>
  <c r="AV41" i="34"/>
  <c r="AV39" i="34"/>
  <c r="AV38" i="34"/>
  <c r="AV40" i="34"/>
  <c r="AV42" i="34"/>
  <c r="AV45" i="34" l="1"/>
  <c r="AW45" i="34" s="1"/>
  <c r="AV44" i="34"/>
  <c r="AW44" i="34" s="1"/>
  <c r="AD18" i="32"/>
  <c r="AD19" i="32"/>
  <c r="AD20" i="32"/>
  <c r="AD21" i="32"/>
  <c r="AD22" i="32"/>
  <c r="AD23" i="32"/>
  <c r="AD24" i="32"/>
  <c r="AD25" i="32"/>
  <c r="AD26" i="32"/>
  <c r="AD27" i="32"/>
  <c r="AD29" i="32"/>
  <c r="AD30" i="32"/>
  <c r="AD31" i="32"/>
  <c r="AD32" i="32"/>
  <c r="AD34" i="32"/>
  <c r="AD36" i="32"/>
  <c r="AD37" i="32"/>
  <c r="AD39" i="32"/>
  <c r="AD42" i="32"/>
  <c r="AB45" i="32"/>
  <c r="AD45" i="32" s="1"/>
  <c r="H45" i="32"/>
  <c r="I45" i="32" s="1"/>
  <c r="AB44" i="32"/>
  <c r="AD44" i="32" s="1"/>
  <c r="H44" i="32"/>
  <c r="I44" i="32" s="1"/>
  <c r="AB43" i="32"/>
  <c r="AD43" i="32" s="1"/>
  <c r="H43" i="32"/>
  <c r="I43" i="32" s="1"/>
  <c r="H42" i="32"/>
  <c r="I42" i="32" s="1"/>
  <c r="AB41" i="32"/>
  <c r="AD41" i="32" s="1"/>
  <c r="H41" i="32"/>
  <c r="I41" i="32" s="1"/>
  <c r="AB40" i="32"/>
  <c r="AD40" i="32" s="1"/>
  <c r="H40" i="32"/>
  <c r="I40" i="32" s="1"/>
  <c r="H39" i="32"/>
  <c r="I39" i="32" s="1"/>
  <c r="AB38" i="32"/>
  <c r="AD38" i="32" s="1"/>
  <c r="H38" i="32"/>
  <c r="I38" i="32" s="1"/>
  <c r="H37" i="32"/>
  <c r="I37" i="32" s="1"/>
  <c r="H36" i="32"/>
  <c r="I36" i="32" s="1"/>
  <c r="AB35" i="32"/>
  <c r="AD35" i="32" s="1"/>
  <c r="H35" i="32"/>
  <c r="I35" i="32" s="1"/>
  <c r="H34" i="32"/>
  <c r="I34" i="32" s="1"/>
  <c r="AB33" i="32"/>
  <c r="AD33" i="32" s="1"/>
  <c r="H33" i="32"/>
  <c r="I33" i="32" s="1"/>
  <c r="H32" i="32"/>
  <c r="I32" i="32" s="1"/>
  <c r="H31" i="32"/>
  <c r="I31" i="32" s="1"/>
  <c r="H30" i="32"/>
  <c r="I30" i="32" s="1"/>
  <c r="H29" i="32"/>
  <c r="I29" i="32" s="1"/>
  <c r="H27" i="32"/>
  <c r="I27" i="32" s="1"/>
  <c r="H26" i="32"/>
  <c r="I26" i="32" s="1"/>
  <c r="H25" i="32"/>
  <c r="I25" i="32" s="1"/>
  <c r="H24" i="32"/>
  <c r="I24" i="32" s="1"/>
  <c r="H23" i="32"/>
  <c r="I23" i="32" s="1"/>
  <c r="H22" i="32"/>
  <c r="I22" i="32" s="1"/>
  <c r="H21" i="32"/>
  <c r="I21" i="32" s="1"/>
  <c r="H20" i="32"/>
  <c r="H19" i="32"/>
  <c r="I19" i="32" s="1"/>
  <c r="H18" i="32"/>
  <c r="I18" i="32" s="1"/>
  <c r="AB14" i="32"/>
  <c r="AF41" i="32" l="1"/>
  <c r="AF24" i="32"/>
  <c r="AE24" i="32" s="1"/>
  <c r="AF20" i="32"/>
  <c r="AE20" i="32" s="1"/>
  <c r="AF43" i="32"/>
  <c r="AF45" i="32"/>
  <c r="AF36" i="32"/>
  <c r="AF40" i="32"/>
  <c r="AF44" i="32"/>
  <c r="AF33" i="32"/>
  <c r="AF38" i="32"/>
  <c r="AF34" i="32"/>
  <c r="AF21" i="32"/>
  <c r="AE21" i="32" s="1"/>
  <c r="AF27" i="32"/>
  <c r="AE27" i="32" s="1"/>
  <c r="AF19" i="32"/>
  <c r="AE19" i="32" s="1"/>
  <c r="AF35" i="32"/>
  <c r="AF42" i="32"/>
  <c r="AF30" i="32"/>
  <c r="I20" i="32"/>
  <c r="AF32" i="32"/>
  <c r="AF26" i="32"/>
  <c r="AE26" i="32" s="1"/>
  <c r="AF23" i="32"/>
  <c r="AE23" i="32" s="1"/>
  <c r="AF18" i="32"/>
  <c r="AE18" i="32" s="1"/>
  <c r="AF37" i="32"/>
  <c r="AF29" i="32"/>
  <c r="AF25" i="32"/>
  <c r="AE25" i="32" s="1"/>
  <c r="AF39" i="32"/>
  <c r="AF31" i="32"/>
  <c r="AF22" i="32"/>
  <c r="AE22" i="32" s="1"/>
  <c r="AD9" i="32"/>
  <c r="AD10" i="32"/>
  <c r="AD11" i="32"/>
  <c r="AD12" i="32"/>
  <c r="AD13" i="32"/>
  <c r="AD14" i="32"/>
  <c r="AD15" i="32"/>
  <c r="AD16" i="32"/>
  <c r="H14" i="32"/>
  <c r="I14" i="32" s="1"/>
  <c r="H10" i="32"/>
  <c r="I10" i="32" s="1"/>
  <c r="H11" i="32"/>
  <c r="I11" i="32" s="1"/>
  <c r="H12" i="32"/>
  <c r="I12" i="32" s="1"/>
  <c r="H13" i="32"/>
  <c r="I13" i="32" s="1"/>
  <c r="H15" i="32"/>
  <c r="I15" i="32" s="1"/>
  <c r="H16" i="32"/>
  <c r="I16" i="32" s="1"/>
  <c r="H9" i="32"/>
  <c r="I9" i="32" s="1"/>
  <c r="AD6" i="32"/>
  <c r="AD7" i="32"/>
  <c r="H6" i="32"/>
  <c r="I6" i="32" s="1"/>
  <c r="H7" i="32"/>
  <c r="I7" i="32" s="1"/>
  <c r="AE29" i="32" l="1"/>
  <c r="AG29" i="32" s="1"/>
  <c r="AE42" i="32"/>
  <c r="AG42" i="32" s="1"/>
  <c r="AE44" i="32"/>
  <c r="AG44" i="32" s="1"/>
  <c r="AE43" i="32"/>
  <c r="AG43" i="32" s="1"/>
  <c r="AE31" i="32"/>
  <c r="AG31" i="32" s="1"/>
  <c r="AE37" i="32"/>
  <c r="AG37" i="32" s="1"/>
  <c r="AE32" i="32"/>
  <c r="AG32" i="32" s="1"/>
  <c r="AE35" i="32"/>
  <c r="AG35" i="32" s="1"/>
  <c r="AE34" i="32"/>
  <c r="AG34" i="32" s="1"/>
  <c r="AE40" i="32"/>
  <c r="AG40" i="32" s="1"/>
  <c r="AE39" i="32"/>
  <c r="AG39" i="32" s="1"/>
  <c r="AE38" i="32"/>
  <c r="AG38" i="32" s="1"/>
  <c r="AE36" i="32"/>
  <c r="AG36" i="32" s="1"/>
  <c r="AE30" i="32"/>
  <c r="AG30" i="32" s="1"/>
  <c r="AE33" i="32"/>
  <c r="AG33" i="32" s="1"/>
  <c r="AE45" i="32"/>
  <c r="AG45" i="32" s="1"/>
  <c r="AE41" i="32"/>
  <c r="AG41" i="32" s="1"/>
  <c r="AH18" i="32"/>
  <c r="AG18" i="32"/>
  <c r="AI18" i="32"/>
  <c r="AF9" i="32"/>
  <c r="AF16" i="32"/>
  <c r="AF12" i="32"/>
  <c r="AF6" i="32"/>
  <c r="AE6" i="32" s="1"/>
  <c r="AF11" i="32"/>
  <c r="AF14" i="32"/>
  <c r="AF10" i="32"/>
  <c r="AF7" i="32"/>
  <c r="AE7" i="32" s="1"/>
  <c r="AE10" i="32" l="1"/>
  <c r="AG10" i="32" s="1"/>
  <c r="AE12" i="32"/>
  <c r="AG12" i="32" s="1"/>
  <c r="AE16" i="32"/>
  <c r="AG16" i="32" s="1"/>
  <c r="AE14" i="32"/>
  <c r="AG14" i="32" s="1"/>
  <c r="AE11" i="32"/>
  <c r="AG11" i="32" s="1"/>
  <c r="AE9" i="32"/>
  <c r="AG9" i="32" s="1"/>
  <c r="AI6" i="32"/>
  <c r="AH6" i="32"/>
  <c r="AG6" i="32"/>
  <c r="AG59" i="32" l="1"/>
  <c r="AG53" i="32"/>
  <c r="AE53" i="32"/>
  <c r="AE57" i="32"/>
  <c r="AE55" i="32"/>
  <c r="AE56" i="32"/>
  <c r="AE58" i="32"/>
  <c r="AE54" i="32"/>
  <c r="AG58" i="32"/>
  <c r="AG54" i="32"/>
  <c r="AG57" i="32"/>
  <c r="AG56" i="32"/>
  <c r="AG55" i="32"/>
  <c r="AG61" i="32" l="1"/>
  <c r="AH61" i="32" s="1"/>
  <c r="AG60" i="32"/>
  <c r="AH60" i="32" s="1"/>
  <c r="H6" i="31"/>
  <c r="I6" i="31" s="1"/>
  <c r="L6" i="31"/>
  <c r="O6" i="31" s="1"/>
  <c r="P6" i="31" s="1"/>
  <c r="AA6" i="31"/>
  <c r="AD6" i="31" s="1"/>
  <c r="AN6" i="31"/>
  <c r="AQ6" i="31" s="1"/>
  <c r="H7" i="31"/>
  <c r="I7" i="31" s="1"/>
  <c r="L7" i="31"/>
  <c r="O7" i="31" s="1"/>
  <c r="P7" i="31" s="1"/>
  <c r="AA7" i="31"/>
  <c r="AD7" i="31" s="1"/>
  <c r="AN7" i="31"/>
  <c r="AQ7" i="31" s="1"/>
  <c r="H9" i="31"/>
  <c r="I9" i="31" s="1"/>
  <c r="O9" i="31"/>
  <c r="P9" i="31" s="1"/>
  <c r="H10" i="31"/>
  <c r="I10" i="31" s="1"/>
  <c r="O10" i="31"/>
  <c r="P10" i="31" s="1"/>
  <c r="H11" i="31"/>
  <c r="I11" i="31" s="1"/>
  <c r="O11" i="31"/>
  <c r="P11" i="31" s="1"/>
  <c r="H12" i="31"/>
  <c r="I12" i="31" s="1"/>
  <c r="O12" i="31"/>
  <c r="P12" i="31" s="1"/>
  <c r="H13" i="31"/>
  <c r="I13" i="31" s="1"/>
  <c r="AQ13" i="31"/>
  <c r="H14" i="31"/>
  <c r="I14" i="31" s="1"/>
  <c r="AQ14" i="31"/>
  <c r="H15" i="31"/>
  <c r="I15" i="31" s="1"/>
  <c r="O15" i="31"/>
  <c r="P15" i="31" s="1"/>
  <c r="AD15" i="31"/>
  <c r="AQ15" i="31"/>
  <c r="H16" i="31"/>
  <c r="I16" i="31" s="1"/>
  <c r="AD16" i="31"/>
  <c r="H17" i="31"/>
  <c r="I17" i="31" s="1"/>
  <c r="AD17" i="31"/>
  <c r="AQ17" i="31"/>
  <c r="H18" i="31"/>
  <c r="I18" i="31" s="1"/>
  <c r="AD18" i="31"/>
  <c r="AQ18" i="31"/>
  <c r="H24" i="31"/>
  <c r="I24" i="31" s="1"/>
  <c r="O24" i="31"/>
  <c r="P24" i="31" s="1"/>
  <c r="AD24" i="31"/>
  <c r="AF24" i="31" s="1"/>
  <c r="AE24" i="31" s="1"/>
  <c r="AG24" i="31" s="1"/>
  <c r="AQ24" i="31"/>
  <c r="H26" i="31"/>
  <c r="I26" i="31" s="1"/>
  <c r="O26" i="31"/>
  <c r="P26" i="31" s="1"/>
  <c r="S26" i="31" s="1"/>
  <c r="R26" i="31" s="1"/>
  <c r="Q26" i="31" s="1"/>
  <c r="T26" i="31" s="1"/>
  <c r="AD26" i="31"/>
  <c r="AQ26" i="31"/>
  <c r="H30" i="31"/>
  <c r="I30" i="31" s="1"/>
  <c r="O30" i="31"/>
  <c r="P30" i="31" s="1"/>
  <c r="S30" i="31" s="1"/>
  <c r="R30" i="31" s="1"/>
  <c r="Q30" i="31" s="1"/>
  <c r="AD30" i="31"/>
  <c r="AF30" i="31" s="1"/>
  <c r="AE30" i="31" s="1"/>
  <c r="AG30" i="31" s="1"/>
  <c r="AQ30" i="31"/>
  <c r="H31" i="31"/>
  <c r="I31" i="31" s="1"/>
  <c r="O31" i="31"/>
  <c r="P31" i="31" s="1"/>
  <c r="S31" i="31" s="1"/>
  <c r="R31" i="31" s="1"/>
  <c r="Q31" i="31" s="1"/>
  <c r="H33" i="31"/>
  <c r="I33" i="31" s="1"/>
  <c r="O33" i="31"/>
  <c r="P33" i="31" s="1"/>
  <c r="AA33" i="31"/>
  <c r="AD33" i="31"/>
  <c r="AQ33" i="31"/>
  <c r="H34" i="31"/>
  <c r="I34" i="31" s="1"/>
  <c r="AD34" i="31"/>
  <c r="AN34" i="31"/>
  <c r="AQ34" i="31"/>
  <c r="H36" i="31"/>
  <c r="I36" i="31" s="1"/>
  <c r="O36" i="31"/>
  <c r="P36" i="31" s="1"/>
  <c r="AD36" i="31"/>
  <c r="AQ36" i="31"/>
  <c r="H37" i="31"/>
  <c r="I37" i="31" s="1"/>
  <c r="O37" i="31"/>
  <c r="P37" i="31" s="1"/>
  <c r="AD37" i="31"/>
  <c r="AF37" i="31" s="1"/>
  <c r="AE37" i="31" s="1"/>
  <c r="AQ37" i="31"/>
  <c r="H38" i="31"/>
  <c r="I38" i="31" s="1"/>
  <c r="O38" i="31"/>
  <c r="P38" i="31"/>
  <c r="AD38" i="31"/>
  <c r="AQ38" i="31"/>
  <c r="H39" i="31"/>
  <c r="I39" i="31" s="1"/>
  <c r="O39" i="31"/>
  <c r="P39" i="31" s="1"/>
  <c r="AD39" i="31"/>
  <c r="AQ39" i="31"/>
  <c r="H40" i="31"/>
  <c r="I40" i="31" s="1"/>
  <c r="O40" i="31"/>
  <c r="P40" i="31" s="1"/>
  <c r="AD40" i="31"/>
  <c r="AQ40" i="31"/>
  <c r="H44" i="31"/>
  <c r="I44" i="31" s="1"/>
  <c r="O44" i="31"/>
  <c r="P44" i="31" s="1"/>
  <c r="AD44" i="31"/>
  <c r="AQ44" i="31"/>
  <c r="H45" i="31"/>
  <c r="I45" i="31" s="1"/>
  <c r="O45" i="31"/>
  <c r="P45" i="31" s="1"/>
  <c r="S45" i="31" s="1"/>
  <c r="R45" i="31" s="1"/>
  <c r="Q45" i="31" s="1"/>
  <c r="H46" i="31"/>
  <c r="I46" i="31" s="1"/>
  <c r="O46" i="31"/>
  <c r="P46" i="31" s="1"/>
  <c r="AD46" i="31"/>
  <c r="AQ46" i="31"/>
  <c r="H47" i="31"/>
  <c r="I47" i="31" s="1"/>
  <c r="O47" i="31"/>
  <c r="P47" i="31" s="1"/>
  <c r="H49" i="31"/>
  <c r="I49" i="31" s="1"/>
  <c r="O49" i="31"/>
  <c r="P49" i="31" s="1"/>
  <c r="AD49" i="31"/>
  <c r="AQ49" i="31"/>
  <c r="H50" i="31"/>
  <c r="I50" i="31" s="1"/>
  <c r="O50" i="31"/>
  <c r="P50" i="31" s="1"/>
  <c r="AD50" i="31"/>
  <c r="AQ50" i="31"/>
  <c r="H51" i="31"/>
  <c r="I51" i="31" s="1"/>
  <c r="AD51" i="31"/>
  <c r="AQ51" i="31"/>
  <c r="H52" i="31"/>
  <c r="I52" i="31" s="1"/>
  <c r="AD52" i="31"/>
  <c r="AQ52" i="31"/>
  <c r="H54" i="31"/>
  <c r="I54" i="31" s="1"/>
  <c r="O54" i="31"/>
  <c r="P54" i="31" s="1"/>
  <c r="AD54" i="31"/>
  <c r="AQ54" i="31"/>
  <c r="H55" i="31"/>
  <c r="I55" i="31" s="1"/>
  <c r="O55" i="31"/>
  <c r="P55" i="31" s="1"/>
  <c r="AQ55" i="31"/>
  <c r="H56" i="31"/>
  <c r="I56" i="31" s="1"/>
  <c r="O56" i="31"/>
  <c r="P56" i="31" s="1"/>
  <c r="AQ56" i="31"/>
  <c r="H58" i="31"/>
  <c r="I58" i="31" s="1"/>
  <c r="L58" i="31"/>
  <c r="O58" i="31" s="1"/>
  <c r="P58" i="31" s="1"/>
  <c r="AA58" i="31"/>
  <c r="AD58" i="31" s="1"/>
  <c r="AQ58" i="31"/>
  <c r="H59" i="31"/>
  <c r="I59" i="31" s="1"/>
  <c r="H60" i="31"/>
  <c r="I60" i="31" s="1"/>
  <c r="O60" i="31"/>
  <c r="P60" i="31" s="1"/>
  <c r="AD60" i="31"/>
  <c r="AQ60" i="31"/>
  <c r="H61" i="31"/>
  <c r="I61" i="31" s="1"/>
  <c r="O61" i="31"/>
  <c r="P61" i="31" s="1"/>
  <c r="AQ61" i="31"/>
  <c r="H63" i="31"/>
  <c r="I63" i="31" s="1"/>
  <c r="L63" i="31"/>
  <c r="O63" i="31" s="1"/>
  <c r="P63" i="31" s="1"/>
  <c r="S63" i="31" s="1"/>
  <c r="R63" i="31" s="1"/>
  <c r="Q63" i="31" s="1"/>
  <c r="AN63" i="31"/>
  <c r="AQ63" i="31" s="1"/>
  <c r="H64" i="31"/>
  <c r="I64" i="31" s="1"/>
  <c r="L64" i="31"/>
  <c r="O64" i="31" s="1"/>
  <c r="P64" i="31" s="1"/>
  <c r="AA64" i="31"/>
  <c r="AD64" i="31" s="1"/>
  <c r="AN64" i="31"/>
  <c r="AQ64" i="31" s="1"/>
  <c r="H66" i="31"/>
  <c r="I66" i="31" s="1"/>
  <c r="O66" i="31"/>
  <c r="P66" i="31" s="1"/>
  <c r="H67" i="31"/>
  <c r="I67" i="31" s="1"/>
  <c r="O67" i="31"/>
  <c r="P67" i="31" s="1"/>
  <c r="AQ67" i="31"/>
  <c r="H68" i="31"/>
  <c r="I68" i="31" s="1"/>
  <c r="O68" i="31"/>
  <c r="P68" i="31" s="1"/>
  <c r="AD68" i="31"/>
  <c r="AQ68" i="31"/>
  <c r="H69" i="31"/>
  <c r="I69" i="31" s="1"/>
  <c r="AD69" i="31"/>
  <c r="H70" i="31"/>
  <c r="I70" i="31" s="1"/>
  <c r="O70" i="31"/>
  <c r="P70" i="31" s="1"/>
  <c r="AD70" i="31"/>
  <c r="H71" i="31"/>
  <c r="I71" i="31" s="1"/>
  <c r="AD71" i="31"/>
  <c r="H75" i="31"/>
  <c r="I75" i="31" s="1"/>
  <c r="O75" i="31"/>
  <c r="P75" i="31" s="1"/>
  <c r="AD75" i="31"/>
  <c r="AQ75" i="31"/>
  <c r="H76" i="31"/>
  <c r="I76" i="31" s="1"/>
  <c r="O76" i="31"/>
  <c r="P76" i="31" s="1"/>
  <c r="AD76" i="31"/>
  <c r="H77" i="31"/>
  <c r="I77" i="31" s="1"/>
  <c r="O77" i="31"/>
  <c r="P77" i="31" s="1"/>
  <c r="AD77" i="31"/>
  <c r="AQ77" i="31"/>
  <c r="H78" i="31"/>
  <c r="I78" i="31" s="1"/>
  <c r="O78" i="31"/>
  <c r="P78" i="31" s="1"/>
  <c r="AD78" i="31"/>
  <c r="AQ78" i="31"/>
  <c r="H80" i="31"/>
  <c r="I80" i="31" s="1"/>
  <c r="O80" i="31"/>
  <c r="P80" i="31" s="1"/>
  <c r="AD80" i="31"/>
  <c r="AQ80" i="31"/>
  <c r="H81" i="31"/>
  <c r="I81" i="31" s="1"/>
  <c r="O81" i="31"/>
  <c r="P81" i="31" s="1"/>
  <c r="AD81" i="31"/>
  <c r="AQ81" i="31"/>
  <c r="H82" i="31"/>
  <c r="I82" i="31" s="1"/>
  <c r="O82" i="31"/>
  <c r="P82" i="31" s="1"/>
  <c r="AD82" i="31"/>
  <c r="AQ82" i="31"/>
  <c r="H83" i="31"/>
  <c r="I83" i="31" s="1"/>
  <c r="O83" i="31"/>
  <c r="P83" i="31" s="1"/>
  <c r="AD83" i="31"/>
  <c r="AQ83" i="31"/>
  <c r="H85" i="31"/>
  <c r="I85" i="31" s="1"/>
  <c r="O85" i="31"/>
  <c r="P85" i="31" s="1"/>
  <c r="AD85" i="31"/>
  <c r="AQ85" i="31"/>
  <c r="H6" i="30"/>
  <c r="I6" i="30" s="1"/>
  <c r="M6" i="30"/>
  <c r="O6" i="30" s="1"/>
  <c r="P6" i="30" s="1"/>
  <c r="AB6" i="30"/>
  <c r="AD6" i="30" s="1"/>
  <c r="H7" i="30"/>
  <c r="I7" i="30"/>
  <c r="AB7" i="30"/>
  <c r="AD7" i="30" s="1"/>
  <c r="H10" i="30"/>
  <c r="I10" i="30" s="1"/>
  <c r="AD10" i="30"/>
  <c r="H11" i="30"/>
  <c r="I11" i="30" s="1"/>
  <c r="P11" i="30"/>
  <c r="O11" i="30" s="1"/>
  <c r="H14" i="30"/>
  <c r="I14" i="30" s="1"/>
  <c r="P14" i="30"/>
  <c r="O14" i="30" s="1"/>
  <c r="H17" i="30"/>
  <c r="I17" i="30" s="1"/>
  <c r="O17" i="30"/>
  <c r="P17" i="30" s="1"/>
  <c r="AD17" i="30"/>
  <c r="H18" i="30"/>
  <c r="I18" i="30" s="1"/>
  <c r="AD18" i="30"/>
  <c r="H23" i="30"/>
  <c r="I23" i="30" s="1"/>
  <c r="M23" i="30"/>
  <c r="O23" i="30" s="1"/>
  <c r="P23" i="30" s="1"/>
  <c r="AB23" i="30"/>
  <c r="AD23" i="30" s="1"/>
  <c r="H24" i="30"/>
  <c r="I24" i="30" s="1"/>
  <c r="AB24" i="30"/>
  <c r="AD24" i="30" s="1"/>
  <c r="H26" i="30"/>
  <c r="I26" i="30" s="1"/>
  <c r="P26" i="30"/>
  <c r="O26" i="30" s="1"/>
  <c r="AD26" i="30"/>
  <c r="H27" i="30"/>
  <c r="I27" i="30" s="1"/>
  <c r="P27" i="30"/>
  <c r="AD27" i="30"/>
  <c r="AR27" i="30"/>
  <c r="H28" i="30"/>
  <c r="I28" i="30" s="1"/>
  <c r="AD28" i="30"/>
  <c r="H29" i="30"/>
  <c r="I29" i="30" s="1"/>
  <c r="AD29" i="30"/>
  <c r="H31" i="30"/>
  <c r="I31" i="30" s="1"/>
  <c r="AD31" i="30"/>
  <c r="AR31" i="30"/>
  <c r="H32" i="30"/>
  <c r="I32" i="30" s="1"/>
  <c r="P32" i="30"/>
  <c r="O32" i="30" s="1"/>
  <c r="AD32" i="30"/>
  <c r="AR32" i="30"/>
  <c r="H33" i="30"/>
  <c r="I33" i="30" s="1"/>
  <c r="AD33" i="30"/>
  <c r="H34" i="30"/>
  <c r="I34" i="30" s="1"/>
  <c r="P34" i="30"/>
  <c r="O34" i="30" s="1"/>
  <c r="H35" i="30"/>
  <c r="I35" i="30" s="1"/>
  <c r="P35" i="30"/>
  <c r="O35" i="30" s="1"/>
  <c r="H7" i="29"/>
  <c r="I7" i="29" s="1"/>
  <c r="AD7" i="29"/>
  <c r="H8" i="29"/>
  <c r="I8" i="29" s="1"/>
  <c r="AD8" i="29"/>
  <c r="H9" i="29"/>
  <c r="I9" i="29" s="1"/>
  <c r="AQ9" i="29"/>
  <c r="H11" i="29"/>
  <c r="I11" i="29" s="1"/>
  <c r="AD11" i="29"/>
  <c r="H12" i="29"/>
  <c r="I12" i="29" s="1"/>
  <c r="AD12" i="29"/>
  <c r="H13" i="29"/>
  <c r="AD13" i="29"/>
  <c r="H14" i="29"/>
  <c r="I14" i="29" s="1"/>
  <c r="AD14" i="29"/>
  <c r="H15" i="29"/>
  <c r="I15" i="29" s="1"/>
  <c r="H16" i="29"/>
  <c r="I16" i="29" s="1"/>
  <c r="H19" i="29"/>
  <c r="I19" i="29" s="1"/>
  <c r="AD19" i="29"/>
  <c r="H20" i="29"/>
  <c r="I20" i="29" s="1"/>
  <c r="AD20" i="29"/>
  <c r="H21" i="29"/>
  <c r="I21" i="29" s="1"/>
  <c r="AB21" i="29"/>
  <c r="AD21" i="29" s="1"/>
  <c r="H22" i="29"/>
  <c r="I22" i="29" s="1"/>
  <c r="AD22" i="29"/>
  <c r="H24" i="29"/>
  <c r="I24" i="29" s="1"/>
  <c r="AB24" i="29"/>
  <c r="AD24" i="29" s="1"/>
  <c r="H29" i="29"/>
  <c r="I29" i="29" s="1"/>
  <c r="AB29" i="29"/>
  <c r="AD29" i="29" s="1"/>
  <c r="H33" i="29"/>
  <c r="I33" i="29" s="1"/>
  <c r="AD33" i="29"/>
  <c r="H36" i="29"/>
  <c r="I36" i="29" s="1"/>
  <c r="AB36" i="29"/>
  <c r="AD36" i="29" s="1"/>
  <c r="H37" i="29"/>
  <c r="I37" i="29" s="1"/>
  <c r="AO37" i="29"/>
  <c r="AQ37" i="29" s="1"/>
  <c r="H39" i="29"/>
  <c r="I39" i="29" s="1"/>
  <c r="O39" i="29"/>
  <c r="P39" i="29" s="1"/>
  <c r="AO39" i="29"/>
  <c r="AR39" i="29" s="1"/>
  <c r="H40" i="29"/>
  <c r="I40" i="29" s="1"/>
  <c r="O40" i="29"/>
  <c r="P40" i="29" s="1"/>
  <c r="H42" i="29"/>
  <c r="I42" i="29" s="1"/>
  <c r="H43" i="29"/>
  <c r="I43" i="29" s="1"/>
  <c r="H44" i="29"/>
  <c r="I44" i="29" s="1"/>
  <c r="H45" i="29"/>
  <c r="I45" i="29" s="1"/>
  <c r="H46" i="29"/>
  <c r="I46" i="29" s="1"/>
  <c r="AR46" i="29" s="1"/>
  <c r="H47" i="29"/>
  <c r="I47" i="29" s="1"/>
  <c r="H48" i="29"/>
  <c r="I48" i="29" s="1"/>
  <c r="H50" i="29"/>
  <c r="I50" i="29" s="1"/>
  <c r="AB50" i="29"/>
  <c r="AD50" i="29" s="1"/>
  <c r="H51" i="29"/>
  <c r="I51" i="29" s="1"/>
  <c r="AD51" i="29"/>
  <c r="H52" i="29"/>
  <c r="I52" i="29" s="1"/>
  <c r="AB52" i="29"/>
  <c r="AD52" i="29" s="1"/>
  <c r="H53" i="29"/>
  <c r="I53" i="29" s="1"/>
  <c r="AD53" i="29"/>
  <c r="AF77" i="31" l="1"/>
  <c r="AE77" i="31" s="1"/>
  <c r="AF15" i="31"/>
  <c r="AE15" i="31" s="1"/>
  <c r="AQ39" i="29"/>
  <c r="AQ27" i="30"/>
  <c r="S17" i="30"/>
  <c r="R17" i="30" s="1"/>
  <c r="Q17" i="30" s="1"/>
  <c r="T17" i="30" s="1"/>
  <c r="S6" i="30"/>
  <c r="R6" i="30" s="1"/>
  <c r="Q6" i="30" s="1"/>
  <c r="T6" i="30" s="1"/>
  <c r="S75" i="31"/>
  <c r="R75" i="31" s="1"/>
  <c r="Q75" i="31" s="1"/>
  <c r="AQ31" i="30"/>
  <c r="AR56" i="31"/>
  <c r="AU56" i="31" s="1"/>
  <c r="AT56" i="31" s="1"/>
  <c r="AS56" i="31" s="1"/>
  <c r="S23" i="30"/>
  <c r="R23" i="30" s="1"/>
  <c r="Q23" i="30" s="1"/>
  <c r="T23" i="30" s="1"/>
  <c r="AF17" i="30"/>
  <c r="AE17" i="30" s="1"/>
  <c r="S56" i="31"/>
  <c r="R56" i="31" s="1"/>
  <c r="Q56" i="31" s="1"/>
  <c r="AQ32" i="30"/>
  <c r="AR77" i="31"/>
  <c r="AU77" i="31" s="1"/>
  <c r="AT77" i="31" s="1"/>
  <c r="AS77" i="31" s="1"/>
  <c r="AF50" i="31"/>
  <c r="AE50" i="31" s="1"/>
  <c r="AI49" i="31" s="1"/>
  <c r="AR80" i="31"/>
  <c r="AU80" i="31" s="1"/>
  <c r="AT80" i="31" s="1"/>
  <c r="AS80" i="31" s="1"/>
  <c r="AF76" i="31"/>
  <c r="AE76" i="31" s="1"/>
  <c r="AR46" i="31"/>
  <c r="AU46" i="31" s="1"/>
  <c r="AT46" i="31" s="1"/>
  <c r="AS46" i="31" s="1"/>
  <c r="S44" i="31"/>
  <c r="R44" i="31" s="1"/>
  <c r="Q44" i="31" s="1"/>
  <c r="AF26" i="31"/>
  <c r="AE26" i="31" s="1"/>
  <c r="AG26" i="31" s="1"/>
  <c r="AF6" i="31"/>
  <c r="AE6" i="31" s="1"/>
  <c r="S64" i="31"/>
  <c r="R64" i="31" s="1"/>
  <c r="Q64" i="31" s="1"/>
  <c r="AR38" i="31"/>
  <c r="AU38" i="31" s="1"/>
  <c r="AT38" i="31" s="1"/>
  <c r="AS38" i="31" s="1"/>
  <c r="S37" i="31"/>
  <c r="R37" i="31" s="1"/>
  <c r="Q37" i="31" s="1"/>
  <c r="S85" i="31"/>
  <c r="R85" i="31" s="1"/>
  <c r="Q85" i="31" s="1"/>
  <c r="T85" i="31" s="1"/>
  <c r="AR67" i="31"/>
  <c r="AU67" i="31" s="1"/>
  <c r="AT67" i="31" s="1"/>
  <c r="AS67" i="31" s="1"/>
  <c r="S33" i="31"/>
  <c r="R33" i="31" s="1"/>
  <c r="Q33" i="31" s="1"/>
  <c r="T33" i="31" s="1"/>
  <c r="AR30" i="31"/>
  <c r="AU30" i="31" s="1"/>
  <c r="AT30" i="31" s="1"/>
  <c r="AS30" i="31" s="1"/>
  <c r="AV30" i="31" s="1"/>
  <c r="AR6" i="31"/>
  <c r="AU6" i="31" s="1"/>
  <c r="AT6" i="31" s="1"/>
  <c r="AS6" i="31" s="1"/>
  <c r="AR83" i="31"/>
  <c r="AU83" i="31" s="1"/>
  <c r="AT83" i="31" s="1"/>
  <c r="AS83" i="31" s="1"/>
  <c r="AF33" i="31"/>
  <c r="AE33" i="31" s="1"/>
  <c r="AF81" i="31"/>
  <c r="AE81" i="31" s="1"/>
  <c r="AF78" i="31"/>
  <c r="AE78" i="31" s="1"/>
  <c r="AR51" i="31"/>
  <c r="AU51" i="31" s="1"/>
  <c r="AT51" i="31" s="1"/>
  <c r="AS51" i="31" s="1"/>
  <c r="AF85" i="31"/>
  <c r="AE85" i="31" s="1"/>
  <c r="AG85" i="31" s="1"/>
  <c r="S76" i="31"/>
  <c r="R76" i="31" s="1"/>
  <c r="Q76" i="31" s="1"/>
  <c r="AF58" i="31"/>
  <c r="AE58" i="31" s="1"/>
  <c r="AG58" i="31" s="1"/>
  <c r="AF51" i="31"/>
  <c r="AE51" i="31" s="1"/>
  <c r="AF7" i="31"/>
  <c r="AE7" i="31" s="1"/>
  <c r="AG6" i="31" s="1"/>
  <c r="AR17" i="31"/>
  <c r="AU17" i="31" s="1"/>
  <c r="AT17" i="31" s="1"/>
  <c r="AS17" i="31" s="1"/>
  <c r="AR15" i="31"/>
  <c r="AU15" i="31" s="1"/>
  <c r="AT15" i="31" s="1"/>
  <c r="AS15" i="31" s="1"/>
  <c r="S7" i="31"/>
  <c r="R7" i="31" s="1"/>
  <c r="Q7" i="31" s="1"/>
  <c r="S81" i="31"/>
  <c r="R81" i="31" s="1"/>
  <c r="Q81" i="31" s="1"/>
  <c r="S80" i="31"/>
  <c r="R80" i="31" s="1"/>
  <c r="Q80" i="31" s="1"/>
  <c r="S78" i="31"/>
  <c r="R78" i="31" s="1"/>
  <c r="Q78" i="31" s="1"/>
  <c r="AR75" i="31"/>
  <c r="AU75" i="31" s="1"/>
  <c r="AT75" i="31" s="1"/>
  <c r="AS75" i="31" s="1"/>
  <c r="AR50" i="31"/>
  <c r="AU50" i="31" s="1"/>
  <c r="AT50" i="31" s="1"/>
  <c r="AS50" i="31" s="1"/>
  <c r="AR44" i="31"/>
  <c r="AU44" i="31" s="1"/>
  <c r="AT44" i="31" s="1"/>
  <c r="AS44" i="31" s="1"/>
  <c r="AW44" i="31" s="1"/>
  <c r="AR26" i="31"/>
  <c r="AU26" i="31" s="1"/>
  <c r="AT26" i="31" s="1"/>
  <c r="AS26" i="31" s="1"/>
  <c r="AV26" i="31" s="1"/>
  <c r="AF17" i="31"/>
  <c r="AE17" i="31" s="1"/>
  <c r="S12" i="31"/>
  <c r="R12" i="31" s="1"/>
  <c r="Q12" i="31" s="1"/>
  <c r="S6" i="31"/>
  <c r="R6" i="31" s="1"/>
  <c r="Q6" i="31" s="1"/>
  <c r="AF28" i="30"/>
  <c r="AE28" i="30" s="1"/>
  <c r="S27" i="30"/>
  <c r="R27" i="30" s="1"/>
  <c r="Q27" i="30" s="1"/>
  <c r="AF23" i="30"/>
  <c r="AE23" i="30" s="1"/>
  <c r="AF14" i="29"/>
  <c r="AE14" i="29" s="1"/>
  <c r="AF7" i="29"/>
  <c r="AE7" i="29" s="1"/>
  <c r="AF22" i="29"/>
  <c r="AE22" i="29" s="1"/>
  <c r="AF19" i="29"/>
  <c r="AE19" i="29" s="1"/>
  <c r="S39" i="29"/>
  <c r="R39" i="29" s="1"/>
  <c r="Q39" i="29" s="1"/>
  <c r="AF50" i="29"/>
  <c r="AE50" i="29" s="1"/>
  <c r="AG50" i="29" s="1"/>
  <c r="AF20" i="29"/>
  <c r="AE20" i="29" s="1"/>
  <c r="AF11" i="29"/>
  <c r="AE11" i="29" s="1"/>
  <c r="AF21" i="29"/>
  <c r="AE21" i="29" s="1"/>
  <c r="AF33" i="29"/>
  <c r="AE33" i="29" s="1"/>
  <c r="AG33" i="29" s="1"/>
  <c r="AF12" i="29"/>
  <c r="AE12" i="29" s="1"/>
  <c r="AF33" i="30"/>
  <c r="AE33" i="30" s="1"/>
  <c r="S32" i="30"/>
  <c r="R32" i="30" s="1"/>
  <c r="Q32" i="30" s="1"/>
  <c r="AF27" i="30"/>
  <c r="AE27" i="30" s="1"/>
  <c r="AF6" i="30"/>
  <c r="AE6" i="30" s="1"/>
  <c r="AR82" i="31"/>
  <c r="AU82" i="31" s="1"/>
  <c r="AT82" i="31" s="1"/>
  <c r="AS82" i="31" s="1"/>
  <c r="S61" i="31"/>
  <c r="R61" i="31" s="1"/>
  <c r="Q61" i="31" s="1"/>
  <c r="AR58" i="31"/>
  <c r="AU58" i="31" s="1"/>
  <c r="AT58" i="31" s="1"/>
  <c r="AS58" i="31" s="1"/>
  <c r="AV58" i="31" s="1"/>
  <c r="AF49" i="31"/>
  <c r="AE49" i="31" s="1"/>
  <c r="AF44" i="31"/>
  <c r="AE44" i="31" s="1"/>
  <c r="S15" i="31"/>
  <c r="R15" i="31" s="1"/>
  <c r="Q15" i="31" s="1"/>
  <c r="AF53" i="29"/>
  <c r="AE53" i="29" s="1"/>
  <c r="AF51" i="29"/>
  <c r="AE51" i="29" s="1"/>
  <c r="AR48" i="29"/>
  <c r="AU48" i="29" s="1"/>
  <c r="AT48" i="29" s="1"/>
  <c r="AS48" i="29" s="1"/>
  <c r="AU46" i="29"/>
  <c r="AT46" i="29" s="1"/>
  <c r="AS46" i="29" s="1"/>
  <c r="AR44" i="29"/>
  <c r="AU44" i="29" s="1"/>
  <c r="AT44" i="29" s="1"/>
  <c r="AS44" i="29" s="1"/>
  <c r="AR81" i="31"/>
  <c r="AU81" i="31" s="1"/>
  <c r="AT81" i="31" s="1"/>
  <c r="AS81" i="31" s="1"/>
  <c r="AF70" i="31"/>
  <c r="AE70" i="31" s="1"/>
  <c r="S58" i="31"/>
  <c r="R58" i="31" s="1"/>
  <c r="Q58" i="31" s="1"/>
  <c r="T58" i="31" s="1"/>
  <c r="AR13" i="31"/>
  <c r="AU13" i="31" s="1"/>
  <c r="AT13" i="31" s="1"/>
  <c r="AS13" i="31" s="1"/>
  <c r="AF8" i="29"/>
  <c r="AE8" i="29" s="1"/>
  <c r="AU27" i="30"/>
  <c r="AT27" i="30" s="1"/>
  <c r="AS27" i="30" s="1"/>
  <c r="AV27" i="30" s="1"/>
  <c r="S11" i="30"/>
  <c r="R11" i="30" s="1"/>
  <c r="Q11" i="30" s="1"/>
  <c r="T11" i="30" s="1"/>
  <c r="S70" i="31"/>
  <c r="R70" i="31" s="1"/>
  <c r="Q70" i="31" s="1"/>
  <c r="AF69" i="31"/>
  <c r="AE69" i="31" s="1"/>
  <c r="AF68" i="31"/>
  <c r="AE68" i="31" s="1"/>
  <c r="AR63" i="31"/>
  <c r="AU63" i="31" s="1"/>
  <c r="AT63" i="31" s="1"/>
  <c r="AS63" i="31" s="1"/>
  <c r="AR61" i="31"/>
  <c r="AU61" i="31" s="1"/>
  <c r="AT61" i="31" s="1"/>
  <c r="AS61" i="31" s="1"/>
  <c r="AR54" i="31"/>
  <c r="AU54" i="31" s="1"/>
  <c r="AT54" i="31" s="1"/>
  <c r="AS54" i="31" s="1"/>
  <c r="AR49" i="31"/>
  <c r="AU49" i="31" s="1"/>
  <c r="AT49" i="31" s="1"/>
  <c r="AS49" i="31" s="1"/>
  <c r="AR39" i="31"/>
  <c r="AU39" i="31" s="1"/>
  <c r="AT39" i="31" s="1"/>
  <c r="AS39" i="31" s="1"/>
  <c r="AR36" i="31"/>
  <c r="AU36" i="31" s="1"/>
  <c r="AT36" i="31" s="1"/>
  <c r="AS36" i="31" s="1"/>
  <c r="I13" i="29"/>
  <c r="AF13" i="29"/>
  <c r="AE13" i="29" s="1"/>
  <c r="AR18" i="31"/>
  <c r="AU18" i="31" s="1"/>
  <c r="AT18" i="31" s="1"/>
  <c r="AS18" i="31" s="1"/>
  <c r="AF18" i="31"/>
  <c r="AE18" i="31" s="1"/>
  <c r="AF36" i="29"/>
  <c r="AE36" i="29" s="1"/>
  <c r="AG36" i="29" s="1"/>
  <c r="AF31" i="30"/>
  <c r="AE31" i="30" s="1"/>
  <c r="AR47" i="29"/>
  <c r="AU47" i="29" s="1"/>
  <c r="AT47" i="29" s="1"/>
  <c r="AS47" i="29" s="1"/>
  <c r="AR45" i="29"/>
  <c r="AU45" i="29" s="1"/>
  <c r="AT45" i="29" s="1"/>
  <c r="AS45" i="29" s="1"/>
  <c r="AR43" i="29"/>
  <c r="AU43" i="29" s="1"/>
  <c r="AT43" i="29" s="1"/>
  <c r="AS43" i="29" s="1"/>
  <c r="S40" i="29"/>
  <c r="R40" i="29" s="1"/>
  <c r="Q40" i="29" s="1"/>
  <c r="AF18" i="30"/>
  <c r="AE18" i="30" s="1"/>
  <c r="S66" i="31"/>
  <c r="R66" i="31" s="1"/>
  <c r="Q66" i="31" s="1"/>
  <c r="S54" i="31"/>
  <c r="R54" i="31" s="1"/>
  <c r="Q54" i="31" s="1"/>
  <c r="AR52" i="31"/>
  <c r="AU52" i="31" s="1"/>
  <c r="AT52" i="31" s="1"/>
  <c r="AS52" i="31" s="1"/>
  <c r="AW51" i="31" s="1"/>
  <c r="S46" i="31"/>
  <c r="R46" i="31" s="1"/>
  <c r="Q46" i="31" s="1"/>
  <c r="S38" i="31"/>
  <c r="R38" i="31" s="1"/>
  <c r="Q38" i="31" s="1"/>
  <c r="AR14" i="31"/>
  <c r="AU14" i="31" s="1"/>
  <c r="AT14" i="31" s="1"/>
  <c r="AS14" i="31" s="1"/>
  <c r="S9" i="31"/>
  <c r="R9" i="31" s="1"/>
  <c r="Q9" i="31" s="1"/>
  <c r="AF52" i="29"/>
  <c r="AE52" i="29" s="1"/>
  <c r="AR37" i="29"/>
  <c r="AU37" i="29" s="1"/>
  <c r="AT37" i="29" s="1"/>
  <c r="AS37" i="29" s="1"/>
  <c r="AV37" i="29" s="1"/>
  <c r="AF16" i="29"/>
  <c r="AE16" i="29" s="1"/>
  <c r="AF26" i="30"/>
  <c r="AE26" i="30" s="1"/>
  <c r="AF83" i="31"/>
  <c r="AE83" i="31" s="1"/>
  <c r="AF82" i="31"/>
  <c r="AE82" i="31" s="1"/>
  <c r="AF40" i="31"/>
  <c r="AE40" i="31" s="1"/>
  <c r="AR40" i="31"/>
  <c r="AU40" i="31" s="1"/>
  <c r="AT40" i="31" s="1"/>
  <c r="AS40" i="31" s="1"/>
  <c r="S39" i="31"/>
  <c r="R39" i="31" s="1"/>
  <c r="Q39" i="31" s="1"/>
  <c r="S36" i="31"/>
  <c r="R36" i="31" s="1"/>
  <c r="Q36" i="31" s="1"/>
  <c r="AR33" i="31"/>
  <c r="AU33" i="31" s="1"/>
  <c r="AT33" i="31" s="1"/>
  <c r="AS33" i="31" s="1"/>
  <c r="S24" i="31"/>
  <c r="R24" i="31" s="1"/>
  <c r="Q24" i="31" s="1"/>
  <c r="T24" i="31" s="1"/>
  <c r="AF24" i="29"/>
  <c r="AE24" i="29" s="1"/>
  <c r="AF15" i="29"/>
  <c r="AE15" i="29" s="1"/>
  <c r="AR9" i="29"/>
  <c r="AU9" i="29" s="1"/>
  <c r="AT9" i="29" s="1"/>
  <c r="AS9" i="29" s="1"/>
  <c r="AV9" i="29" s="1"/>
  <c r="AF29" i="30"/>
  <c r="AE29" i="30" s="1"/>
  <c r="AF24" i="30"/>
  <c r="AE24" i="30" s="1"/>
  <c r="AF7" i="30"/>
  <c r="AE7" i="30" s="1"/>
  <c r="AR85" i="31"/>
  <c r="AU85" i="31" s="1"/>
  <c r="AT85" i="31" s="1"/>
  <c r="AS85" i="31" s="1"/>
  <c r="AV85" i="31" s="1"/>
  <c r="AF80" i="31"/>
  <c r="AE80" i="31" s="1"/>
  <c r="AF75" i="31"/>
  <c r="AE75" i="31" s="1"/>
  <c r="AF54" i="31"/>
  <c r="AE54" i="31" s="1"/>
  <c r="AG54" i="31" s="1"/>
  <c r="AF39" i="31"/>
  <c r="AE39" i="31" s="1"/>
  <c r="AF36" i="31"/>
  <c r="AE36" i="31" s="1"/>
  <c r="AF34" i="31"/>
  <c r="AE34" i="31" s="1"/>
  <c r="S11" i="31"/>
  <c r="R11" i="31" s="1"/>
  <c r="Q11" i="31" s="1"/>
  <c r="AF29" i="29"/>
  <c r="AE29" i="29" s="1"/>
  <c r="AG29" i="29" s="1"/>
  <c r="AF32" i="30"/>
  <c r="AE32" i="30" s="1"/>
  <c r="AF10" i="30"/>
  <c r="AE10" i="30" s="1"/>
  <c r="AG10" i="30" s="1"/>
  <c r="S82" i="31"/>
  <c r="R82" i="31" s="1"/>
  <c r="Q82" i="31" s="1"/>
  <c r="AR55" i="31"/>
  <c r="AU55" i="31" s="1"/>
  <c r="AT55" i="31" s="1"/>
  <c r="AS55" i="31" s="1"/>
  <c r="AF46" i="31"/>
  <c r="AE46" i="31" s="1"/>
  <c r="AG44" i="31" s="1"/>
  <c r="AF38" i="31"/>
  <c r="AE38" i="31" s="1"/>
  <c r="AR37" i="31"/>
  <c r="AU37" i="31" s="1"/>
  <c r="AT37" i="31" s="1"/>
  <c r="AS37" i="31" s="1"/>
  <c r="U63" i="31"/>
  <c r="V63" i="31"/>
  <c r="T63" i="31"/>
  <c r="S68" i="31"/>
  <c r="R68" i="31" s="1"/>
  <c r="Q68" i="31" s="1"/>
  <c r="AR64" i="31"/>
  <c r="AU64" i="31" s="1"/>
  <c r="AT64" i="31" s="1"/>
  <c r="AS64" i="31" s="1"/>
  <c r="S60" i="31"/>
  <c r="R60" i="31" s="1"/>
  <c r="Q60" i="31" s="1"/>
  <c r="AR34" i="31"/>
  <c r="AU34" i="31" s="1"/>
  <c r="AT34" i="31" s="1"/>
  <c r="AS34" i="31" s="1"/>
  <c r="V30" i="31"/>
  <c r="T30" i="31"/>
  <c r="U30" i="31"/>
  <c r="AR68" i="31"/>
  <c r="AU68" i="31" s="1"/>
  <c r="AT68" i="31" s="1"/>
  <c r="AS68" i="31" s="1"/>
  <c r="AX67" i="31" s="1"/>
  <c r="S67" i="31"/>
  <c r="R67" i="31" s="1"/>
  <c r="Q67" i="31" s="1"/>
  <c r="AF64" i="31"/>
  <c r="AE64" i="31" s="1"/>
  <c r="AG64" i="31" s="1"/>
  <c r="AR60" i="31"/>
  <c r="AU60" i="31" s="1"/>
  <c r="AT60" i="31" s="1"/>
  <c r="AS60" i="31" s="1"/>
  <c r="AF71" i="31"/>
  <c r="AE71" i="31" s="1"/>
  <c r="S55" i="31"/>
  <c r="R55" i="31" s="1"/>
  <c r="Q55" i="31" s="1"/>
  <c r="S83" i="31"/>
  <c r="R83" i="31" s="1"/>
  <c r="Q83" i="31" s="1"/>
  <c r="AR78" i="31"/>
  <c r="AU78" i="31" s="1"/>
  <c r="AT78" i="31" s="1"/>
  <c r="AS78" i="31" s="1"/>
  <c r="S77" i="31"/>
  <c r="R77" i="31" s="1"/>
  <c r="Q77" i="31" s="1"/>
  <c r="AF60" i="31"/>
  <c r="AE60" i="31" s="1"/>
  <c r="AG60" i="31" s="1"/>
  <c r="AF52" i="31"/>
  <c r="AE52" i="31" s="1"/>
  <c r="S49" i="31"/>
  <c r="R49" i="31" s="1"/>
  <c r="Q49" i="31" s="1"/>
  <c r="S40" i="31"/>
  <c r="R40" i="31" s="1"/>
  <c r="Q40" i="31" s="1"/>
  <c r="AR24" i="31"/>
  <c r="AU24" i="31" s="1"/>
  <c r="AT24" i="31" s="1"/>
  <c r="AS24" i="31" s="1"/>
  <c r="AV24" i="31" s="1"/>
  <c r="S10" i="31"/>
  <c r="R10" i="31" s="1"/>
  <c r="Q10" i="31" s="1"/>
  <c r="AR7" i="31"/>
  <c r="AU7" i="31" s="1"/>
  <c r="AT7" i="31" s="1"/>
  <c r="AS7" i="31" s="1"/>
  <c r="S50" i="31"/>
  <c r="R50" i="31" s="1"/>
  <c r="Q50" i="31" s="1"/>
  <c r="S47" i="31"/>
  <c r="R47" i="31" s="1"/>
  <c r="Q47" i="31" s="1"/>
  <c r="AF16" i="31"/>
  <c r="AE16" i="31" s="1"/>
  <c r="O27" i="30"/>
  <c r="S26" i="30"/>
  <c r="R26" i="30" s="1"/>
  <c r="Q26" i="30" s="1"/>
  <c r="S14" i="30"/>
  <c r="R14" i="30" s="1"/>
  <c r="Q14" i="30" s="1"/>
  <c r="T14" i="30" s="1"/>
  <c r="S35" i="30"/>
  <c r="R35" i="30" s="1"/>
  <c r="Q35" i="30" s="1"/>
  <c r="AU31" i="30"/>
  <c r="AT31" i="30" s="1"/>
  <c r="AS31" i="30" s="1"/>
  <c r="S34" i="30"/>
  <c r="R34" i="30" s="1"/>
  <c r="Q34" i="30" s="1"/>
  <c r="AU32" i="30"/>
  <c r="AT32" i="30" s="1"/>
  <c r="AS32" i="30" s="1"/>
  <c r="AR42" i="29"/>
  <c r="AU42" i="29" s="1"/>
  <c r="AT42" i="29" s="1"/>
  <c r="AS42" i="29" s="1"/>
  <c r="AU39" i="29"/>
  <c r="AT39" i="29" s="1"/>
  <c r="AS39" i="29" s="1"/>
  <c r="AV39" i="29" s="1"/>
  <c r="AI51" i="31" l="1"/>
  <c r="AH6" i="30"/>
  <c r="Q55" i="29"/>
  <c r="AI17" i="30"/>
  <c r="T6" i="31"/>
  <c r="AG19" i="29"/>
  <c r="AI7" i="29"/>
  <c r="AG7" i="29"/>
  <c r="AH7" i="29"/>
  <c r="Q58" i="29"/>
  <c r="Q57" i="29"/>
  <c r="U39" i="29"/>
  <c r="Q59" i="29"/>
  <c r="V39" i="29"/>
  <c r="T39" i="29"/>
  <c r="T57" i="29" s="1"/>
  <c r="Q56" i="29"/>
  <c r="Q60" i="29"/>
  <c r="AI31" i="30"/>
  <c r="AG23" i="30"/>
  <c r="AI50" i="29"/>
  <c r="AG17" i="30"/>
  <c r="AG11" i="29"/>
  <c r="AX44" i="31"/>
  <c r="AV75" i="31"/>
  <c r="AV44" i="31"/>
  <c r="AV51" i="31"/>
  <c r="AW80" i="31"/>
  <c r="AI6" i="30"/>
  <c r="U54" i="31"/>
  <c r="AG33" i="31"/>
  <c r="V44" i="31"/>
  <c r="V6" i="31"/>
  <c r="AV63" i="31"/>
  <c r="AH49" i="31"/>
  <c r="AH6" i="31"/>
  <c r="AV80" i="31"/>
  <c r="AX80" i="31"/>
  <c r="U6" i="31"/>
  <c r="AW6" i="31"/>
  <c r="AH75" i="31"/>
  <c r="AW54" i="31"/>
  <c r="AI6" i="31"/>
  <c r="AX54" i="31"/>
  <c r="AW49" i="31"/>
  <c r="AX36" i="31"/>
  <c r="AH44" i="31"/>
  <c r="AG49" i="31"/>
  <c r="AX51" i="31"/>
  <c r="AH36" i="31"/>
  <c r="AI44" i="31"/>
  <c r="AH68" i="31"/>
  <c r="U75" i="31"/>
  <c r="AW36" i="31"/>
  <c r="U80" i="31"/>
  <c r="T36" i="31"/>
  <c r="AG80" i="31"/>
  <c r="AW9" i="31"/>
  <c r="AH31" i="30"/>
  <c r="AG6" i="30"/>
  <c r="Q39" i="30"/>
  <c r="V32" i="30"/>
  <c r="AH17" i="30"/>
  <c r="AH26" i="30"/>
  <c r="AH50" i="29"/>
  <c r="AH19" i="29"/>
  <c r="AI19" i="29"/>
  <c r="AI11" i="29"/>
  <c r="AH23" i="30"/>
  <c r="AE92" i="31"/>
  <c r="AV49" i="31"/>
  <c r="AG68" i="31"/>
  <c r="AI33" i="31"/>
  <c r="AE40" i="30"/>
  <c r="Q92" i="31"/>
  <c r="AS37" i="30"/>
  <c r="AE94" i="31"/>
  <c r="AX49" i="31"/>
  <c r="AG75" i="31"/>
  <c r="U66" i="31"/>
  <c r="AG36" i="31"/>
  <c r="AV33" i="31"/>
  <c r="AG26" i="30"/>
  <c r="Q93" i="31"/>
  <c r="AE90" i="31"/>
  <c r="V36" i="31"/>
  <c r="T80" i="31"/>
  <c r="AE37" i="30"/>
  <c r="AX9" i="31"/>
  <c r="AG31" i="30"/>
  <c r="AE60" i="29"/>
  <c r="AV9" i="31"/>
  <c r="T9" i="31"/>
  <c r="AX33" i="31"/>
  <c r="AV54" i="31"/>
  <c r="AV6" i="31"/>
  <c r="AS38" i="30"/>
  <c r="AS41" i="30"/>
  <c r="Q40" i="30"/>
  <c r="Q37" i="30"/>
  <c r="AE42" i="30"/>
  <c r="AE41" i="30"/>
  <c r="Q90" i="31"/>
  <c r="AS90" i="31"/>
  <c r="AS93" i="31"/>
  <c r="AE55" i="29"/>
  <c r="U32" i="30"/>
  <c r="AI26" i="30"/>
  <c r="V9" i="31"/>
  <c r="AI36" i="31"/>
  <c r="AI75" i="31"/>
  <c r="AV36" i="31"/>
  <c r="AI80" i="31"/>
  <c r="AW33" i="31"/>
  <c r="V66" i="31"/>
  <c r="AH33" i="31"/>
  <c r="U9" i="31"/>
  <c r="AX63" i="31"/>
  <c r="AS42" i="30"/>
  <c r="AE91" i="31"/>
  <c r="Q38" i="30"/>
  <c r="Q41" i="30"/>
  <c r="AE39" i="30"/>
  <c r="Q91" i="31"/>
  <c r="Q94" i="31"/>
  <c r="AS94" i="31"/>
  <c r="AE59" i="29"/>
  <c r="U44" i="31"/>
  <c r="T54" i="31"/>
  <c r="AW67" i="31"/>
  <c r="AS60" i="29"/>
  <c r="AS56" i="29"/>
  <c r="AS59" i="29"/>
  <c r="AS55" i="29"/>
  <c r="AS58" i="29"/>
  <c r="AS57" i="29"/>
  <c r="AS39" i="30"/>
  <c r="AE89" i="31"/>
  <c r="Q42" i="30"/>
  <c r="Q89" i="31"/>
  <c r="AS91" i="31"/>
  <c r="AE57" i="29"/>
  <c r="AE56" i="29"/>
  <c r="AH11" i="29"/>
  <c r="T59" i="29"/>
  <c r="T55" i="29"/>
  <c r="AG15" i="31"/>
  <c r="AH80" i="31"/>
  <c r="AI68" i="31"/>
  <c r="V80" i="31"/>
  <c r="AS40" i="30"/>
  <c r="AE93" i="31"/>
  <c r="AE38" i="30"/>
  <c r="AS92" i="31"/>
  <c r="AS89" i="31"/>
  <c r="AE58" i="29"/>
  <c r="AH51" i="31"/>
  <c r="AW75" i="31"/>
  <c r="T66" i="31"/>
  <c r="AI15" i="31"/>
  <c r="T49" i="31"/>
  <c r="U49" i="31"/>
  <c r="V49" i="31"/>
  <c r="T75" i="31"/>
  <c r="T44" i="31"/>
  <c r="T60" i="31"/>
  <c r="U60" i="31"/>
  <c r="V60" i="31"/>
  <c r="V75" i="31"/>
  <c r="V54" i="31"/>
  <c r="AX75" i="31"/>
  <c r="AV67" i="31"/>
  <c r="AX6" i="31"/>
  <c r="AW63" i="31"/>
  <c r="AG51" i="31"/>
  <c r="AH15" i="31"/>
  <c r="AV60" i="31"/>
  <c r="AW60" i="31"/>
  <c r="AX60" i="31"/>
  <c r="U36" i="31"/>
  <c r="AX31" i="30"/>
  <c r="AV31" i="30"/>
  <c r="AV43" i="30" s="1"/>
  <c r="AW31" i="30"/>
  <c r="T32" i="30"/>
  <c r="U26" i="30"/>
  <c r="T26" i="30"/>
  <c r="T43" i="30" s="1"/>
  <c r="V26" i="30"/>
  <c r="AV42" i="29"/>
  <c r="AV61" i="29" s="1"/>
  <c r="AW42" i="29"/>
  <c r="AX42" i="29"/>
  <c r="AG95" i="31" l="1"/>
  <c r="AG58" i="29"/>
  <c r="AV95" i="31"/>
  <c r="AG43" i="30"/>
  <c r="T60" i="29"/>
  <c r="AG56" i="29"/>
  <c r="T95" i="31"/>
  <c r="T58" i="29"/>
  <c r="AG61" i="29"/>
  <c r="AG60" i="29"/>
  <c r="AG57" i="29"/>
  <c r="AG55" i="29"/>
  <c r="AG42" i="30"/>
  <c r="AG59" i="29"/>
  <c r="AG38" i="30"/>
  <c r="AG91" i="31"/>
  <c r="AG96" i="31" s="1"/>
  <c r="AG94" i="31"/>
  <c r="AG41" i="30"/>
  <c r="AG40" i="30"/>
  <c r="AG39" i="30"/>
  <c r="AG44" i="30" s="1"/>
  <c r="T94" i="31"/>
  <c r="AG37" i="30"/>
  <c r="T91" i="31"/>
  <c r="AG93" i="31"/>
  <c r="AV39" i="30"/>
  <c r="AV44" i="30" s="1"/>
  <c r="AV42" i="30"/>
  <c r="AV41" i="30"/>
  <c r="AV37" i="30"/>
  <c r="AV40" i="30"/>
  <c r="AV38" i="30"/>
  <c r="AG92" i="31"/>
  <c r="T92" i="31"/>
  <c r="AV58" i="29"/>
  <c r="AV57" i="29"/>
  <c r="AV60" i="29"/>
  <c r="AV56" i="29"/>
  <c r="AV59" i="29"/>
  <c r="AV55" i="29"/>
  <c r="T89" i="31"/>
  <c r="T90" i="31"/>
  <c r="T39" i="30"/>
  <c r="T38" i="30"/>
  <c r="T41" i="30"/>
  <c r="T37" i="30"/>
  <c r="T40" i="30"/>
  <c r="T42" i="30"/>
  <c r="AG89" i="31"/>
  <c r="AG90" i="31"/>
  <c r="AV91" i="31"/>
  <c r="AV96" i="31" s="1"/>
  <c r="AV94" i="31"/>
  <c r="AV93" i="31"/>
  <c r="AV89" i="31"/>
  <c r="AV92" i="31"/>
  <c r="AV90" i="31"/>
  <c r="T93" i="31"/>
  <c r="AO131" i="19"/>
  <c r="AH44" i="30" l="1"/>
  <c r="AV45" i="30"/>
  <c r="AH96" i="31"/>
  <c r="AG45" i="30"/>
  <c r="AH45" i="30" s="1"/>
  <c r="AG62" i="29"/>
  <c r="AG63" i="29"/>
  <c r="AH63" i="29" s="1"/>
  <c r="AV63" i="29"/>
  <c r="AW63" i="29" s="1"/>
  <c r="AV62" i="29"/>
  <c r="AW62" i="29" s="1"/>
  <c r="AH62" i="29"/>
  <c r="AW45" i="30"/>
  <c r="AW44" i="30"/>
  <c r="AG97" i="31"/>
  <c r="AH97" i="31" s="1"/>
  <c r="T44" i="30"/>
  <c r="U44" i="30" s="1"/>
  <c r="T45" i="30"/>
  <c r="U45" i="30" s="1"/>
  <c r="AW96" i="31"/>
  <c r="AV97" i="31"/>
  <c r="AW97" i="31" s="1"/>
  <c r="T97" i="31"/>
  <c r="U97" i="31" s="1"/>
  <c r="T96" i="31"/>
  <c r="U96" i="31" s="1"/>
  <c r="AD15" i="18"/>
  <c r="AD16" i="18"/>
  <c r="AD22" i="18" l="1"/>
  <c r="AD23" i="18"/>
  <c r="H23" i="18"/>
  <c r="I23" i="18" s="1"/>
  <c r="H22" i="18"/>
  <c r="H21" i="18"/>
  <c r="I21" i="18" s="1"/>
  <c r="H20" i="18"/>
  <c r="I20" i="18" s="1"/>
  <c r="AD13" i="18"/>
  <c r="AD14" i="18"/>
  <c r="AD8" i="18"/>
  <c r="AD12" i="18"/>
  <c r="AD6" i="18"/>
  <c r="AD7" i="18"/>
  <c r="AF22" i="18" l="1"/>
  <c r="AE22" i="18" s="1"/>
  <c r="I22" i="18"/>
  <c r="AF23" i="18"/>
  <c r="AE23" i="18" s="1"/>
  <c r="H11" i="20"/>
  <c r="I11" i="20" s="1"/>
  <c r="H8" i="20"/>
  <c r="I8" i="20" s="1"/>
  <c r="H76" i="19"/>
  <c r="I76" i="19" s="1"/>
  <c r="H77" i="19"/>
  <c r="I77" i="19" s="1"/>
  <c r="H56" i="19"/>
  <c r="I56" i="19" s="1"/>
  <c r="H57" i="19"/>
  <c r="I57" i="19" s="1"/>
  <c r="H46" i="19"/>
  <c r="I46" i="19" s="1"/>
  <c r="H45" i="19"/>
  <c r="I45" i="19" s="1"/>
  <c r="H39" i="19"/>
  <c r="I39" i="19" s="1"/>
  <c r="H40" i="19"/>
  <c r="I40" i="19" s="1"/>
  <c r="H11" i="19" l="1"/>
  <c r="H12" i="19"/>
  <c r="I12" i="19" s="1"/>
  <c r="H13" i="19"/>
  <c r="I13" i="19" s="1"/>
  <c r="H14" i="19"/>
  <c r="I14" i="19" s="1"/>
  <c r="H10" i="19"/>
  <c r="I10" i="19" s="1"/>
  <c r="H131" i="19"/>
  <c r="I131" i="19" s="1"/>
  <c r="H132" i="19"/>
  <c r="I132" i="19" s="1"/>
  <c r="H133" i="19"/>
  <c r="I133" i="19" s="1"/>
  <c r="H112" i="19"/>
  <c r="I112" i="19" s="1"/>
  <c r="H82" i="19"/>
  <c r="I82" i="19" s="1"/>
  <c r="H7" i="19"/>
  <c r="I7" i="19" s="1"/>
  <c r="H8" i="19"/>
  <c r="I8" i="19" s="1"/>
  <c r="AD8" i="19"/>
  <c r="AD9" i="19"/>
  <c r="J14" i="19"/>
  <c r="J13" i="19"/>
  <c r="J10" i="19"/>
  <c r="AA12" i="19"/>
  <c r="AD12" i="19" s="1"/>
  <c r="AA11" i="19"/>
  <c r="AD11" i="19" s="1"/>
  <c r="L10" i="19"/>
  <c r="O10" i="19" s="1"/>
  <c r="P10" i="19" s="1"/>
  <c r="AF8" i="19" l="1"/>
  <c r="AE8" i="19" s="1"/>
  <c r="S10" i="19"/>
  <c r="R10" i="19" s="1"/>
  <c r="Q10" i="19" s="1"/>
  <c r="T6" i="19" s="1"/>
  <c r="AF12" i="19"/>
  <c r="AE12" i="19" s="1"/>
  <c r="I11" i="19"/>
  <c r="AF11" i="19"/>
  <c r="AE11" i="19" s="1"/>
  <c r="AD10" i="18" l="1"/>
  <c r="AD11" i="18"/>
  <c r="AD9" i="18"/>
  <c r="H6" i="24" l="1"/>
  <c r="I6" i="24" s="1"/>
  <c r="AD6" i="24"/>
  <c r="H8" i="24"/>
  <c r="I8" i="24" s="1"/>
  <c r="AD8" i="24"/>
  <c r="H10" i="24"/>
  <c r="I10" i="24" s="1"/>
  <c r="AD10" i="24"/>
  <c r="H12" i="24"/>
  <c r="I12" i="24" s="1"/>
  <c r="AD12" i="24"/>
  <c r="H6" i="23"/>
  <c r="AR6" i="23"/>
  <c r="H7" i="23"/>
  <c r="AR7" i="23"/>
  <c r="H9" i="23"/>
  <c r="AR9" i="23"/>
  <c r="H10" i="23"/>
  <c r="AO10" i="23"/>
  <c r="AR10" i="23" s="1"/>
  <c r="H12" i="23"/>
  <c r="AR12" i="23"/>
  <c r="H14" i="23"/>
  <c r="AO14" i="23"/>
  <c r="AR14" i="23" s="1"/>
  <c r="H15" i="23"/>
  <c r="AR15" i="23"/>
  <c r="H16" i="23"/>
  <c r="AN16" i="23"/>
  <c r="I18" i="23"/>
  <c r="O18" i="23"/>
  <c r="S18" i="23"/>
  <c r="R18" i="23" s="1"/>
  <c r="Q18" i="23" s="1"/>
  <c r="T18" i="23" s="1"/>
  <c r="AD18" i="23"/>
  <c r="AF18" i="23" s="1"/>
  <c r="AE18" i="23" s="1"/>
  <c r="AG18" i="23" s="1"/>
  <c r="AQ18" i="23"/>
  <c r="AR18" i="23" s="1"/>
  <c r="AU18" i="23" s="1"/>
  <c r="AT18" i="23" s="1"/>
  <c r="AS18" i="23" s="1"/>
  <c r="AV18" i="23" s="1"/>
  <c r="I20" i="23"/>
  <c r="O20" i="23"/>
  <c r="S20" i="23"/>
  <c r="R20" i="23" s="1"/>
  <c r="Q20" i="23" s="1"/>
  <c r="T20" i="23" s="1"/>
  <c r="AD20" i="23"/>
  <c r="AF20" i="23" s="1"/>
  <c r="AE20" i="23" s="1"/>
  <c r="AG20" i="23" s="1"/>
  <c r="AQ20" i="23"/>
  <c r="I22" i="23"/>
  <c r="O22" i="23"/>
  <c r="S22" i="23"/>
  <c r="R22" i="23" s="1"/>
  <c r="Q22" i="23" s="1"/>
  <c r="T22" i="23" s="1"/>
  <c r="AD22" i="23"/>
  <c r="AF22" i="23" s="1"/>
  <c r="AE22" i="23" s="1"/>
  <c r="AG22" i="23" s="1"/>
  <c r="AQ22" i="23"/>
  <c r="I24" i="23"/>
  <c r="O24" i="23"/>
  <c r="S24" i="23"/>
  <c r="R24" i="23" s="1"/>
  <c r="Q24" i="23" s="1"/>
  <c r="T24" i="23" s="1"/>
  <c r="AD24" i="23"/>
  <c r="AF24" i="23" s="1"/>
  <c r="AE24" i="23" s="1"/>
  <c r="AG24" i="23" s="1"/>
  <c r="AQ24" i="23"/>
  <c r="H26" i="23"/>
  <c r="AD26" i="23"/>
  <c r="AR26" i="23"/>
  <c r="H28" i="23"/>
  <c r="AQ28" i="23"/>
  <c r="H6" i="22"/>
  <c r="I6" i="22" s="1"/>
  <c r="AN6" i="22"/>
  <c r="AQ6" i="22"/>
  <c r="H8" i="22"/>
  <c r="I8" i="22" s="1"/>
  <c r="AQ8" i="22"/>
  <c r="H10" i="22"/>
  <c r="I10" i="22" s="1"/>
  <c r="AO10" i="22"/>
  <c r="AQ10" i="22" s="1"/>
  <c r="H11" i="22"/>
  <c r="I11" i="22" s="1"/>
  <c r="AO11" i="22"/>
  <c r="AQ11" i="22" s="1"/>
  <c r="H12" i="22"/>
  <c r="I12" i="22" s="1"/>
  <c r="AB12" i="22"/>
  <c r="AD12" i="22" s="1"/>
  <c r="H13" i="22"/>
  <c r="I13" i="22" s="1"/>
  <c r="AB13" i="22"/>
  <c r="AD13" i="22" s="1"/>
  <c r="H16" i="22"/>
  <c r="I16" i="22" s="1"/>
  <c r="H17" i="22"/>
  <c r="I17" i="22" s="1"/>
  <c r="H18" i="22"/>
  <c r="I18" i="22" s="1"/>
  <c r="H19" i="22"/>
  <c r="I19" i="22" s="1"/>
  <c r="H20" i="22"/>
  <c r="I20" i="22" s="1"/>
  <c r="H21" i="22"/>
  <c r="I21" i="22" s="1"/>
  <c r="H22" i="22"/>
  <c r="I22" i="22" s="1"/>
  <c r="H23" i="22"/>
  <c r="I23" i="22" s="1"/>
  <c r="H24" i="22"/>
  <c r="I24" i="22" s="1"/>
  <c r="H25" i="22"/>
  <c r="I25" i="22" s="1"/>
  <c r="H26" i="22"/>
  <c r="I26" i="22" s="1"/>
  <c r="H27" i="22"/>
  <c r="I27" i="22" s="1"/>
  <c r="I7" i="21"/>
  <c r="J7" i="21"/>
  <c r="AM7" i="21"/>
  <c r="AQ7" i="21" s="1"/>
  <c r="I8" i="21"/>
  <c r="J8" i="21"/>
  <c r="AM8" i="21"/>
  <c r="AQ8" i="21" s="1"/>
  <c r="I9" i="21"/>
  <c r="J9" i="21"/>
  <c r="AM9" i="21"/>
  <c r="AQ9" i="21" s="1"/>
  <c r="I10" i="21"/>
  <c r="J10" i="21"/>
  <c r="AM10" i="21"/>
  <c r="AQ10" i="21" s="1"/>
  <c r="I11" i="21"/>
  <c r="J11" i="21"/>
  <c r="AM11" i="21"/>
  <c r="AQ11" i="21" s="1"/>
  <c r="I12" i="21"/>
  <c r="J12" i="21"/>
  <c r="AM12" i="21"/>
  <c r="AQ12" i="21" s="1"/>
  <c r="I13" i="21"/>
  <c r="J13" i="21"/>
  <c r="AM13" i="21"/>
  <c r="AQ13" i="21" s="1"/>
  <c r="I14" i="21"/>
  <c r="J14" i="21"/>
  <c r="AM14" i="21"/>
  <c r="AQ14" i="21" s="1"/>
  <c r="I15" i="21"/>
  <c r="J15" i="21"/>
  <c r="AM15" i="21"/>
  <c r="AQ15" i="21" s="1"/>
  <c r="I16" i="21"/>
  <c r="J16" i="21"/>
  <c r="AM16" i="21"/>
  <c r="AQ16" i="21" s="1"/>
  <c r="I17" i="21"/>
  <c r="J17" i="21"/>
  <c r="AM17" i="21"/>
  <c r="AQ17" i="21" s="1"/>
  <c r="I18" i="21"/>
  <c r="J18" i="21"/>
  <c r="AM18" i="21"/>
  <c r="AQ18" i="21" s="1"/>
  <c r="I19" i="21"/>
  <c r="J19" i="21"/>
  <c r="AM19" i="21"/>
  <c r="AQ19" i="21" s="1"/>
  <c r="I20" i="21"/>
  <c r="J20" i="21"/>
  <c r="AM20" i="21"/>
  <c r="AQ20" i="21" s="1"/>
  <c r="I21" i="21"/>
  <c r="J21" i="21"/>
  <c r="AM21" i="21"/>
  <c r="AQ21" i="21" s="1"/>
  <c r="I22" i="21"/>
  <c r="J22" i="21"/>
  <c r="AM22" i="21"/>
  <c r="AQ22" i="21" s="1"/>
  <c r="I23" i="21"/>
  <c r="J23" i="21"/>
  <c r="AM23" i="21"/>
  <c r="AQ23" i="21" s="1"/>
  <c r="I24" i="21"/>
  <c r="J24" i="21"/>
  <c r="AM24" i="21"/>
  <c r="AQ24" i="21" s="1"/>
  <c r="I25" i="21"/>
  <c r="J25" i="21"/>
  <c r="AM25" i="21"/>
  <c r="AQ25" i="21" s="1"/>
  <c r="I26" i="21"/>
  <c r="J26" i="21"/>
  <c r="AM26" i="21"/>
  <c r="AQ26" i="21" s="1"/>
  <c r="I27" i="21"/>
  <c r="J27" i="21"/>
  <c r="I28" i="21"/>
  <c r="J28" i="21"/>
  <c r="I29" i="21"/>
  <c r="J29" i="21"/>
  <c r="I32" i="21"/>
  <c r="J32" i="21"/>
  <c r="AM32" i="21"/>
  <c r="AQ32" i="21" s="1"/>
  <c r="I33" i="21"/>
  <c r="J33" i="21"/>
  <c r="AM33" i="21"/>
  <c r="AQ33" i="21" s="1"/>
  <c r="I34" i="21"/>
  <c r="J34" i="21"/>
  <c r="AM34" i="21"/>
  <c r="AQ34" i="21" s="1"/>
  <c r="I35" i="21"/>
  <c r="J35" i="21"/>
  <c r="AM35" i="21"/>
  <c r="AQ35" i="21" s="1"/>
  <c r="I36" i="21"/>
  <c r="J36" i="21"/>
  <c r="AM36" i="21"/>
  <c r="AQ36" i="21" s="1"/>
  <c r="I37" i="21"/>
  <c r="J37" i="21"/>
  <c r="AM37" i="21"/>
  <c r="AQ37" i="21" s="1"/>
  <c r="I38" i="21"/>
  <c r="J38" i="21"/>
  <c r="AM38" i="21"/>
  <c r="AQ38" i="21" s="1"/>
  <c r="I39" i="21"/>
  <c r="J39" i="21"/>
  <c r="AM39" i="21"/>
  <c r="AQ39" i="21" s="1"/>
  <c r="I40" i="21"/>
  <c r="J40" i="21"/>
  <c r="AM40" i="21"/>
  <c r="AQ40" i="21" s="1"/>
  <c r="I41" i="21"/>
  <c r="J41" i="21"/>
  <c r="AM41" i="21"/>
  <c r="AQ41" i="21" s="1"/>
  <c r="I42" i="21"/>
  <c r="J42" i="21"/>
  <c r="AM42" i="21"/>
  <c r="AQ42" i="21" s="1"/>
  <c r="I43" i="21"/>
  <c r="J43" i="21"/>
  <c r="AM43" i="21"/>
  <c r="AQ43" i="21" s="1"/>
  <c r="I44" i="21"/>
  <c r="J44" i="21"/>
  <c r="AM44" i="21"/>
  <c r="AQ44" i="21" s="1"/>
  <c r="I45" i="21"/>
  <c r="J45" i="21"/>
  <c r="AM45" i="21"/>
  <c r="AQ45" i="21" s="1"/>
  <c r="I46" i="21"/>
  <c r="J46" i="21"/>
  <c r="AM46" i="21"/>
  <c r="AQ46" i="21" s="1"/>
  <c r="I47" i="21"/>
  <c r="J47" i="21"/>
  <c r="AM47" i="21"/>
  <c r="AQ47" i="21" s="1"/>
  <c r="I49" i="21"/>
  <c r="AM49" i="21"/>
  <c r="AQ49" i="21" s="1"/>
  <c r="I50" i="21"/>
  <c r="AM50" i="21"/>
  <c r="AQ50" i="21" s="1"/>
  <c r="I51" i="21"/>
  <c r="AM51" i="21"/>
  <c r="AQ51" i="21" s="1"/>
  <c r="I52" i="21"/>
  <c r="AM52" i="21"/>
  <c r="AQ52" i="21" s="1"/>
  <c r="I53" i="21"/>
  <c r="AM53" i="21"/>
  <c r="AQ53" i="21" s="1"/>
  <c r="I54" i="21"/>
  <c r="AM54" i="21"/>
  <c r="AQ54" i="21" s="1"/>
  <c r="I55" i="21"/>
  <c r="AM55" i="21"/>
  <c r="AQ55" i="21" s="1"/>
  <c r="I56" i="21"/>
  <c r="AM56" i="21"/>
  <c r="AQ56" i="21" s="1"/>
  <c r="I57" i="21"/>
  <c r="AM57" i="21"/>
  <c r="AQ57" i="21" s="1"/>
  <c r="I58" i="21"/>
  <c r="AM58" i="21"/>
  <c r="AQ58" i="21" s="1"/>
  <c r="I59" i="21"/>
  <c r="AM59" i="21"/>
  <c r="AQ59" i="21" s="1"/>
  <c r="I60" i="21"/>
  <c r="AM60" i="21"/>
  <c r="AQ60" i="21" s="1"/>
  <c r="I61" i="21"/>
  <c r="AM61" i="21"/>
  <c r="AQ61" i="21" s="1"/>
  <c r="I62" i="21"/>
  <c r="AM62" i="21"/>
  <c r="AQ62" i="21" s="1"/>
  <c r="I63" i="21"/>
  <c r="AM63" i="21"/>
  <c r="AQ63" i="21" s="1"/>
  <c r="I64" i="21"/>
  <c r="AM64" i="21"/>
  <c r="AQ64" i="21" s="1"/>
  <c r="I65" i="21"/>
  <c r="AM65" i="21"/>
  <c r="AQ65" i="21" s="1"/>
  <c r="I66" i="21"/>
  <c r="AM66" i="21"/>
  <c r="AQ66" i="21" s="1"/>
  <c r="I67" i="21"/>
  <c r="AM67" i="21"/>
  <c r="AQ67" i="21" s="1"/>
  <c r="I68" i="21"/>
  <c r="AM68" i="21"/>
  <c r="AQ68" i="21" s="1"/>
  <c r="I69" i="21"/>
  <c r="AM69" i="21"/>
  <c r="AQ69" i="21" s="1"/>
  <c r="I70" i="21"/>
  <c r="AM70" i="21"/>
  <c r="AQ70" i="21" s="1"/>
  <c r="I71" i="21"/>
  <c r="AM71" i="21"/>
  <c r="AQ71" i="21" s="1"/>
  <c r="I72" i="21"/>
  <c r="AM72" i="21"/>
  <c r="AQ72" i="21" s="1"/>
  <c r="I73" i="21"/>
  <c r="AM73" i="21"/>
  <c r="AQ73" i="21" s="1"/>
  <c r="I74" i="21"/>
  <c r="AM74" i="21"/>
  <c r="AQ74" i="21" s="1"/>
  <c r="I75" i="21"/>
  <c r="AM75" i="21"/>
  <c r="AQ75" i="21" s="1"/>
  <c r="I76" i="21"/>
  <c r="AM76" i="21"/>
  <c r="AQ76" i="21" s="1"/>
  <c r="I77" i="21"/>
  <c r="AM77" i="21"/>
  <c r="AQ77" i="21" s="1"/>
  <c r="I78" i="21"/>
  <c r="AM78" i="21"/>
  <c r="AQ78" i="21" s="1"/>
  <c r="I79" i="21"/>
  <c r="AM79" i="21"/>
  <c r="AQ79" i="21" s="1"/>
  <c r="I80" i="21"/>
  <c r="AM80" i="21"/>
  <c r="AQ80" i="21" s="1"/>
  <c r="I81" i="21"/>
  <c r="AM81" i="21"/>
  <c r="AQ81" i="21" s="1"/>
  <c r="I82" i="21"/>
  <c r="AM82" i="21"/>
  <c r="AQ82" i="21" s="1"/>
  <c r="I83" i="21"/>
  <c r="AM83" i="21"/>
  <c r="AQ83" i="21" s="1"/>
  <c r="I84" i="21"/>
  <c r="AM84" i="21"/>
  <c r="AQ84" i="21" s="1"/>
  <c r="I85" i="21"/>
  <c r="AM85" i="21"/>
  <c r="AQ85" i="21" s="1"/>
  <c r="I86" i="21"/>
  <c r="AM86" i="21"/>
  <c r="AQ86" i="21" s="1"/>
  <c r="I87" i="21"/>
  <c r="AM87" i="21"/>
  <c r="AQ87" i="21" s="1"/>
  <c r="I88" i="21"/>
  <c r="AM88" i="21"/>
  <c r="AQ88" i="21" s="1"/>
  <c r="I92" i="21"/>
  <c r="I93" i="21"/>
  <c r="I94" i="21"/>
  <c r="I95" i="21"/>
  <c r="I98" i="21"/>
  <c r="AM98" i="21"/>
  <c r="AQ98" i="21" s="1"/>
  <c r="I100" i="21"/>
  <c r="O100" i="21"/>
  <c r="P100" i="21" s="1"/>
  <c r="S100" i="21" s="1"/>
  <c r="R100" i="21" s="1"/>
  <c r="Q100" i="21" s="1"/>
  <c r="I101" i="21"/>
  <c r="O101" i="21"/>
  <c r="P101" i="21" s="1"/>
  <c r="S101" i="21" s="1"/>
  <c r="R101" i="21" s="1"/>
  <c r="Q101" i="21" s="1"/>
  <c r="I102" i="21"/>
  <c r="O102" i="21"/>
  <c r="P102" i="21" s="1"/>
  <c r="S102" i="21" s="1"/>
  <c r="R102" i="21" s="1"/>
  <c r="Q102" i="21" s="1"/>
  <c r="I103" i="21"/>
  <c r="O103" i="21"/>
  <c r="P103" i="21" s="1"/>
  <c r="S103" i="21" s="1"/>
  <c r="R103" i="21" s="1"/>
  <c r="Q103" i="21" s="1"/>
  <c r="I104" i="21"/>
  <c r="O104" i="21"/>
  <c r="P104" i="21" s="1"/>
  <c r="S104" i="21" s="1"/>
  <c r="R104" i="21" s="1"/>
  <c r="Q104" i="21" s="1"/>
  <c r="I105" i="21"/>
  <c r="O105" i="21"/>
  <c r="P105" i="21" s="1"/>
  <c r="S105" i="21" s="1"/>
  <c r="R105" i="21" s="1"/>
  <c r="Q105" i="21" s="1"/>
  <c r="I106" i="21"/>
  <c r="AR106" i="21" s="1"/>
  <c r="I107" i="21"/>
  <c r="AR107" i="21" s="1"/>
  <c r="I108" i="21"/>
  <c r="AR108" i="21" s="1"/>
  <c r="I110" i="21"/>
  <c r="I112" i="21"/>
  <c r="AF112" i="21"/>
  <c r="AE112" i="21" s="1"/>
  <c r="H113" i="21"/>
  <c r="I113" i="21" s="1"/>
  <c r="I114" i="21"/>
  <c r="I115" i="21"/>
  <c r="I116" i="21"/>
  <c r="H6" i="20"/>
  <c r="O6" i="20"/>
  <c r="P6" i="20"/>
  <c r="S6" i="20" s="1"/>
  <c r="R6" i="20" s="1"/>
  <c r="Q6" i="20" s="1"/>
  <c r="AD6" i="20"/>
  <c r="AQ6" i="20"/>
  <c r="H7" i="20"/>
  <c r="I7" i="20" s="1"/>
  <c r="O7" i="20"/>
  <c r="P7" i="20"/>
  <c r="AD8" i="20"/>
  <c r="H9" i="20"/>
  <c r="I9" i="20" s="1"/>
  <c r="AQ9" i="20"/>
  <c r="H10" i="20"/>
  <c r="I10" i="20" s="1"/>
  <c r="O10" i="20"/>
  <c r="P10" i="20"/>
  <c r="AD11" i="20"/>
  <c r="AF11" i="20" s="1"/>
  <c r="AE11" i="20" s="1"/>
  <c r="H18" i="20"/>
  <c r="I18" i="20" s="1"/>
  <c r="AD18" i="20"/>
  <c r="H19" i="20"/>
  <c r="I19" i="20" s="1"/>
  <c r="AD19" i="20"/>
  <c r="H20" i="20"/>
  <c r="I20" i="20" s="1"/>
  <c r="AQ20" i="20"/>
  <c r="H21" i="20"/>
  <c r="I21" i="20" s="1"/>
  <c r="AQ21" i="20"/>
  <c r="H23" i="20"/>
  <c r="I23" i="20" s="1"/>
  <c r="AD23" i="20"/>
  <c r="H24" i="20"/>
  <c r="I24" i="20" s="1"/>
  <c r="AD24" i="20"/>
  <c r="H25" i="20"/>
  <c r="I25" i="20" s="1"/>
  <c r="AD25" i="20"/>
  <c r="H26" i="20"/>
  <c r="I26" i="20" s="1"/>
  <c r="AQ26" i="20"/>
  <c r="H27" i="20"/>
  <c r="I27" i="20" s="1"/>
  <c r="AQ27" i="20"/>
  <c r="H28" i="20"/>
  <c r="I28" i="20" s="1"/>
  <c r="AQ28" i="20"/>
  <c r="H6" i="19"/>
  <c r="I6" i="19" s="1"/>
  <c r="AD6" i="19"/>
  <c r="H9" i="19"/>
  <c r="AD7" i="19"/>
  <c r="AF7" i="19" s="1"/>
  <c r="H16" i="19"/>
  <c r="I16" i="19" s="1"/>
  <c r="AA16" i="19"/>
  <c r="AD16" i="19" s="1"/>
  <c r="H22" i="19"/>
  <c r="I22" i="19" s="1"/>
  <c r="O22" i="19"/>
  <c r="P22" i="19" s="1"/>
  <c r="AD22" i="19"/>
  <c r="AQ22" i="19"/>
  <c r="H33" i="19"/>
  <c r="I33" i="19" s="1"/>
  <c r="O33" i="19"/>
  <c r="P33" i="19" s="1"/>
  <c r="H35" i="19"/>
  <c r="I35" i="19" s="1"/>
  <c r="O35" i="19"/>
  <c r="P35" i="19" s="1"/>
  <c r="H36" i="19"/>
  <c r="I36" i="19" s="1"/>
  <c r="O36" i="19"/>
  <c r="P36" i="19" s="1"/>
  <c r="H38" i="19"/>
  <c r="I38" i="19" s="1"/>
  <c r="L38" i="19"/>
  <c r="O38" i="19" s="1"/>
  <c r="P38" i="19" s="1"/>
  <c r="AD39" i="19"/>
  <c r="AF39" i="19" s="1"/>
  <c r="AQ40" i="19"/>
  <c r="AR40" i="19" s="1"/>
  <c r="H41" i="19"/>
  <c r="I41" i="19" s="1"/>
  <c r="O41" i="19"/>
  <c r="P41" i="19" s="1"/>
  <c r="AD41" i="19"/>
  <c r="AQ41" i="19"/>
  <c r="H42" i="19"/>
  <c r="I42" i="19" s="1"/>
  <c r="O42" i="19"/>
  <c r="P42" i="19" s="1"/>
  <c r="H44" i="19"/>
  <c r="I44" i="19" s="1"/>
  <c r="O44" i="19"/>
  <c r="P44" i="19" s="1"/>
  <c r="AD45" i="19"/>
  <c r="AF45" i="19" s="1"/>
  <c r="AQ46" i="19"/>
  <c r="AR46" i="19" s="1"/>
  <c r="AU46" i="19" s="1"/>
  <c r="AT46" i="19" s="1"/>
  <c r="AS46" i="19" s="1"/>
  <c r="H48" i="19"/>
  <c r="I48" i="19" s="1"/>
  <c r="AR48" i="19" s="1"/>
  <c r="AU48" i="19" s="1"/>
  <c r="AT48" i="19" s="1"/>
  <c r="AS48" i="19" s="1"/>
  <c r="AV48" i="19" s="1"/>
  <c r="P48" i="19"/>
  <c r="H52" i="19"/>
  <c r="I52" i="19" s="1"/>
  <c r="O52" i="19"/>
  <c r="P52" i="19" s="1"/>
  <c r="H53" i="19"/>
  <c r="I53" i="19" s="1"/>
  <c r="O53" i="19"/>
  <c r="P53" i="19" s="1"/>
  <c r="AD53" i="19"/>
  <c r="AQ53" i="19"/>
  <c r="H55" i="19"/>
  <c r="I55" i="19" s="1"/>
  <c r="P55" i="19"/>
  <c r="AF56" i="19"/>
  <c r="AR57" i="19"/>
  <c r="H58" i="19"/>
  <c r="I58" i="19" s="1"/>
  <c r="AR58" i="19"/>
  <c r="H61" i="19"/>
  <c r="I61" i="19" s="1"/>
  <c r="J61" i="19"/>
  <c r="O61" i="19"/>
  <c r="P61" i="19" s="1"/>
  <c r="H62" i="19"/>
  <c r="I62" i="19" s="1"/>
  <c r="J62" i="19"/>
  <c r="O62" i="19"/>
  <c r="P62" i="19" s="1"/>
  <c r="H63" i="19"/>
  <c r="I63" i="19" s="1"/>
  <c r="J63" i="19"/>
  <c r="AD63" i="19"/>
  <c r="H64" i="19"/>
  <c r="I64" i="19" s="1"/>
  <c r="J64" i="19"/>
  <c r="AQ64" i="19"/>
  <c r="H65" i="19"/>
  <c r="I65" i="19" s="1"/>
  <c r="J65" i="19"/>
  <c r="O65" i="19"/>
  <c r="P65" i="19" s="1"/>
  <c r="H66" i="19"/>
  <c r="I66" i="19" s="1"/>
  <c r="J66" i="19"/>
  <c r="O66" i="19"/>
  <c r="P66" i="19" s="1"/>
  <c r="H67" i="19"/>
  <c r="I67" i="19" s="1"/>
  <c r="J67" i="19"/>
  <c r="AD67" i="19"/>
  <c r="H68" i="19"/>
  <c r="I68" i="19" s="1"/>
  <c r="J68" i="19"/>
  <c r="AQ68" i="19"/>
  <c r="H70" i="19"/>
  <c r="I70" i="19" s="1"/>
  <c r="O70" i="19"/>
  <c r="P70" i="19" s="1"/>
  <c r="AD70" i="19"/>
  <c r="AQ70" i="19"/>
  <c r="H71" i="19"/>
  <c r="I71" i="19" s="1"/>
  <c r="O71" i="19"/>
  <c r="P71" i="19" s="1"/>
  <c r="H72" i="19"/>
  <c r="I72" i="19" s="1"/>
  <c r="O72" i="19"/>
  <c r="P72" i="19" s="1"/>
  <c r="H73" i="19"/>
  <c r="I73" i="19" s="1"/>
  <c r="O73" i="19"/>
  <c r="P73" i="19" s="1"/>
  <c r="AD76" i="19"/>
  <c r="AF76" i="19" s="1"/>
  <c r="AQ77" i="19"/>
  <c r="AR77" i="19" s="1"/>
  <c r="H74" i="19"/>
  <c r="I74" i="19" s="1"/>
  <c r="O74" i="19"/>
  <c r="P74" i="19" s="1"/>
  <c r="H75" i="19"/>
  <c r="I75" i="19" s="1"/>
  <c r="O75" i="19"/>
  <c r="P75" i="19" s="1"/>
  <c r="H79" i="19"/>
  <c r="I79" i="19" s="1"/>
  <c r="J79" i="19"/>
  <c r="P79" i="19"/>
  <c r="H80" i="19"/>
  <c r="I80" i="19" s="1"/>
  <c r="H81" i="19"/>
  <c r="I81" i="19" s="1"/>
  <c r="AR81" i="19" s="1"/>
  <c r="J81" i="19"/>
  <c r="H83" i="19"/>
  <c r="I83" i="19" s="1"/>
  <c r="AR83" i="19" s="1"/>
  <c r="P82" i="19"/>
  <c r="S82" i="19" s="1"/>
  <c r="H85" i="19"/>
  <c r="I85" i="19" s="1"/>
  <c r="O85" i="19"/>
  <c r="P85" i="19" s="1"/>
  <c r="H86" i="19"/>
  <c r="I86" i="19" s="1"/>
  <c r="O86" i="19"/>
  <c r="P86" i="19" s="1"/>
  <c r="H93" i="19"/>
  <c r="I93" i="19" s="1"/>
  <c r="O93" i="19"/>
  <c r="P93" i="19" s="1"/>
  <c r="H94" i="19"/>
  <c r="I94" i="19" s="1"/>
  <c r="O94" i="19"/>
  <c r="P94" i="19" s="1"/>
  <c r="H95" i="19"/>
  <c r="I95" i="19" s="1"/>
  <c r="O95" i="19"/>
  <c r="P95" i="19" s="1"/>
  <c r="H96" i="19"/>
  <c r="I96" i="19" s="1"/>
  <c r="O96" i="19"/>
  <c r="P96" i="19" s="1"/>
  <c r="H97" i="19"/>
  <c r="I97" i="19" s="1"/>
  <c r="O97" i="19"/>
  <c r="P97" i="19" s="1"/>
  <c r="H99" i="19"/>
  <c r="I99" i="19" s="1"/>
  <c r="J99" i="19"/>
  <c r="O99" i="19"/>
  <c r="P99" i="19" s="1"/>
  <c r="H100" i="19"/>
  <c r="I100" i="19" s="1"/>
  <c r="J100" i="19"/>
  <c r="O100" i="19"/>
  <c r="P100" i="19" s="1"/>
  <c r="H101" i="19"/>
  <c r="I101" i="19" s="1"/>
  <c r="J101" i="19"/>
  <c r="O101" i="19"/>
  <c r="P101" i="19" s="1"/>
  <c r="H102" i="19"/>
  <c r="I102" i="19" s="1"/>
  <c r="J102" i="19"/>
  <c r="O102" i="19"/>
  <c r="P102" i="19" s="1"/>
  <c r="H103" i="19"/>
  <c r="I103" i="19" s="1"/>
  <c r="J103" i="19"/>
  <c r="AD103" i="19"/>
  <c r="H104" i="19"/>
  <c r="I104" i="19" s="1"/>
  <c r="J104" i="19"/>
  <c r="AD104" i="19"/>
  <c r="H105" i="19"/>
  <c r="I105" i="19" s="1"/>
  <c r="J105" i="19"/>
  <c r="AD105" i="19"/>
  <c r="H106" i="19"/>
  <c r="I106" i="19" s="1"/>
  <c r="J106" i="19"/>
  <c r="AQ106" i="19"/>
  <c r="H107" i="19"/>
  <c r="I107" i="19" s="1"/>
  <c r="J107" i="19"/>
  <c r="AQ107" i="19"/>
  <c r="H108" i="19"/>
  <c r="I108" i="19" s="1"/>
  <c r="J108" i="19"/>
  <c r="AQ108" i="19"/>
  <c r="H111" i="19"/>
  <c r="I111" i="19" s="1"/>
  <c r="O111" i="19"/>
  <c r="P111" i="19" s="1"/>
  <c r="AA112" i="19"/>
  <c r="AD112" i="19" s="1"/>
  <c r="AF112" i="19" s="1"/>
  <c r="AN112" i="19"/>
  <c r="AQ112" i="19" s="1"/>
  <c r="AR112" i="19" s="1"/>
  <c r="H113" i="19"/>
  <c r="I113" i="19" s="1"/>
  <c r="J113" i="19"/>
  <c r="O113" i="19"/>
  <c r="P113" i="19" s="1"/>
  <c r="H114" i="19"/>
  <c r="I114" i="19" s="1"/>
  <c r="J114" i="19"/>
  <c r="O114" i="19"/>
  <c r="P114" i="19" s="1"/>
  <c r="H115" i="19"/>
  <c r="I115" i="19" s="1"/>
  <c r="J115" i="19"/>
  <c r="O115" i="19"/>
  <c r="P115" i="19" s="1"/>
  <c r="H116" i="19"/>
  <c r="I116" i="19" s="1"/>
  <c r="J116" i="19"/>
  <c r="O116" i="19"/>
  <c r="P116" i="19" s="1"/>
  <c r="H117" i="19"/>
  <c r="I117" i="19" s="1"/>
  <c r="J117" i="19"/>
  <c r="O117" i="19"/>
  <c r="P117" i="19" s="1"/>
  <c r="H118" i="19"/>
  <c r="I118" i="19" s="1"/>
  <c r="J118" i="19"/>
  <c r="O118" i="19"/>
  <c r="P118" i="19" s="1"/>
  <c r="H119" i="19"/>
  <c r="I119" i="19" s="1"/>
  <c r="J119" i="19"/>
  <c r="O119" i="19"/>
  <c r="P119" i="19" s="1"/>
  <c r="H121" i="19"/>
  <c r="I121" i="19" s="1"/>
  <c r="J121" i="19"/>
  <c r="O121" i="19"/>
  <c r="P121" i="19" s="1"/>
  <c r="H122" i="19"/>
  <c r="I122" i="19" s="1"/>
  <c r="J122" i="19"/>
  <c r="O122" i="19"/>
  <c r="P122" i="19" s="1"/>
  <c r="H123" i="19"/>
  <c r="I123" i="19" s="1"/>
  <c r="J123" i="19"/>
  <c r="O123" i="19"/>
  <c r="P123" i="19" s="1"/>
  <c r="H124" i="19"/>
  <c r="I124" i="19" s="1"/>
  <c r="J124" i="19"/>
  <c r="O124" i="19"/>
  <c r="P124" i="19" s="1"/>
  <c r="H125" i="19"/>
  <c r="I125" i="19" s="1"/>
  <c r="J125" i="19"/>
  <c r="O125" i="19"/>
  <c r="P125" i="19" s="1"/>
  <c r="H126" i="19"/>
  <c r="I126" i="19" s="1"/>
  <c r="J126" i="19"/>
  <c r="O126" i="19"/>
  <c r="P126" i="19" s="1"/>
  <c r="H127" i="19"/>
  <c r="I127" i="19" s="1"/>
  <c r="J127" i="19"/>
  <c r="O127" i="19"/>
  <c r="P127" i="19" s="1"/>
  <c r="H128" i="19"/>
  <c r="I128" i="19" s="1"/>
  <c r="P128" i="19"/>
  <c r="AD131" i="19"/>
  <c r="AF131" i="19" s="1"/>
  <c r="AQ131" i="19"/>
  <c r="AR131" i="19" s="1"/>
  <c r="H129" i="19"/>
  <c r="I129" i="19" s="1"/>
  <c r="P129" i="19"/>
  <c r="AQ132" i="19"/>
  <c r="AR132" i="19" s="1"/>
  <c r="H130" i="19"/>
  <c r="I130" i="19" s="1"/>
  <c r="P130" i="19"/>
  <c r="AQ133" i="19"/>
  <c r="AR133" i="19" s="1"/>
  <c r="H135" i="19"/>
  <c r="I135" i="19" s="1"/>
  <c r="J135" i="19"/>
  <c r="O135" i="19"/>
  <c r="P135" i="19" s="1"/>
  <c r="H136" i="19"/>
  <c r="I136" i="19" s="1"/>
  <c r="J136" i="19"/>
  <c r="O136" i="19"/>
  <c r="P136" i="19" s="1"/>
  <c r="H137" i="19"/>
  <c r="I137" i="19" s="1"/>
  <c r="J137" i="19"/>
  <c r="O137" i="19"/>
  <c r="P137" i="19" s="1"/>
  <c r="H138" i="19"/>
  <c r="I138" i="19" s="1"/>
  <c r="J138" i="19"/>
  <c r="O138" i="19"/>
  <c r="P138" i="19" s="1"/>
  <c r="H139" i="19"/>
  <c r="I139" i="19" s="1"/>
  <c r="J139" i="19"/>
  <c r="O139" i="19"/>
  <c r="P139" i="19" s="1"/>
  <c r="H140" i="19"/>
  <c r="I140" i="19" s="1"/>
  <c r="J140" i="19"/>
  <c r="O140" i="19"/>
  <c r="P140" i="19" s="1"/>
  <c r="H141" i="19"/>
  <c r="I141" i="19" s="1"/>
  <c r="J141" i="19"/>
  <c r="O141" i="19"/>
  <c r="P141" i="19" s="1"/>
  <c r="H143" i="19"/>
  <c r="I143" i="19" s="1"/>
  <c r="AD143" i="19"/>
  <c r="H6" i="18"/>
  <c r="H7" i="18"/>
  <c r="AF7" i="18" s="1"/>
  <c r="AE7" i="18" s="1"/>
  <c r="H8" i="18"/>
  <c r="H9" i="18"/>
  <c r="AF9" i="18" s="1"/>
  <c r="AE9" i="18" s="1"/>
  <c r="H10" i="18"/>
  <c r="I10" i="18" s="1"/>
  <c r="H11" i="18"/>
  <c r="AF11" i="18" s="1"/>
  <c r="AE11" i="18" s="1"/>
  <c r="H12" i="18"/>
  <c r="H13" i="18"/>
  <c r="AF13" i="18" s="1"/>
  <c r="AE13" i="18" s="1"/>
  <c r="H14" i="18"/>
  <c r="H15" i="18"/>
  <c r="AF15" i="18" s="1"/>
  <c r="AE15" i="18" s="1"/>
  <c r="H16" i="18"/>
  <c r="H18" i="18"/>
  <c r="I18" i="18" s="1"/>
  <c r="P18" i="18"/>
  <c r="AD18" i="18"/>
  <c r="H19" i="18"/>
  <c r="I19" i="18" s="1"/>
  <c r="P19" i="18"/>
  <c r="AD19" i="18"/>
  <c r="AF23" i="20" l="1"/>
  <c r="AE23" i="20" s="1"/>
  <c r="AR40" i="21"/>
  <c r="AR32" i="21"/>
  <c r="AR108" i="19"/>
  <c r="AR68" i="19"/>
  <c r="AR64" i="19"/>
  <c r="T39" i="23"/>
  <c r="AR107" i="19"/>
  <c r="AU83" i="19"/>
  <c r="AT83" i="19" s="1"/>
  <c r="AS83" i="19" s="1"/>
  <c r="T33" i="23"/>
  <c r="T38" i="23"/>
  <c r="T34" i="23"/>
  <c r="T37" i="23"/>
  <c r="T36" i="23"/>
  <c r="T35" i="23"/>
  <c r="AR106" i="19"/>
  <c r="AU81" i="19"/>
  <c r="AT81" i="19" s="1"/>
  <c r="AS81" i="19" s="1"/>
  <c r="AV79" i="19" s="1"/>
  <c r="AF25" i="20"/>
  <c r="AE25" i="20" s="1"/>
  <c r="S10" i="20"/>
  <c r="R10" i="20" s="1"/>
  <c r="Q10" i="20" s="1"/>
  <c r="S18" i="18"/>
  <c r="R18" i="18" s="1"/>
  <c r="Q18" i="18" s="1"/>
  <c r="AR42" i="21"/>
  <c r="AU42" i="21" s="1"/>
  <c r="AT42" i="21" s="1"/>
  <c r="AS42" i="21" s="1"/>
  <c r="AF26" i="23"/>
  <c r="AE26" i="23" s="1"/>
  <c r="AG26" i="23" s="1"/>
  <c r="AG38" i="23" s="1"/>
  <c r="AR24" i="23"/>
  <c r="AU24" i="23" s="1"/>
  <c r="AT24" i="23" s="1"/>
  <c r="AS24" i="23" s="1"/>
  <c r="AV24" i="23" s="1"/>
  <c r="AR46" i="21"/>
  <c r="AU46" i="21" s="1"/>
  <c r="AT46" i="21" s="1"/>
  <c r="AS46" i="21" s="1"/>
  <c r="AR76" i="21"/>
  <c r="AU76" i="21" s="1"/>
  <c r="AT76" i="21" s="1"/>
  <c r="AS76" i="21" s="1"/>
  <c r="AF113" i="21"/>
  <c r="AE113" i="21" s="1"/>
  <c r="AE120" i="21" s="1"/>
  <c r="AU107" i="21"/>
  <c r="AT107" i="21" s="1"/>
  <c r="AS107" i="21" s="1"/>
  <c r="AR72" i="21"/>
  <c r="AU72" i="21" s="1"/>
  <c r="AT72" i="21" s="1"/>
  <c r="AS72" i="21" s="1"/>
  <c r="AR64" i="21"/>
  <c r="AU64" i="21" s="1"/>
  <c r="AT64" i="21" s="1"/>
  <c r="AS64" i="21" s="1"/>
  <c r="AR43" i="21"/>
  <c r="AU43" i="21" s="1"/>
  <c r="AT43" i="21" s="1"/>
  <c r="AS43" i="21" s="1"/>
  <c r="AR37" i="21"/>
  <c r="AU37" i="21" s="1"/>
  <c r="AT37" i="21" s="1"/>
  <c r="AS37" i="21" s="1"/>
  <c r="AR35" i="21"/>
  <c r="AU35" i="21" s="1"/>
  <c r="AT35" i="21" s="1"/>
  <c r="AS35" i="21" s="1"/>
  <c r="AR114" i="21"/>
  <c r="AU114" i="21" s="1"/>
  <c r="AT114" i="21" s="1"/>
  <c r="AS114" i="21" s="1"/>
  <c r="AV112" i="21" s="1"/>
  <c r="AR69" i="21"/>
  <c r="AU69" i="21" s="1"/>
  <c r="AT69" i="21" s="1"/>
  <c r="AS69" i="21" s="1"/>
  <c r="AF8" i="24"/>
  <c r="AE8" i="24" s="1"/>
  <c r="AG8" i="24" s="1"/>
  <c r="I16" i="23"/>
  <c r="AO16" i="23" s="1"/>
  <c r="AR16" i="23" s="1"/>
  <c r="G16" i="23"/>
  <c r="I10" i="23"/>
  <c r="AQ10" i="23" s="1"/>
  <c r="G10" i="23"/>
  <c r="I26" i="23"/>
  <c r="AQ26" i="23" s="1"/>
  <c r="G26" i="23"/>
  <c r="I15" i="23"/>
  <c r="AQ15" i="23" s="1"/>
  <c r="G15" i="23"/>
  <c r="I12" i="23"/>
  <c r="AQ12" i="23" s="1"/>
  <c r="G12" i="23"/>
  <c r="I9" i="23"/>
  <c r="AQ9" i="23" s="1"/>
  <c r="G9" i="23"/>
  <c r="I6" i="23"/>
  <c r="G6" i="23"/>
  <c r="I14" i="23"/>
  <c r="AQ14" i="23" s="1"/>
  <c r="G14" i="23"/>
  <c r="I7" i="23"/>
  <c r="AQ7" i="23" s="1"/>
  <c r="G7" i="23"/>
  <c r="I28" i="23"/>
  <c r="AR28" i="23" s="1"/>
  <c r="AU28" i="23" s="1"/>
  <c r="AT28" i="23" s="1"/>
  <c r="AS28" i="23" s="1"/>
  <c r="AV28" i="23" s="1"/>
  <c r="G28" i="23"/>
  <c r="AF22" i="22"/>
  <c r="AE22" i="22" s="1"/>
  <c r="AR81" i="21"/>
  <c r="AU81" i="21" s="1"/>
  <c r="AT81" i="21" s="1"/>
  <c r="AS81" i="21" s="1"/>
  <c r="AR77" i="21"/>
  <c r="AU77" i="21" s="1"/>
  <c r="AT77" i="21" s="1"/>
  <c r="AS77" i="21" s="1"/>
  <c r="AR73" i="21"/>
  <c r="AU73" i="21" s="1"/>
  <c r="AT73" i="21" s="1"/>
  <c r="AS73" i="21" s="1"/>
  <c r="AR65" i="21"/>
  <c r="AU65" i="21" s="1"/>
  <c r="AT65" i="21" s="1"/>
  <c r="AS65" i="21" s="1"/>
  <c r="AR61" i="21"/>
  <c r="AU61" i="21" s="1"/>
  <c r="AT61" i="21" s="1"/>
  <c r="AS61" i="21" s="1"/>
  <c r="AR57" i="21"/>
  <c r="AU57" i="21" s="1"/>
  <c r="AT57" i="21" s="1"/>
  <c r="AS57" i="21" s="1"/>
  <c r="AR53" i="21"/>
  <c r="AU53" i="21" s="1"/>
  <c r="AT53" i="21" s="1"/>
  <c r="AS53" i="21" s="1"/>
  <c r="AR49" i="21"/>
  <c r="AU49" i="21" s="1"/>
  <c r="AT49" i="21" s="1"/>
  <c r="AS49" i="21" s="1"/>
  <c r="AR26" i="21"/>
  <c r="AU26" i="21" s="1"/>
  <c r="AT26" i="21" s="1"/>
  <c r="AS26" i="21" s="1"/>
  <c r="AR24" i="21"/>
  <c r="AU24" i="21" s="1"/>
  <c r="AT24" i="21" s="1"/>
  <c r="AS24" i="21" s="1"/>
  <c r="AR8" i="21"/>
  <c r="AU8" i="21" s="1"/>
  <c r="AT8" i="21" s="1"/>
  <c r="AS8" i="21" s="1"/>
  <c r="AR95" i="21"/>
  <c r="AU95" i="21" s="1"/>
  <c r="AT95" i="21" s="1"/>
  <c r="AS95" i="21" s="1"/>
  <c r="AR55" i="21"/>
  <c r="AU55" i="21" s="1"/>
  <c r="AT55" i="21" s="1"/>
  <c r="AS55" i="21" s="1"/>
  <c r="AR51" i="21"/>
  <c r="AU51" i="21" s="1"/>
  <c r="AT51" i="21" s="1"/>
  <c r="AS51" i="21" s="1"/>
  <c r="AF19" i="20"/>
  <c r="AE19" i="20" s="1"/>
  <c r="AF19" i="18"/>
  <c r="AE19" i="18" s="1"/>
  <c r="I13" i="18"/>
  <c r="AF6" i="20"/>
  <c r="AE6" i="20" s="1"/>
  <c r="AR93" i="21"/>
  <c r="AU93" i="21" s="1"/>
  <c r="AT93" i="21" s="1"/>
  <c r="AS93" i="21" s="1"/>
  <c r="AR88" i="21"/>
  <c r="AU88" i="21" s="1"/>
  <c r="AT88" i="21" s="1"/>
  <c r="AS88" i="21" s="1"/>
  <c r="AR84" i="21"/>
  <c r="AU84" i="21" s="1"/>
  <c r="AT84" i="21" s="1"/>
  <c r="AS84" i="21" s="1"/>
  <c r="AR83" i="21"/>
  <c r="AU83" i="21" s="1"/>
  <c r="AT83" i="21" s="1"/>
  <c r="AS83" i="21" s="1"/>
  <c r="AR80" i="21"/>
  <c r="AU80" i="21" s="1"/>
  <c r="AT80" i="21" s="1"/>
  <c r="AS80" i="21" s="1"/>
  <c r="AR68" i="21"/>
  <c r="AU68" i="21" s="1"/>
  <c r="AT68" i="21" s="1"/>
  <c r="AS68" i="21" s="1"/>
  <c r="AR60" i="21"/>
  <c r="AU60" i="21" s="1"/>
  <c r="AT60" i="21" s="1"/>
  <c r="AS60" i="21" s="1"/>
  <c r="AR59" i="21"/>
  <c r="AU59" i="21" s="1"/>
  <c r="AT59" i="21" s="1"/>
  <c r="AS59" i="21" s="1"/>
  <c r="AR26" i="22"/>
  <c r="AU26" i="22" s="1"/>
  <c r="AT26" i="22" s="1"/>
  <c r="AS26" i="22" s="1"/>
  <c r="AR24" i="22"/>
  <c r="AU24" i="22" s="1"/>
  <c r="AT24" i="22" s="1"/>
  <c r="AS24" i="22" s="1"/>
  <c r="AF18" i="20"/>
  <c r="AE18" i="20" s="1"/>
  <c r="AR94" i="21"/>
  <c r="AU94" i="21" s="1"/>
  <c r="AT94" i="21" s="1"/>
  <c r="AS94" i="21" s="1"/>
  <c r="AR85" i="21"/>
  <c r="AU85" i="21" s="1"/>
  <c r="AT85" i="21" s="1"/>
  <c r="AS85" i="21" s="1"/>
  <c r="AU40" i="21"/>
  <c r="AT40" i="21" s="1"/>
  <c r="AS40" i="21" s="1"/>
  <c r="AU32" i="21"/>
  <c r="AT32" i="21" s="1"/>
  <c r="AS32" i="21" s="1"/>
  <c r="AF18" i="18"/>
  <c r="AE18" i="18" s="1"/>
  <c r="I9" i="18"/>
  <c r="AF24" i="20"/>
  <c r="AE24" i="20" s="1"/>
  <c r="AH23" i="20" s="1"/>
  <c r="AR20" i="20"/>
  <c r="AU20" i="20" s="1"/>
  <c r="AT20" i="20" s="1"/>
  <c r="AS20" i="20" s="1"/>
  <c r="AU108" i="21"/>
  <c r="AT108" i="21" s="1"/>
  <c r="AS108" i="21" s="1"/>
  <c r="AR92" i="21"/>
  <c r="AU92" i="21" s="1"/>
  <c r="AT92" i="21" s="1"/>
  <c r="AS92" i="21" s="1"/>
  <c r="AR86" i="21"/>
  <c r="AU86" i="21" s="1"/>
  <c r="AT86" i="21" s="1"/>
  <c r="AS86" i="21" s="1"/>
  <c r="AR75" i="21"/>
  <c r="AU75" i="21" s="1"/>
  <c r="AT75" i="21" s="1"/>
  <c r="AS75" i="21" s="1"/>
  <c r="AR70" i="21"/>
  <c r="AU70" i="21" s="1"/>
  <c r="AT70" i="21" s="1"/>
  <c r="AS70" i="21" s="1"/>
  <c r="AR66" i="21"/>
  <c r="AU66" i="21" s="1"/>
  <c r="AT66" i="21" s="1"/>
  <c r="AS66" i="21" s="1"/>
  <c r="AR63" i="21"/>
  <c r="AU63" i="21" s="1"/>
  <c r="AT63" i="21" s="1"/>
  <c r="AS63" i="21" s="1"/>
  <c r="AR62" i="21"/>
  <c r="AU62" i="21" s="1"/>
  <c r="AT62" i="21" s="1"/>
  <c r="AS62" i="21" s="1"/>
  <c r="AR45" i="21"/>
  <c r="AU45" i="21" s="1"/>
  <c r="AT45" i="21" s="1"/>
  <c r="AS45" i="21" s="1"/>
  <c r="AR20" i="21"/>
  <c r="AU20" i="21" s="1"/>
  <c r="AT20" i="21" s="1"/>
  <c r="AS20" i="21" s="1"/>
  <c r="AR18" i="21"/>
  <c r="AU18" i="21" s="1"/>
  <c r="AT18" i="21" s="1"/>
  <c r="AS18" i="21" s="1"/>
  <c r="AR17" i="21"/>
  <c r="AU17" i="21" s="1"/>
  <c r="AT17" i="21" s="1"/>
  <c r="AS17" i="21" s="1"/>
  <c r="AR15" i="21"/>
  <c r="AU15" i="21" s="1"/>
  <c r="AT15" i="21" s="1"/>
  <c r="AS15" i="21" s="1"/>
  <c r="AR12" i="21"/>
  <c r="AU12" i="21" s="1"/>
  <c r="AT12" i="21" s="1"/>
  <c r="AS12" i="21" s="1"/>
  <c r="AR27" i="22"/>
  <c r="AU27" i="22" s="1"/>
  <c r="AT27" i="22" s="1"/>
  <c r="AS27" i="22" s="1"/>
  <c r="AR25" i="22"/>
  <c r="AU25" i="22" s="1"/>
  <c r="AT25" i="22" s="1"/>
  <c r="AS25" i="22" s="1"/>
  <c r="AF23" i="22"/>
  <c r="AE23" i="22" s="1"/>
  <c r="AG15" i="22" s="1"/>
  <c r="S20" i="22"/>
  <c r="R20" i="22" s="1"/>
  <c r="Q20" i="22" s="1"/>
  <c r="S16" i="22"/>
  <c r="R16" i="22" s="1"/>
  <c r="Q16" i="22" s="1"/>
  <c r="AR8" i="22"/>
  <c r="AU8" i="22" s="1"/>
  <c r="AT8" i="22" s="1"/>
  <c r="AS8" i="22" s="1"/>
  <c r="AV8" i="22" s="1"/>
  <c r="AR6" i="22"/>
  <c r="AU6" i="22" s="1"/>
  <c r="AT6" i="22" s="1"/>
  <c r="AS6" i="22" s="1"/>
  <c r="AV6" i="22" s="1"/>
  <c r="AF12" i="24"/>
  <c r="AE12" i="24" s="1"/>
  <c r="AG12" i="24" s="1"/>
  <c r="Q36" i="23"/>
  <c r="Q35" i="23"/>
  <c r="Q38" i="23"/>
  <c r="Q37" i="23"/>
  <c r="I14" i="18"/>
  <c r="AF14" i="18"/>
  <c r="AE14" i="18" s="1"/>
  <c r="I11" i="18"/>
  <c r="I6" i="18"/>
  <c r="AF6" i="18"/>
  <c r="AE6" i="18" s="1"/>
  <c r="AR26" i="20"/>
  <c r="AU26" i="20" s="1"/>
  <c r="AT26" i="20" s="1"/>
  <c r="AS26" i="20" s="1"/>
  <c r="I6" i="20"/>
  <c r="AR6" i="20" s="1"/>
  <c r="AU6" i="20" s="1"/>
  <c r="AT6" i="20" s="1"/>
  <c r="AS6" i="20" s="1"/>
  <c r="Q122" i="21"/>
  <c r="V100" i="21"/>
  <c r="U100" i="21"/>
  <c r="Q120" i="21"/>
  <c r="Q121" i="21"/>
  <c r="T100" i="21"/>
  <c r="Q123" i="21"/>
  <c r="Q118" i="21"/>
  <c r="Q119" i="21"/>
  <c r="AR87" i="21"/>
  <c r="AU87" i="21" s="1"/>
  <c r="AT87" i="21" s="1"/>
  <c r="AS87" i="21" s="1"/>
  <c r="AR67" i="21"/>
  <c r="AU67" i="21" s="1"/>
  <c r="AT67" i="21" s="1"/>
  <c r="AS67" i="21" s="1"/>
  <c r="AR44" i="21"/>
  <c r="AU44" i="21" s="1"/>
  <c r="AT44" i="21" s="1"/>
  <c r="AS44" i="21" s="1"/>
  <c r="AR34" i="21"/>
  <c r="AU34" i="21" s="1"/>
  <c r="AT34" i="21" s="1"/>
  <c r="AS34" i="21" s="1"/>
  <c r="AR19" i="21"/>
  <c r="AU19" i="21" s="1"/>
  <c r="AT19" i="21" s="1"/>
  <c r="AS19" i="21" s="1"/>
  <c r="AR9" i="21"/>
  <c r="AU9" i="21" s="1"/>
  <c r="AT9" i="21" s="1"/>
  <c r="AS9" i="21" s="1"/>
  <c r="AR7" i="21"/>
  <c r="AU7" i="21" s="1"/>
  <c r="AT7" i="21" s="1"/>
  <c r="AS7" i="21" s="1"/>
  <c r="I16" i="18"/>
  <c r="AF16" i="18"/>
  <c r="AE16" i="18" s="1"/>
  <c r="I8" i="18"/>
  <c r="AF8" i="18"/>
  <c r="AE8" i="18" s="1"/>
  <c r="S19" i="18"/>
  <c r="R19" i="18" s="1"/>
  <c r="Q19" i="18" s="1"/>
  <c r="Q27" i="18" s="1"/>
  <c r="I15" i="18"/>
  <c r="I7" i="18"/>
  <c r="AR28" i="20"/>
  <c r="AU28" i="20" s="1"/>
  <c r="AT28" i="20" s="1"/>
  <c r="AS28" i="20" s="1"/>
  <c r="AR27" i="20"/>
  <c r="AU27" i="20" s="1"/>
  <c r="AT27" i="20" s="1"/>
  <c r="AS27" i="20" s="1"/>
  <c r="AF8" i="20"/>
  <c r="AE8" i="20" s="1"/>
  <c r="AR110" i="21"/>
  <c r="AU110" i="21" s="1"/>
  <c r="AT110" i="21" s="1"/>
  <c r="AS110" i="21" s="1"/>
  <c r="AV110" i="21" s="1"/>
  <c r="AR98" i="21"/>
  <c r="AU98" i="21" s="1"/>
  <c r="AT98" i="21" s="1"/>
  <c r="AS98" i="21" s="1"/>
  <c r="AV98" i="21" s="1"/>
  <c r="AR82" i="21"/>
  <c r="AU82" i="21" s="1"/>
  <c r="AT82" i="21" s="1"/>
  <c r="AS82" i="21" s="1"/>
  <c r="AR79" i="21"/>
  <c r="AU79" i="21" s="1"/>
  <c r="AT79" i="21" s="1"/>
  <c r="AS79" i="21" s="1"/>
  <c r="AR78" i="21"/>
  <c r="AU78" i="21" s="1"/>
  <c r="AT78" i="21" s="1"/>
  <c r="AS78" i="21" s="1"/>
  <c r="AR74" i="21"/>
  <c r="AU74" i="21" s="1"/>
  <c r="AT74" i="21" s="1"/>
  <c r="AS74" i="21" s="1"/>
  <c r="AR71" i="21"/>
  <c r="AU71" i="21" s="1"/>
  <c r="AT71" i="21" s="1"/>
  <c r="AS71" i="21" s="1"/>
  <c r="AR58" i="21"/>
  <c r="AU58" i="21" s="1"/>
  <c r="AT58" i="21" s="1"/>
  <c r="AS58" i="21" s="1"/>
  <c r="AR56" i="21"/>
  <c r="AU56" i="21" s="1"/>
  <c r="AT56" i="21" s="1"/>
  <c r="AS56" i="21" s="1"/>
  <c r="AR54" i="21"/>
  <c r="AU54" i="21" s="1"/>
  <c r="AT54" i="21" s="1"/>
  <c r="AS54" i="21" s="1"/>
  <c r="AR52" i="21"/>
  <c r="AU52" i="21" s="1"/>
  <c r="AT52" i="21" s="1"/>
  <c r="AS52" i="21" s="1"/>
  <c r="AR50" i="21"/>
  <c r="AU50" i="21" s="1"/>
  <c r="AT50" i="21" s="1"/>
  <c r="AS50" i="21" s="1"/>
  <c r="AR47" i="21"/>
  <c r="AU47" i="21" s="1"/>
  <c r="AT47" i="21" s="1"/>
  <c r="AS47" i="21" s="1"/>
  <c r="AR41" i="21"/>
  <c r="AU41" i="21" s="1"/>
  <c r="AT41" i="21" s="1"/>
  <c r="AS41" i="21" s="1"/>
  <c r="AR39" i="21"/>
  <c r="AU39" i="21" s="1"/>
  <c r="AT39" i="21" s="1"/>
  <c r="AS39" i="21" s="1"/>
  <c r="AR38" i="21"/>
  <c r="AU38" i="21" s="1"/>
  <c r="AT38" i="21" s="1"/>
  <c r="AS38" i="21" s="1"/>
  <c r="AR33" i="21"/>
  <c r="AU33" i="21" s="1"/>
  <c r="AT33" i="21" s="1"/>
  <c r="AS33" i="21" s="1"/>
  <c r="AR25" i="21"/>
  <c r="AU25" i="21" s="1"/>
  <c r="AT25" i="21" s="1"/>
  <c r="AS25" i="21" s="1"/>
  <c r="AR23" i="21"/>
  <c r="AU23" i="21" s="1"/>
  <c r="AT23" i="21" s="1"/>
  <c r="AS23" i="21" s="1"/>
  <c r="AR16" i="21"/>
  <c r="AU16" i="21" s="1"/>
  <c r="AT16" i="21" s="1"/>
  <c r="AS16" i="21" s="1"/>
  <c r="AR14" i="21"/>
  <c r="AU14" i="21" s="1"/>
  <c r="AT14" i="21" s="1"/>
  <c r="AS14" i="21" s="1"/>
  <c r="AR13" i="21"/>
  <c r="AU13" i="21" s="1"/>
  <c r="AT13" i="21" s="1"/>
  <c r="AS13" i="21" s="1"/>
  <c r="S18" i="22"/>
  <c r="R18" i="22" s="1"/>
  <c r="Q18" i="22" s="1"/>
  <c r="I12" i="18"/>
  <c r="AF12" i="18"/>
  <c r="AE12" i="18" s="1"/>
  <c r="AR21" i="20"/>
  <c r="AU21" i="20" s="1"/>
  <c r="AT21" i="20" s="1"/>
  <c r="AS21" i="20" s="1"/>
  <c r="AX17" i="20" s="1"/>
  <c r="AR9" i="20"/>
  <c r="AU9" i="20" s="1"/>
  <c r="AT9" i="20" s="1"/>
  <c r="AS9" i="20" s="1"/>
  <c r="S7" i="20"/>
  <c r="R7" i="20" s="1"/>
  <c r="Q7" i="20" s="1"/>
  <c r="AR36" i="21"/>
  <c r="AU36" i="21" s="1"/>
  <c r="AT36" i="21" s="1"/>
  <c r="AS36" i="21" s="1"/>
  <c r="AR22" i="21"/>
  <c r="AU22" i="21" s="1"/>
  <c r="AT22" i="21" s="1"/>
  <c r="AS22" i="21" s="1"/>
  <c r="AR21" i="21"/>
  <c r="AU21" i="21" s="1"/>
  <c r="AT21" i="21" s="1"/>
  <c r="AS21" i="21" s="1"/>
  <c r="AR11" i="21"/>
  <c r="AU11" i="21" s="1"/>
  <c r="AT11" i="21" s="1"/>
  <c r="AS11" i="21" s="1"/>
  <c r="AF10" i="24"/>
  <c r="AE10" i="24" s="1"/>
  <c r="AG10" i="24" s="1"/>
  <c r="AF6" i="24"/>
  <c r="AE6" i="24" s="1"/>
  <c r="AG6" i="24" s="1"/>
  <c r="AF10" i="18"/>
  <c r="AE10" i="18" s="1"/>
  <c r="AF12" i="22"/>
  <c r="AE12" i="22" s="1"/>
  <c r="AR10" i="22"/>
  <c r="AU10" i="22" s="1"/>
  <c r="AT10" i="22" s="1"/>
  <c r="AS10" i="22" s="1"/>
  <c r="S21" i="22"/>
  <c r="R21" i="22" s="1"/>
  <c r="Q21" i="22" s="1"/>
  <c r="S19" i="22"/>
  <c r="R19" i="22" s="1"/>
  <c r="Q19" i="22" s="1"/>
  <c r="S17" i="22"/>
  <c r="R17" i="22" s="1"/>
  <c r="Q17" i="22" s="1"/>
  <c r="AF13" i="22"/>
  <c r="AE13" i="22" s="1"/>
  <c r="AR11" i="22"/>
  <c r="AU11" i="22" s="1"/>
  <c r="AT11" i="22" s="1"/>
  <c r="AS11" i="22" s="1"/>
  <c r="AQ6" i="23"/>
  <c r="AU26" i="23"/>
  <c r="AT26" i="23" s="1"/>
  <c r="AS26" i="23" s="1"/>
  <c r="AV26" i="23" s="1"/>
  <c r="AR20" i="23"/>
  <c r="AU20" i="23" s="1"/>
  <c r="AT20" i="23" s="1"/>
  <c r="AS20" i="23" s="1"/>
  <c r="AV20" i="23" s="1"/>
  <c r="AR22" i="23"/>
  <c r="AU22" i="23" s="1"/>
  <c r="AT22" i="23" s="1"/>
  <c r="AS22" i="23" s="1"/>
  <c r="AV22" i="23" s="1"/>
  <c r="Q34" i="23"/>
  <c r="Q33" i="23"/>
  <c r="AU12" i="23"/>
  <c r="AT12" i="23" s="1"/>
  <c r="AS12" i="23" s="1"/>
  <c r="AV12" i="23" s="1"/>
  <c r="AE45" i="19"/>
  <c r="AG44" i="19" s="1"/>
  <c r="AF22" i="19"/>
  <c r="AE22" i="19" s="1"/>
  <c r="AG22" i="19" s="1"/>
  <c r="AF6" i="19"/>
  <c r="AE6" i="19" s="1"/>
  <c r="AF67" i="19"/>
  <c r="AE67" i="19" s="1"/>
  <c r="AF63" i="19"/>
  <c r="AE63" i="19" s="1"/>
  <c r="AF143" i="19"/>
  <c r="AE143" i="19" s="1"/>
  <c r="AG143" i="19" s="1"/>
  <c r="S130" i="19"/>
  <c r="R130" i="19" s="1"/>
  <c r="Q130" i="19" s="1"/>
  <c r="AF103" i="19"/>
  <c r="AE103" i="19" s="1"/>
  <c r="AF80" i="19"/>
  <c r="AE80" i="19" s="1"/>
  <c r="AG79" i="19" s="1"/>
  <c r="AR53" i="19"/>
  <c r="AU53" i="19" s="1"/>
  <c r="AT53" i="19" s="1"/>
  <c r="AS53" i="19" s="1"/>
  <c r="AV52" i="19" s="1"/>
  <c r="S48" i="19"/>
  <c r="R48" i="19" s="1"/>
  <c r="Q48" i="19" s="1"/>
  <c r="T48" i="19" s="1"/>
  <c r="I9" i="19"/>
  <c r="AF9" i="19"/>
  <c r="AE9" i="19" s="1"/>
  <c r="S95" i="19"/>
  <c r="R95" i="19" s="1"/>
  <c r="Q95" i="19" s="1"/>
  <c r="S141" i="19"/>
  <c r="R141" i="19" s="1"/>
  <c r="Q141" i="19" s="1"/>
  <c r="S137" i="19"/>
  <c r="R137" i="19" s="1"/>
  <c r="Q137" i="19" s="1"/>
  <c r="S138" i="19"/>
  <c r="R138" i="19" s="1"/>
  <c r="Q138" i="19" s="1"/>
  <c r="S65" i="19"/>
  <c r="R65" i="19" s="1"/>
  <c r="Q65" i="19" s="1"/>
  <c r="S139" i="19"/>
  <c r="R139" i="19" s="1"/>
  <c r="Q139" i="19" s="1"/>
  <c r="S135" i="19"/>
  <c r="R135" i="19" s="1"/>
  <c r="Q135" i="19" s="1"/>
  <c r="S122" i="19"/>
  <c r="R122" i="19" s="1"/>
  <c r="Q122" i="19" s="1"/>
  <c r="S117" i="19"/>
  <c r="R117" i="19" s="1"/>
  <c r="Q117" i="19" s="1"/>
  <c r="S113" i="19"/>
  <c r="R113" i="19" s="1"/>
  <c r="Q113" i="19" s="1"/>
  <c r="AF105" i="19"/>
  <c r="AE105" i="19" s="1"/>
  <c r="AE56" i="19"/>
  <c r="S140" i="19"/>
  <c r="R140" i="19" s="1"/>
  <c r="Q140" i="19" s="1"/>
  <c r="S136" i="19"/>
  <c r="R136" i="19" s="1"/>
  <c r="Q136" i="19" s="1"/>
  <c r="S86" i="19"/>
  <c r="R86" i="19" s="1"/>
  <c r="Q86" i="19" s="1"/>
  <c r="AF53" i="19"/>
  <c r="AE53" i="19" s="1"/>
  <c r="AG52" i="19" s="1"/>
  <c r="AF41" i="19"/>
  <c r="AE41" i="19" s="1"/>
  <c r="AE39" i="19"/>
  <c r="S35" i="19"/>
  <c r="R35" i="19" s="1"/>
  <c r="Q35" i="19" s="1"/>
  <c r="AR70" i="19"/>
  <c r="AU70" i="19" s="1"/>
  <c r="AT70" i="19" s="1"/>
  <c r="AS70" i="19" s="1"/>
  <c r="S41" i="19"/>
  <c r="R41" i="19" s="1"/>
  <c r="Q41" i="19" s="1"/>
  <c r="S38" i="19"/>
  <c r="R38" i="19" s="1"/>
  <c r="Q38" i="19" s="1"/>
  <c r="S102" i="19"/>
  <c r="R102" i="19" s="1"/>
  <c r="Q102" i="19" s="1"/>
  <c r="S71" i="19"/>
  <c r="R71" i="19" s="1"/>
  <c r="Q71" i="19" s="1"/>
  <c r="S70" i="19"/>
  <c r="R70" i="19" s="1"/>
  <c r="Q70" i="19" s="1"/>
  <c r="S100" i="19"/>
  <c r="R100" i="19" s="1"/>
  <c r="Q100" i="19" s="1"/>
  <c r="S129" i="19"/>
  <c r="R129" i="19" s="1"/>
  <c r="Q129" i="19" s="1"/>
  <c r="S128" i="19"/>
  <c r="R128" i="19" s="1"/>
  <c r="Q128" i="19" s="1"/>
  <c r="S121" i="19"/>
  <c r="R121" i="19" s="1"/>
  <c r="Q121" i="19" s="1"/>
  <c r="S116" i="19"/>
  <c r="R116" i="19" s="1"/>
  <c r="Q116" i="19" s="1"/>
  <c r="R82" i="19"/>
  <c r="Q82" i="19" s="1"/>
  <c r="AR22" i="19"/>
  <c r="AF16" i="19"/>
  <c r="AE16" i="19" s="1"/>
  <c r="AG16" i="19" s="1"/>
  <c r="S96" i="19"/>
  <c r="R96" i="19" s="1"/>
  <c r="Q96" i="19" s="1"/>
  <c r="S79" i="19"/>
  <c r="R79" i="19" s="1"/>
  <c r="Q79" i="19" s="1"/>
  <c r="AU58" i="19"/>
  <c r="AT58" i="19" s="1"/>
  <c r="AS58" i="19" s="1"/>
  <c r="S53" i="19"/>
  <c r="R53" i="19" s="1"/>
  <c r="Q53" i="19" s="1"/>
  <c r="S22" i="19"/>
  <c r="R22" i="19" s="1"/>
  <c r="Q22" i="19" s="1"/>
  <c r="T22" i="19" s="1"/>
  <c r="S97" i="19"/>
  <c r="R97" i="19" s="1"/>
  <c r="Q97" i="19" s="1"/>
  <c r="S93" i="19"/>
  <c r="R93" i="19" s="1"/>
  <c r="Q93" i="19" s="1"/>
  <c r="S85" i="19"/>
  <c r="R85" i="19" s="1"/>
  <c r="Q85" i="19" s="1"/>
  <c r="S73" i="19"/>
  <c r="R73" i="19" s="1"/>
  <c r="Q73" i="19" s="1"/>
  <c r="S66" i="19"/>
  <c r="R66" i="19" s="1"/>
  <c r="Q66" i="19" s="1"/>
  <c r="AF58" i="19"/>
  <c r="AE58" i="19" s="1"/>
  <c r="S36" i="19"/>
  <c r="R36" i="19" s="1"/>
  <c r="Q36" i="19" s="1"/>
  <c r="S74" i="19"/>
  <c r="R74" i="19" s="1"/>
  <c r="Q74" i="19" s="1"/>
  <c r="S127" i="19"/>
  <c r="R127" i="19" s="1"/>
  <c r="Q127" i="19" s="1"/>
  <c r="S126" i="19"/>
  <c r="R126" i="19" s="1"/>
  <c r="Q126" i="19" s="1"/>
  <c r="S125" i="19"/>
  <c r="R125" i="19" s="1"/>
  <c r="Q125" i="19" s="1"/>
  <c r="S124" i="19"/>
  <c r="R124" i="19" s="1"/>
  <c r="Q124" i="19" s="1"/>
  <c r="S123" i="19"/>
  <c r="R123" i="19" s="1"/>
  <c r="Q123" i="19" s="1"/>
  <c r="S118" i="19"/>
  <c r="R118" i="19" s="1"/>
  <c r="Q118" i="19" s="1"/>
  <c r="S114" i="19"/>
  <c r="R114" i="19" s="1"/>
  <c r="Q114" i="19" s="1"/>
  <c r="AE112" i="19"/>
  <c r="AG111" i="19" s="1"/>
  <c r="AF104" i="19"/>
  <c r="AE104" i="19" s="1"/>
  <c r="S101" i="19"/>
  <c r="R101" i="19" s="1"/>
  <c r="Q101" i="19" s="1"/>
  <c r="AE76" i="19"/>
  <c r="AF70" i="19"/>
  <c r="AE70" i="19" s="1"/>
  <c r="S61" i="19"/>
  <c r="R61" i="19" s="1"/>
  <c r="Q61" i="19" s="1"/>
  <c r="S44" i="19"/>
  <c r="R44" i="19" s="1"/>
  <c r="Q44" i="19" s="1"/>
  <c r="T44" i="19" s="1"/>
  <c r="S42" i="19"/>
  <c r="R42" i="19" s="1"/>
  <c r="Q42" i="19" s="1"/>
  <c r="AR41" i="19"/>
  <c r="AU41" i="19" s="1"/>
  <c r="AT41" i="19" s="1"/>
  <c r="AS41" i="19" s="1"/>
  <c r="S62" i="19"/>
  <c r="R62" i="19" s="1"/>
  <c r="Q62" i="19" s="1"/>
  <c r="S119" i="19"/>
  <c r="R119" i="19" s="1"/>
  <c r="Q119" i="19" s="1"/>
  <c r="S115" i="19"/>
  <c r="R115" i="19" s="1"/>
  <c r="Q115" i="19" s="1"/>
  <c r="S99" i="19"/>
  <c r="R99" i="19" s="1"/>
  <c r="Q99" i="19" s="1"/>
  <c r="S94" i="19"/>
  <c r="R94" i="19" s="1"/>
  <c r="Q94" i="19" s="1"/>
  <c r="S75" i="19"/>
  <c r="R75" i="19" s="1"/>
  <c r="Q75" i="19" s="1"/>
  <c r="S55" i="19"/>
  <c r="R55" i="19" s="1"/>
  <c r="Q55" i="19" s="1"/>
  <c r="T55" i="19" s="1"/>
  <c r="AE7" i="19"/>
  <c r="AU14" i="23"/>
  <c r="AT14" i="23" s="1"/>
  <c r="AS14" i="23" s="1"/>
  <c r="AU10" i="23"/>
  <c r="AT10" i="23" s="1"/>
  <c r="AS10" i="23" s="1"/>
  <c r="AU15" i="23"/>
  <c r="AT15" i="23" s="1"/>
  <c r="AS15" i="23" s="1"/>
  <c r="AU6" i="23"/>
  <c r="AT6" i="23" s="1"/>
  <c r="AS6" i="23" s="1"/>
  <c r="AU7" i="23"/>
  <c r="AT7" i="23" s="1"/>
  <c r="AS7" i="23" s="1"/>
  <c r="AU9" i="23"/>
  <c r="AT9" i="23" s="1"/>
  <c r="AS9" i="23" s="1"/>
  <c r="AU106" i="21"/>
  <c r="AT106" i="21" s="1"/>
  <c r="AS106" i="21" s="1"/>
  <c r="AR10" i="21"/>
  <c r="AU10" i="21" s="1"/>
  <c r="AT10" i="21" s="1"/>
  <c r="AS10" i="21" s="1"/>
  <c r="AE131" i="19"/>
  <c r="AG121" i="19" s="1"/>
  <c r="S111" i="19"/>
  <c r="R111" i="19" s="1"/>
  <c r="Q111" i="19" s="1"/>
  <c r="S72" i="19"/>
  <c r="R72" i="19" s="1"/>
  <c r="Q72" i="19" s="1"/>
  <c r="S52" i="19"/>
  <c r="R52" i="19" s="1"/>
  <c r="Q52" i="19" s="1"/>
  <c r="S33" i="19"/>
  <c r="R33" i="19" s="1"/>
  <c r="Q33" i="19" s="1"/>
  <c r="T33" i="19" s="1"/>
  <c r="AV17" i="20" l="1"/>
  <c r="AI23" i="20"/>
  <c r="AW17" i="20"/>
  <c r="AG23" i="20"/>
  <c r="AI17" i="20"/>
  <c r="Q35" i="20"/>
  <c r="T40" i="23"/>
  <c r="U40" i="23" s="1"/>
  <c r="AE34" i="23"/>
  <c r="AE36" i="23"/>
  <c r="AG34" i="23"/>
  <c r="AE33" i="23"/>
  <c r="AE35" i="23"/>
  <c r="AG39" i="23"/>
  <c r="AE38" i="23"/>
  <c r="AH18" i="18"/>
  <c r="T15" i="22"/>
  <c r="T30" i="22" s="1"/>
  <c r="AG99" i="19"/>
  <c r="AG21" i="24"/>
  <c r="AG23" i="24" s="1"/>
  <c r="AH23" i="24" s="1"/>
  <c r="AG19" i="24"/>
  <c r="AG15" i="24"/>
  <c r="AG18" i="24"/>
  <c r="AG16" i="24"/>
  <c r="AG17" i="24"/>
  <c r="AG20" i="24"/>
  <c r="T41" i="23"/>
  <c r="U41" i="23" s="1"/>
  <c r="AI15" i="22"/>
  <c r="AW79" i="19"/>
  <c r="AX79" i="19"/>
  <c r="AG35" i="23"/>
  <c r="AG33" i="23"/>
  <c r="AE37" i="23"/>
  <c r="AG37" i="23"/>
  <c r="AE122" i="21"/>
  <c r="AE119" i="21"/>
  <c r="AI16" i="19"/>
  <c r="AH16" i="19"/>
  <c r="Q26" i="18"/>
  <c r="V18" i="18"/>
  <c r="AI18" i="18"/>
  <c r="AH17" i="20"/>
  <c r="AG36" i="23"/>
  <c r="AV6" i="23"/>
  <c r="AW6" i="23"/>
  <c r="AX6" i="23"/>
  <c r="AE121" i="21"/>
  <c r="AE123" i="21"/>
  <c r="AG112" i="21"/>
  <c r="AG118" i="21" s="1"/>
  <c r="AI112" i="21"/>
  <c r="AE118" i="21"/>
  <c r="AH112" i="21"/>
  <c r="AX92" i="21"/>
  <c r="AW92" i="21"/>
  <c r="AH15" i="22"/>
  <c r="AW15" i="22"/>
  <c r="AV92" i="21"/>
  <c r="AG17" i="20"/>
  <c r="Q25" i="18"/>
  <c r="T18" i="18"/>
  <c r="Q30" i="18"/>
  <c r="AS49" i="23"/>
  <c r="AX15" i="22"/>
  <c r="AV49" i="21"/>
  <c r="AG18" i="18"/>
  <c r="AV15" i="22"/>
  <c r="AW49" i="21"/>
  <c r="U18" i="18"/>
  <c r="Q29" i="18"/>
  <c r="AE34" i="20"/>
  <c r="AH6" i="20"/>
  <c r="AE32" i="20"/>
  <c r="AI6" i="20"/>
  <c r="AE35" i="20"/>
  <c r="AE36" i="20"/>
  <c r="AG6" i="20"/>
  <c r="AE33" i="20"/>
  <c r="AE31" i="20"/>
  <c r="AX32" i="21"/>
  <c r="AW32" i="21"/>
  <c r="T118" i="21"/>
  <c r="T121" i="21"/>
  <c r="T120" i="21"/>
  <c r="AX9" i="23"/>
  <c r="AW9" i="23"/>
  <c r="AV9" i="23"/>
  <c r="AS34" i="22"/>
  <c r="AS35" i="20"/>
  <c r="AS31" i="20"/>
  <c r="AW6" i="20"/>
  <c r="AS34" i="20"/>
  <c r="AS33" i="20"/>
  <c r="AS36" i="20"/>
  <c r="AS32" i="20"/>
  <c r="AX6" i="20"/>
  <c r="AV6" i="20"/>
  <c r="AV32" i="21"/>
  <c r="Q31" i="20"/>
  <c r="T6" i="20"/>
  <c r="AE30" i="18"/>
  <c r="AE28" i="18"/>
  <c r="AE29" i="18"/>
  <c r="AE27" i="18"/>
  <c r="AI6" i="18"/>
  <c r="AH6" i="18"/>
  <c r="AG6" i="18"/>
  <c r="AE25" i="18"/>
  <c r="AE26" i="18"/>
  <c r="V6" i="20"/>
  <c r="Q34" i="20"/>
  <c r="Q32" i="22"/>
  <c r="Q28" i="18"/>
  <c r="Q36" i="20"/>
  <c r="U6" i="20"/>
  <c r="AX49" i="21"/>
  <c r="AX100" i="21"/>
  <c r="AW100" i="21"/>
  <c r="AV100" i="21"/>
  <c r="AS48" i="23"/>
  <c r="AE18" i="24"/>
  <c r="AE20" i="24"/>
  <c r="AE17" i="24"/>
  <c r="AE19" i="24"/>
  <c r="AE15" i="24"/>
  <c r="AE16" i="24"/>
  <c r="Q32" i="20"/>
  <c r="Q33" i="20"/>
  <c r="AW23" i="20"/>
  <c r="AV23" i="20"/>
  <c r="AX23" i="20"/>
  <c r="AS35" i="22"/>
  <c r="AH10" i="22"/>
  <c r="AI10" i="22"/>
  <c r="AG10" i="22"/>
  <c r="AE32" i="22"/>
  <c r="AE34" i="22"/>
  <c r="AE35" i="22"/>
  <c r="AE33" i="22"/>
  <c r="AE30" i="22"/>
  <c r="AE31" i="22"/>
  <c r="Q31" i="22"/>
  <c r="Q35" i="22"/>
  <c r="V15" i="22"/>
  <c r="AS30" i="22"/>
  <c r="AS33" i="22"/>
  <c r="Q30" i="22"/>
  <c r="U15" i="22"/>
  <c r="AS31" i="22"/>
  <c r="AS32" i="22"/>
  <c r="Q34" i="22"/>
  <c r="Q33" i="22"/>
  <c r="AV10" i="22"/>
  <c r="AV36" i="22" s="1"/>
  <c r="AX10" i="22"/>
  <c r="AW10" i="22"/>
  <c r="T85" i="19"/>
  <c r="U85" i="19"/>
  <c r="V85" i="19"/>
  <c r="U52" i="19"/>
  <c r="V52" i="19"/>
  <c r="T52" i="19"/>
  <c r="V35" i="19"/>
  <c r="T35" i="19"/>
  <c r="U35" i="19"/>
  <c r="V93" i="19"/>
  <c r="U93" i="19"/>
  <c r="T93" i="19"/>
  <c r="T38" i="19"/>
  <c r="V38" i="19"/>
  <c r="U38" i="19"/>
  <c r="V79" i="19"/>
  <c r="T79" i="19"/>
  <c r="U79" i="19"/>
  <c r="V111" i="19"/>
  <c r="U111" i="19"/>
  <c r="T111" i="19"/>
  <c r="T121" i="19"/>
  <c r="V121" i="19"/>
  <c r="U121" i="19"/>
  <c r="AI38" i="19"/>
  <c r="AH38" i="19"/>
  <c r="AG38" i="19"/>
  <c r="V99" i="19"/>
  <c r="U99" i="19"/>
  <c r="T99" i="19"/>
  <c r="Q150" i="19"/>
  <c r="Q153" i="19"/>
  <c r="Q149" i="19"/>
  <c r="Q152" i="19"/>
  <c r="Q148" i="19"/>
  <c r="Q151" i="19"/>
  <c r="T70" i="19"/>
  <c r="V70" i="19"/>
  <c r="U70" i="19"/>
  <c r="U135" i="19"/>
  <c r="T135" i="19"/>
  <c r="V135" i="19"/>
  <c r="AH61" i="19"/>
  <c r="AG61" i="19"/>
  <c r="AI61" i="19"/>
  <c r="AE153" i="19"/>
  <c r="AE149" i="19"/>
  <c r="AE152" i="19"/>
  <c r="AE148" i="19"/>
  <c r="AE151" i="19"/>
  <c r="AE150" i="19"/>
  <c r="V61" i="19"/>
  <c r="U61" i="19"/>
  <c r="T61" i="19"/>
  <c r="AI99" i="19"/>
  <c r="AH99" i="19"/>
  <c r="AI70" i="19"/>
  <c r="AH70" i="19"/>
  <c r="AG70" i="19"/>
  <c r="AG55" i="19"/>
  <c r="AI55" i="19"/>
  <c r="AH55" i="19"/>
  <c r="AS46" i="23"/>
  <c r="AS45" i="23"/>
  <c r="AI6" i="19"/>
  <c r="AH6" i="19"/>
  <c r="AG6" i="19"/>
  <c r="AG154" i="19" s="1"/>
  <c r="AU77" i="19"/>
  <c r="AT77" i="19" s="1"/>
  <c r="AS77" i="19" s="1"/>
  <c r="AX70" i="19" s="1"/>
  <c r="AV44" i="19"/>
  <c r="AU40" i="19"/>
  <c r="AT40" i="19" s="1"/>
  <c r="AS40" i="19" s="1"/>
  <c r="AU57" i="19"/>
  <c r="AT57" i="19" s="1"/>
  <c r="AS57" i="19" s="1"/>
  <c r="AU22" i="19"/>
  <c r="AT22" i="19" s="1"/>
  <c r="AS22" i="19" s="1"/>
  <c r="AV22" i="19" s="1"/>
  <c r="AU132" i="19"/>
  <c r="AT132" i="19" s="1"/>
  <c r="AS132" i="19" s="1"/>
  <c r="AU107" i="19"/>
  <c r="AT107" i="19" s="1"/>
  <c r="AS107" i="19" s="1"/>
  <c r="AU64" i="19"/>
  <c r="AT64" i="19" s="1"/>
  <c r="AS64" i="19" s="1"/>
  <c r="AU131" i="19"/>
  <c r="AT131" i="19" s="1"/>
  <c r="AS131" i="19" s="1"/>
  <c r="AU68" i="19"/>
  <c r="AT68" i="19" s="1"/>
  <c r="AS68" i="19" s="1"/>
  <c r="AU133" i="19"/>
  <c r="AT133" i="19" s="1"/>
  <c r="AS133" i="19" s="1"/>
  <c r="AU108" i="19"/>
  <c r="AT108" i="19" s="1"/>
  <c r="AS108" i="19" s="1"/>
  <c r="AU106" i="19"/>
  <c r="AT106" i="19" s="1"/>
  <c r="AS106" i="19" s="1"/>
  <c r="AU112" i="19"/>
  <c r="AT112" i="19" s="1"/>
  <c r="AS112" i="19" s="1"/>
  <c r="AV111" i="19" s="1"/>
  <c r="AQ16" i="23"/>
  <c r="AU16" i="23"/>
  <c r="AT16" i="23" s="1"/>
  <c r="AS16" i="23" s="1"/>
  <c r="AS35" i="23" s="1"/>
  <c r="T154" i="19" l="1"/>
  <c r="AV37" i="20"/>
  <c r="AV39" i="23"/>
  <c r="AG22" i="24"/>
  <c r="AH22" i="24" s="1"/>
  <c r="AG41" i="23"/>
  <c r="AH41" i="23" s="1"/>
  <c r="AG40" i="23"/>
  <c r="AH40" i="23" s="1"/>
  <c r="AS148" i="19"/>
  <c r="T32" i="22"/>
  <c r="T31" i="20"/>
  <c r="T33" i="20"/>
  <c r="AG148" i="19"/>
  <c r="T148" i="19"/>
  <c r="T149" i="19"/>
  <c r="T25" i="18"/>
  <c r="T27" i="18"/>
  <c r="AW14" i="23"/>
  <c r="AS36" i="23"/>
  <c r="AV14" i="23"/>
  <c r="AV35" i="23" s="1"/>
  <c r="AS38" i="23"/>
  <c r="AG35" i="20"/>
  <c r="AG32" i="20"/>
  <c r="AG31" i="20"/>
  <c r="AG34" i="20"/>
  <c r="AG36" i="20"/>
  <c r="AG33" i="20"/>
  <c r="AX14" i="23"/>
  <c r="AS37" i="23"/>
  <c r="AV33" i="20"/>
  <c r="AV32" i="20"/>
  <c r="AV35" i="20"/>
  <c r="AV31" i="20"/>
  <c r="AV34" i="20"/>
  <c r="AV36" i="20"/>
  <c r="AV37" i="23"/>
  <c r="AV33" i="23"/>
  <c r="AV36" i="23"/>
  <c r="AG28" i="18"/>
  <c r="AG27" i="18"/>
  <c r="AG30" i="18"/>
  <c r="AG26" i="18"/>
  <c r="AG29" i="18"/>
  <c r="AG25" i="18"/>
  <c r="AG35" i="22"/>
  <c r="AG31" i="22"/>
  <c r="AG34" i="22"/>
  <c r="AG30" i="22"/>
  <c r="AG32" i="22"/>
  <c r="AG33" i="22"/>
  <c r="AV32" i="22"/>
  <c r="AV37" i="22" s="1"/>
  <c r="AV35" i="22"/>
  <c r="AV31" i="22"/>
  <c r="AV33" i="22"/>
  <c r="AV34" i="22"/>
  <c r="AV30" i="22"/>
  <c r="AW70" i="19"/>
  <c r="AX99" i="19"/>
  <c r="AW99" i="19"/>
  <c r="AV99" i="19"/>
  <c r="AV70" i="19"/>
  <c r="AG149" i="19"/>
  <c r="AG153" i="19"/>
  <c r="AG151" i="19"/>
  <c r="AG152" i="19"/>
  <c r="AG150" i="19"/>
  <c r="T152" i="19"/>
  <c r="T151" i="19"/>
  <c r="T153" i="19"/>
  <c r="T150" i="19"/>
  <c r="AX61" i="19"/>
  <c r="AW61" i="19"/>
  <c r="AV61" i="19"/>
  <c r="AX121" i="19"/>
  <c r="AW121" i="19"/>
  <c r="AV121" i="19"/>
  <c r="AS151" i="19"/>
  <c r="AS150" i="19"/>
  <c r="AS153" i="19"/>
  <c r="AS149" i="19"/>
  <c r="AS152" i="19"/>
  <c r="AV38" i="19"/>
  <c r="AW38" i="19"/>
  <c r="AX38" i="19"/>
  <c r="AW55" i="19"/>
  <c r="AV55" i="19"/>
  <c r="AX55" i="19"/>
  <c r="AS34" i="23"/>
  <c r="AS33" i="23"/>
  <c r="AA22" i="9"/>
  <c r="AB22" i="9"/>
  <c r="AD22" i="9" s="1"/>
  <c r="AR18" i="9"/>
  <c r="AD30" i="7"/>
  <c r="AD28" i="7"/>
  <c r="AD26" i="7"/>
  <c r="H30" i="7"/>
  <c r="I30" i="7" s="1"/>
  <c r="H28" i="7"/>
  <c r="I28" i="7" s="1"/>
  <c r="H26" i="7"/>
  <c r="AD21" i="7"/>
  <c r="H21" i="7"/>
  <c r="I21" i="7" s="1"/>
  <c r="AD18" i="7"/>
  <c r="H18" i="7"/>
  <c r="I18" i="7" s="1"/>
  <c r="AD9" i="7"/>
  <c r="AD10" i="7"/>
  <c r="H10" i="7"/>
  <c r="I10" i="7" s="1"/>
  <c r="H9" i="7"/>
  <c r="I9" i="7" s="1"/>
  <c r="H8" i="7"/>
  <c r="H7" i="7"/>
  <c r="I7" i="7" s="1"/>
  <c r="AQ7" i="7"/>
  <c r="AV154" i="19" l="1"/>
  <c r="AF21" i="7"/>
  <c r="AE21" i="7" s="1"/>
  <c r="AW37" i="22"/>
  <c r="AV38" i="22"/>
  <c r="AW38" i="22" s="1"/>
  <c r="AG155" i="19"/>
  <c r="AH155" i="19" s="1"/>
  <c r="AG156" i="19"/>
  <c r="AH156" i="19" s="1"/>
  <c r="T156" i="19"/>
  <c r="U156" i="19" s="1"/>
  <c r="T155" i="19"/>
  <c r="U155" i="19" s="1"/>
  <c r="AV38" i="20"/>
  <c r="AW38" i="20" s="1"/>
  <c r="AV39" i="20"/>
  <c r="AW39" i="20" s="1"/>
  <c r="AV40" i="23"/>
  <c r="AW40" i="23" s="1"/>
  <c r="AV41" i="23"/>
  <c r="AV34" i="23"/>
  <c r="AV38" i="23"/>
  <c r="AV148" i="19"/>
  <c r="AF28" i="7"/>
  <c r="AE28" i="7" s="1"/>
  <c r="AF30" i="7"/>
  <c r="AE30" i="7" s="1"/>
  <c r="AF9" i="7"/>
  <c r="AE9" i="7" s="1"/>
  <c r="AR7" i="7"/>
  <c r="AU7" i="7" s="1"/>
  <c r="AT7" i="7" s="1"/>
  <c r="AS7" i="7" s="1"/>
  <c r="AF10" i="7"/>
  <c r="AE10" i="7" s="1"/>
  <c r="AF26" i="7"/>
  <c r="AE26" i="7" s="1"/>
  <c r="AV153" i="19"/>
  <c r="AV149" i="19"/>
  <c r="AV152" i="19"/>
  <c r="AV151" i="19"/>
  <c r="AV150" i="19"/>
  <c r="I26" i="7"/>
  <c r="AF18" i="7"/>
  <c r="AE18" i="7" s="1"/>
  <c r="AW41" i="23" l="1"/>
  <c r="AV155" i="19"/>
  <c r="AW155" i="19" s="1"/>
  <c r="AV156" i="19"/>
  <c r="AW156" i="19" s="1"/>
  <c r="AQ8" i="9"/>
  <c r="AD31" i="6" l="1"/>
  <c r="AQ49" i="9"/>
  <c r="AQ33" i="9"/>
  <c r="AQ31" i="9"/>
  <c r="AQ46" i="9"/>
  <c r="AQ47" i="9"/>
  <c r="AQ45" i="9"/>
  <c r="AQ36" i="9"/>
  <c r="AQ37" i="9"/>
  <c r="AQ39" i="9"/>
  <c r="AQ40" i="9"/>
  <c r="AQ41" i="9"/>
  <c r="AQ42" i="9"/>
  <c r="AQ35" i="9"/>
  <c r="AQ10" i="9"/>
  <c r="AQ11" i="9"/>
  <c r="AQ13" i="9"/>
  <c r="AQ15" i="9"/>
  <c r="AQ16" i="9"/>
  <c r="AQ6" i="9"/>
  <c r="AD49" i="9" l="1"/>
  <c r="AD30" i="9"/>
  <c r="AD25" i="9"/>
  <c r="AD28" i="9"/>
  <c r="AD35" i="9"/>
  <c r="AD39" i="9"/>
  <c r="AD41" i="9"/>
  <c r="AD42" i="9"/>
  <c r="AD43" i="9"/>
  <c r="AD6" i="9"/>
  <c r="P34" i="9"/>
  <c r="O34" i="9"/>
  <c r="P32" i="9"/>
  <c r="O32" i="9"/>
  <c r="H11" i="9" l="1"/>
  <c r="I11" i="9" s="1"/>
  <c r="AR11" i="9" s="1"/>
  <c r="AU11" i="9" s="1"/>
  <c r="AT11" i="9" s="1"/>
  <c r="AS11" i="9" s="1"/>
  <c r="AN49" i="9"/>
  <c r="H40" i="9"/>
  <c r="I40" i="9" s="1"/>
  <c r="AR40" i="9" s="1"/>
  <c r="AU40" i="9" s="1"/>
  <c r="AT40" i="9" s="1"/>
  <c r="AS40" i="9" s="1"/>
  <c r="H41" i="9"/>
  <c r="AF41" i="9" s="1"/>
  <c r="AE41" i="9" s="1"/>
  <c r="H46" i="9"/>
  <c r="I46" i="9" s="1"/>
  <c r="AR46" i="9" s="1"/>
  <c r="AU46" i="9" s="1"/>
  <c r="AT46" i="9" s="1"/>
  <c r="AS46" i="9" s="1"/>
  <c r="H47" i="9"/>
  <c r="I47" i="9" s="1"/>
  <c r="AR47" i="9" s="1"/>
  <c r="AU47" i="9" s="1"/>
  <c r="AT47" i="9" s="1"/>
  <c r="AS47" i="9" s="1"/>
  <c r="H45" i="9"/>
  <c r="I45" i="9" s="1"/>
  <c r="AR45" i="9" s="1"/>
  <c r="AU45" i="9" s="1"/>
  <c r="AT45" i="9" s="1"/>
  <c r="AS45" i="9" s="1"/>
  <c r="H37" i="9"/>
  <c r="I37" i="9" s="1"/>
  <c r="AR37" i="9" s="1"/>
  <c r="AU37" i="9" s="1"/>
  <c r="AT37" i="9" s="1"/>
  <c r="AS37" i="9" s="1"/>
  <c r="H36" i="9"/>
  <c r="I36" i="9" s="1"/>
  <c r="AR36" i="9" s="1"/>
  <c r="AU36" i="9" s="1"/>
  <c r="AT36" i="9" s="1"/>
  <c r="AS36" i="9" s="1"/>
  <c r="H35" i="9"/>
  <c r="I35" i="9" s="1"/>
  <c r="AR35" i="9" s="1"/>
  <c r="AU35" i="9" s="1"/>
  <c r="AT35" i="9" s="1"/>
  <c r="AS35" i="9" s="1"/>
  <c r="H34" i="9"/>
  <c r="I34" i="9" s="1"/>
  <c r="H32" i="9"/>
  <c r="AO30" i="9"/>
  <c r="AQ30" i="9" s="1"/>
  <c r="H30" i="9"/>
  <c r="I30" i="9" s="1"/>
  <c r="AO22" i="9"/>
  <c r="AQ22" i="9" s="1"/>
  <c r="AN22" i="9"/>
  <c r="AO20" i="9"/>
  <c r="AQ20" i="9" s="1"/>
  <c r="AN20" i="9"/>
  <c r="P25" i="9"/>
  <c r="P27" i="9"/>
  <c r="P28" i="9"/>
  <c r="O25" i="9"/>
  <c r="O27" i="9"/>
  <c r="O28" i="9"/>
  <c r="O6" i="9"/>
  <c r="H8" i="9"/>
  <c r="I8" i="9" s="1"/>
  <c r="AR8" i="9" s="1"/>
  <c r="AU8" i="9" s="1"/>
  <c r="AT8" i="9" s="1"/>
  <c r="AS8" i="9" s="1"/>
  <c r="H10" i="9"/>
  <c r="I10" i="9" s="1"/>
  <c r="AR10" i="9" s="1"/>
  <c r="AU10" i="9" s="1"/>
  <c r="AT10" i="9" s="1"/>
  <c r="AS10" i="9" s="1"/>
  <c r="H13" i="9"/>
  <c r="I13" i="9" s="1"/>
  <c r="AR13" i="9" s="1"/>
  <c r="AU13" i="9" s="1"/>
  <c r="AT13" i="9" s="1"/>
  <c r="AS13" i="9" s="1"/>
  <c r="AV13" i="9" s="1"/>
  <c r="H15" i="9"/>
  <c r="I15" i="9" s="1"/>
  <c r="AR15" i="9" s="1"/>
  <c r="AU15" i="9" s="1"/>
  <c r="AT15" i="9" s="1"/>
  <c r="AS15" i="9" s="1"/>
  <c r="H16" i="9"/>
  <c r="I16" i="9" s="1"/>
  <c r="AR16" i="9" s="1"/>
  <c r="AU16" i="9" s="1"/>
  <c r="AT16" i="9" s="1"/>
  <c r="AS16" i="9" s="1"/>
  <c r="H18" i="9"/>
  <c r="H20" i="9"/>
  <c r="I20" i="9" s="1"/>
  <c r="H21" i="9"/>
  <c r="I21" i="9" s="1"/>
  <c r="H22" i="9"/>
  <c r="H23" i="9"/>
  <c r="I23" i="9" s="1"/>
  <c r="H25" i="9"/>
  <c r="H27" i="9"/>
  <c r="I27" i="9" s="1"/>
  <c r="H28" i="9"/>
  <c r="I28" i="9" s="1"/>
  <c r="H31" i="9"/>
  <c r="I31" i="9" s="1"/>
  <c r="AR31" i="9" s="1"/>
  <c r="AU31" i="9" s="1"/>
  <c r="AT31" i="9" s="1"/>
  <c r="AS31" i="9" s="1"/>
  <c r="H33" i="9"/>
  <c r="I33" i="9" s="1"/>
  <c r="AR33" i="9" s="1"/>
  <c r="AU33" i="9" s="1"/>
  <c r="AT33" i="9" s="1"/>
  <c r="AS33" i="9" s="1"/>
  <c r="H39" i="9"/>
  <c r="I39" i="9" s="1"/>
  <c r="AR39" i="9" s="1"/>
  <c r="AU39" i="9" s="1"/>
  <c r="AT39" i="9" s="1"/>
  <c r="AS39" i="9" s="1"/>
  <c r="H42" i="9"/>
  <c r="I42" i="9" s="1"/>
  <c r="AR42" i="9" s="1"/>
  <c r="AU42" i="9" s="1"/>
  <c r="AT42" i="9" s="1"/>
  <c r="AS42" i="9" s="1"/>
  <c r="H43" i="9"/>
  <c r="I43" i="9" s="1"/>
  <c r="H49" i="9"/>
  <c r="H6" i="9"/>
  <c r="I6" i="9" s="1"/>
  <c r="AR6" i="9" s="1"/>
  <c r="AU6" i="9" s="1"/>
  <c r="AT6" i="9" s="1"/>
  <c r="AS6" i="9" s="1"/>
  <c r="AQ6" i="7"/>
  <c r="AD12" i="7"/>
  <c r="AD13" i="7"/>
  <c r="AD14" i="7"/>
  <c r="AD15" i="7"/>
  <c r="AD17" i="7"/>
  <c r="AD20" i="7"/>
  <c r="AD25" i="7"/>
  <c r="AD27" i="7"/>
  <c r="AD29" i="7"/>
  <c r="AD31" i="7"/>
  <c r="AD8" i="7"/>
  <c r="I8" i="7"/>
  <c r="H12" i="7"/>
  <c r="I12" i="7" s="1"/>
  <c r="H13" i="7"/>
  <c r="I13" i="7" s="1"/>
  <c r="H14" i="7"/>
  <c r="I14" i="7" s="1"/>
  <c r="H15" i="7"/>
  <c r="I15" i="7" s="1"/>
  <c r="H17" i="7"/>
  <c r="I17" i="7" s="1"/>
  <c r="H20" i="7"/>
  <c r="I20" i="7" s="1"/>
  <c r="H25" i="7"/>
  <c r="I25" i="7" s="1"/>
  <c r="H27" i="7"/>
  <c r="I27" i="7" s="1"/>
  <c r="H29" i="7"/>
  <c r="I29" i="7" s="1"/>
  <c r="H31" i="7"/>
  <c r="I31" i="7" s="1"/>
  <c r="H6" i="7"/>
  <c r="I6" i="7" s="1"/>
  <c r="AD34" i="6"/>
  <c r="AD33" i="6"/>
  <c r="AD32" i="6"/>
  <c r="AD26" i="6"/>
  <c r="P10" i="6"/>
  <c r="P14" i="6"/>
  <c r="P16" i="6"/>
  <c r="P19" i="6"/>
  <c r="P20" i="6"/>
  <c r="P21" i="6"/>
  <c r="P22" i="6"/>
  <c r="P24" i="6"/>
  <c r="P9" i="6"/>
  <c r="H31" i="6"/>
  <c r="H6" i="6"/>
  <c r="I6" i="6" s="1"/>
  <c r="AR6" i="6" s="1"/>
  <c r="H9" i="6"/>
  <c r="H10" i="6"/>
  <c r="H12" i="6"/>
  <c r="I12" i="6" s="1"/>
  <c r="H14" i="6"/>
  <c r="I14" i="6" s="1"/>
  <c r="AR14" i="6" s="1"/>
  <c r="H16" i="6"/>
  <c r="I16" i="6" s="1"/>
  <c r="AR16" i="6" s="1"/>
  <c r="H18" i="6"/>
  <c r="I18" i="6" s="1"/>
  <c r="AR18" i="6" s="1"/>
  <c r="H19" i="6"/>
  <c r="I19" i="6" s="1"/>
  <c r="H20" i="6"/>
  <c r="H21" i="6"/>
  <c r="I21" i="6" s="1"/>
  <c r="H22" i="6"/>
  <c r="I22" i="6" s="1"/>
  <c r="H24" i="6"/>
  <c r="H26" i="6"/>
  <c r="I26" i="6" s="1"/>
  <c r="AR26" i="6" s="1"/>
  <c r="H28" i="6"/>
  <c r="I28" i="6" s="1"/>
  <c r="AR28" i="6" s="1"/>
  <c r="H29" i="6"/>
  <c r="I29" i="6" s="1"/>
  <c r="AR29" i="6" s="1"/>
  <c r="H32" i="6"/>
  <c r="I32" i="6" s="1"/>
  <c r="AR32" i="6" s="1"/>
  <c r="H33" i="6"/>
  <c r="I33" i="6" s="1"/>
  <c r="H34" i="6"/>
  <c r="I34" i="6" s="1"/>
  <c r="AV6" i="9" l="1"/>
  <c r="AF20" i="6"/>
  <c r="AE20" i="6" s="1"/>
  <c r="AU26" i="6"/>
  <c r="AT26" i="6" s="1"/>
  <c r="AS26" i="6" s="1"/>
  <c r="AV26" i="6" s="1"/>
  <c r="AU32" i="6"/>
  <c r="AT32" i="6" s="1"/>
  <c r="AS32" i="6" s="1"/>
  <c r="AU29" i="6"/>
  <c r="AT29" i="6" s="1"/>
  <c r="AS29" i="6" s="1"/>
  <c r="AU18" i="6"/>
  <c r="AT18" i="6" s="1"/>
  <c r="AS18" i="6" s="1"/>
  <c r="AV18" i="6" s="1"/>
  <c r="AU28" i="6"/>
  <c r="AT28" i="6" s="1"/>
  <c r="AS28" i="6" s="1"/>
  <c r="AU16" i="6"/>
  <c r="AT16" i="6" s="1"/>
  <c r="AS16" i="6" s="1"/>
  <c r="AV16" i="6" s="1"/>
  <c r="AU14" i="6"/>
  <c r="AT14" i="6" s="1"/>
  <c r="AS14" i="6" s="1"/>
  <c r="AV14" i="6" s="1"/>
  <c r="AU6" i="6"/>
  <c r="AT6" i="6" s="1"/>
  <c r="AS6" i="6" s="1"/>
  <c r="AW45" i="9"/>
  <c r="AV45" i="9"/>
  <c r="AX45" i="9"/>
  <c r="AX15" i="9"/>
  <c r="AW15" i="9"/>
  <c r="AV15" i="9"/>
  <c r="AW8" i="9"/>
  <c r="AV8" i="9"/>
  <c r="AX8" i="9"/>
  <c r="I18" i="9"/>
  <c r="AQ18" i="9" s="1"/>
  <c r="AU18" i="9"/>
  <c r="AT18" i="9" s="1"/>
  <c r="AS18" i="9" s="1"/>
  <c r="AV18" i="9" s="1"/>
  <c r="I22" i="9"/>
  <c r="AR22" i="9" s="1"/>
  <c r="AU22" i="9" s="1"/>
  <c r="AT22" i="9" s="1"/>
  <c r="AS22" i="9" s="1"/>
  <c r="AF22" i="9"/>
  <c r="AE22" i="9" s="1"/>
  <c r="AG20" i="9" s="1"/>
  <c r="AF24" i="6"/>
  <c r="AE24" i="6" s="1"/>
  <c r="AG24" i="6" s="1"/>
  <c r="AF39" i="9"/>
  <c r="AE39" i="9" s="1"/>
  <c r="AR6" i="7"/>
  <c r="AU6" i="7" s="1"/>
  <c r="AT6" i="7" s="1"/>
  <c r="AS6" i="7" s="1"/>
  <c r="I31" i="6"/>
  <c r="AR31" i="6" s="1"/>
  <c r="AU31" i="6" s="1"/>
  <c r="AT31" i="6" s="1"/>
  <c r="AS31" i="6" s="1"/>
  <c r="AF31" i="6"/>
  <c r="AE31" i="6" s="1"/>
  <c r="AF31" i="7"/>
  <c r="AE31" i="7" s="1"/>
  <c r="AG31" i="7" s="1"/>
  <c r="AF14" i="7"/>
  <c r="AE14" i="7" s="1"/>
  <c r="AF25" i="7"/>
  <c r="AE25" i="7" s="1"/>
  <c r="AF8" i="7"/>
  <c r="AE8" i="7" s="1"/>
  <c r="AF29" i="7"/>
  <c r="AE29" i="7" s="1"/>
  <c r="AF20" i="7"/>
  <c r="AE20" i="7" s="1"/>
  <c r="AI20" i="7" s="1"/>
  <c r="AF15" i="7"/>
  <c r="AE15" i="7" s="1"/>
  <c r="AF27" i="7"/>
  <c r="AE27" i="7" s="1"/>
  <c r="AF17" i="7"/>
  <c r="AE17" i="7" s="1"/>
  <c r="AF12" i="7"/>
  <c r="AE12" i="7" s="1"/>
  <c r="AF13" i="7"/>
  <c r="AE13" i="7" s="1"/>
  <c r="S20" i="6"/>
  <c r="R20" i="6" s="1"/>
  <c r="Q20" i="6" s="1"/>
  <c r="S21" i="6"/>
  <c r="R21" i="6" s="1"/>
  <c r="Q21" i="6" s="1"/>
  <c r="S14" i="6"/>
  <c r="R14" i="6" s="1"/>
  <c r="Q14" i="6" s="1"/>
  <c r="T14" i="6" s="1"/>
  <c r="AF26" i="6"/>
  <c r="AE26" i="6" s="1"/>
  <c r="AG26" i="6" s="1"/>
  <c r="AF12" i="6"/>
  <c r="AE12" i="6" s="1"/>
  <c r="AF19" i="6"/>
  <c r="AE19" i="6" s="1"/>
  <c r="I41" i="9"/>
  <c r="AR41" i="9" s="1"/>
  <c r="AU41" i="9" s="1"/>
  <c r="AT41" i="9" s="1"/>
  <c r="AS41" i="9" s="1"/>
  <c r="AX39" i="9" s="1"/>
  <c r="AR20" i="9"/>
  <c r="AU20" i="9" s="1"/>
  <c r="AT20" i="9" s="1"/>
  <c r="AS20" i="9" s="1"/>
  <c r="AR30" i="9"/>
  <c r="AU30" i="9" s="1"/>
  <c r="AT30" i="9" s="1"/>
  <c r="AS30" i="9" s="1"/>
  <c r="AF30" i="9"/>
  <c r="AE30" i="9" s="1"/>
  <c r="I32" i="9"/>
  <c r="S32" i="9"/>
  <c r="R32" i="9" s="1"/>
  <c r="Q32" i="9" s="1"/>
  <c r="AF42" i="9"/>
  <c r="AE42" i="9" s="1"/>
  <c r="AF6" i="9"/>
  <c r="AE6" i="9" s="1"/>
  <c r="AG6" i="9" s="1"/>
  <c r="I49" i="9"/>
  <c r="AR49" i="9" s="1"/>
  <c r="AU49" i="9" s="1"/>
  <c r="AT49" i="9" s="1"/>
  <c r="AS49" i="9" s="1"/>
  <c r="AV49" i="9" s="1"/>
  <c r="AF49" i="9"/>
  <c r="AE49" i="9" s="1"/>
  <c r="AG49" i="9" s="1"/>
  <c r="I25" i="9"/>
  <c r="AF25" i="9"/>
  <c r="AE25" i="9" s="1"/>
  <c r="AG25" i="9" s="1"/>
  <c r="S34" i="9"/>
  <c r="R34" i="9" s="1"/>
  <c r="Q34" i="9" s="1"/>
  <c r="AF35" i="9"/>
  <c r="AE35" i="9" s="1"/>
  <c r="AF28" i="9"/>
  <c r="AE28" i="9" s="1"/>
  <c r="AF43" i="9"/>
  <c r="AE43" i="9" s="1"/>
  <c r="S6" i="9"/>
  <c r="R6" i="9" s="1"/>
  <c r="Q6" i="9" s="1"/>
  <c r="T6" i="9" s="1"/>
  <c r="S27" i="9"/>
  <c r="R27" i="9" s="1"/>
  <c r="Q27" i="9" s="1"/>
  <c r="S25" i="9"/>
  <c r="S28" i="9"/>
  <c r="R28" i="9" s="1"/>
  <c r="Q28" i="9" s="1"/>
  <c r="S10" i="6"/>
  <c r="R10" i="6" s="1"/>
  <c r="Q10" i="6" s="1"/>
  <c r="AF16" i="6"/>
  <c r="AE16" i="6" s="1"/>
  <c r="AG16" i="6" s="1"/>
  <c r="AF14" i="6"/>
  <c r="AE14" i="6" s="1"/>
  <c r="AG14" i="6" s="1"/>
  <c r="AF33" i="6"/>
  <c r="AE33" i="6" s="1"/>
  <c r="I20" i="6"/>
  <c r="I10" i="6"/>
  <c r="S22" i="6"/>
  <c r="R22" i="6" s="1"/>
  <c r="Q22" i="6" s="1"/>
  <c r="AF34" i="6"/>
  <c r="AE34" i="6" s="1"/>
  <c r="S9" i="6"/>
  <c r="R9" i="6" s="1"/>
  <c r="Q9" i="6" s="1"/>
  <c r="S16" i="6"/>
  <c r="R16" i="6" s="1"/>
  <c r="Q16" i="6" s="1"/>
  <c r="T16" i="6" s="1"/>
  <c r="I9" i="6"/>
  <c r="I24" i="6"/>
  <c r="AR24" i="6" s="1"/>
  <c r="AF32" i="6"/>
  <c r="AE32" i="6" s="1"/>
  <c r="S24" i="6"/>
  <c r="R24" i="6" s="1"/>
  <c r="Q24" i="6" s="1"/>
  <c r="T24" i="6" s="1"/>
  <c r="S19" i="6"/>
  <c r="R19" i="6" s="1"/>
  <c r="Q19" i="6" s="1"/>
  <c r="AG29" i="7" l="1"/>
  <c r="AI29" i="7"/>
  <c r="AH29" i="7"/>
  <c r="AI12" i="7"/>
  <c r="AG12" i="7"/>
  <c r="AH12" i="7"/>
  <c r="AV6" i="6"/>
  <c r="AG12" i="6"/>
  <c r="AH27" i="7"/>
  <c r="AG27" i="7"/>
  <c r="AI27" i="7"/>
  <c r="AW28" i="6"/>
  <c r="AX28" i="6"/>
  <c r="AV28" i="6"/>
  <c r="AU24" i="6"/>
  <c r="AT24" i="6" s="1"/>
  <c r="AV31" i="6"/>
  <c r="AW31" i="6"/>
  <c r="AX31" i="6"/>
  <c r="AI30" i="9"/>
  <c r="AG30" i="9"/>
  <c r="AS36" i="7"/>
  <c r="AW6" i="7"/>
  <c r="AS38" i="7"/>
  <c r="AS34" i="7"/>
  <c r="AS35" i="7"/>
  <c r="AS37" i="7"/>
  <c r="AS39" i="7"/>
  <c r="AX6" i="7"/>
  <c r="AV6" i="7"/>
  <c r="AV39" i="9"/>
  <c r="AW30" i="9"/>
  <c r="AX30" i="9"/>
  <c r="AV30" i="9"/>
  <c r="AE36" i="7"/>
  <c r="AI8" i="7"/>
  <c r="AE35" i="7"/>
  <c r="AH8" i="7"/>
  <c r="AE39" i="7"/>
  <c r="AE34" i="7"/>
  <c r="AG8" i="7"/>
  <c r="AE38" i="7"/>
  <c r="AE37" i="7"/>
  <c r="AW39" i="9"/>
  <c r="V27" i="9"/>
  <c r="U27" i="9"/>
  <c r="T27" i="9"/>
  <c r="T30" i="9"/>
  <c r="V30" i="9"/>
  <c r="U30" i="9"/>
  <c r="AW20" i="9"/>
  <c r="AV20" i="9"/>
  <c r="AX20" i="9"/>
  <c r="AG25" i="7"/>
  <c r="AI25" i="7"/>
  <c r="AH25" i="7"/>
  <c r="AI39" i="9"/>
  <c r="AH39" i="9"/>
  <c r="AG39" i="9"/>
  <c r="AH20" i="7"/>
  <c r="AG20" i="7"/>
  <c r="AI31" i="6"/>
  <c r="AH31" i="6"/>
  <c r="AG31" i="6"/>
  <c r="V9" i="6"/>
  <c r="U9" i="6"/>
  <c r="T9" i="6"/>
  <c r="T18" i="6"/>
  <c r="V18" i="6"/>
  <c r="U18" i="6"/>
  <c r="AI18" i="6"/>
  <c r="AH18" i="6"/>
  <c r="AG18" i="6"/>
  <c r="R25" i="9"/>
  <c r="M28" i="6"/>
  <c r="O28" i="6" s="1"/>
  <c r="AG40" i="7" l="1"/>
  <c r="AS24" i="6"/>
  <c r="AS44" i="6" s="1"/>
  <c r="AV34" i="7"/>
  <c r="AV36" i="7"/>
  <c r="AG39" i="7"/>
  <c r="AG36" i="7"/>
  <c r="AG38" i="7"/>
  <c r="AG35" i="7"/>
  <c r="AG37" i="7"/>
  <c r="AG34" i="7"/>
  <c r="Q25" i="9"/>
  <c r="T25" i="9" s="1"/>
  <c r="P28" i="6"/>
  <c r="S28" i="6" s="1"/>
  <c r="R28" i="6" s="1"/>
  <c r="Q28" i="6" s="1"/>
  <c r="AS42" i="6" l="1"/>
  <c r="AS41" i="6"/>
  <c r="AS40" i="6"/>
  <c r="AS43" i="6"/>
  <c r="AV24" i="6"/>
  <c r="AS39" i="6"/>
  <c r="T53" i="9"/>
  <c r="T59" i="9"/>
  <c r="AG41" i="7"/>
  <c r="AH41" i="7" s="1"/>
  <c r="AG42" i="7"/>
  <c r="AH42" i="7" s="1"/>
  <c r="AS45" i="6"/>
  <c r="T56" i="9"/>
  <c r="T57" i="9"/>
  <c r="T54" i="9"/>
  <c r="T58" i="9"/>
  <c r="T55" i="9"/>
  <c r="Q55" i="9"/>
  <c r="Q58" i="9"/>
  <c r="Q57" i="9"/>
  <c r="Q54" i="9"/>
  <c r="Q53" i="9"/>
  <c r="Q56" i="9"/>
  <c r="AN28" i="9"/>
  <c r="AQ28" i="9" s="1"/>
  <c r="AR28" i="9" s="1"/>
  <c r="AU28" i="9" s="1"/>
  <c r="AT28" i="9" s="1"/>
  <c r="AS28" i="9" s="1"/>
  <c r="AN27" i="9"/>
  <c r="AQ27" i="9" s="1"/>
  <c r="AR27" i="9" s="1"/>
  <c r="AU27" i="9" s="1"/>
  <c r="AT27" i="9" s="1"/>
  <c r="AS27" i="9" s="1"/>
  <c r="AA27" i="9"/>
  <c r="AD27" i="9" s="1"/>
  <c r="AF27" i="9" s="1"/>
  <c r="AE27" i="9" s="1"/>
  <c r="AN25" i="9"/>
  <c r="AQ25" i="9" s="1"/>
  <c r="AR25" i="9" s="1"/>
  <c r="AU25" i="9" s="1"/>
  <c r="AV42" i="6" l="1"/>
  <c r="AV44" i="6"/>
  <c r="AV43" i="6"/>
  <c r="AV46" i="6"/>
  <c r="AV41" i="6"/>
  <c r="AV39" i="6"/>
  <c r="AV40" i="6"/>
  <c r="AV45" i="6"/>
  <c r="T61" i="9"/>
  <c r="U61" i="9" s="1"/>
  <c r="T60" i="9"/>
  <c r="U60" i="9" s="1"/>
  <c r="AV27" i="9"/>
  <c r="AX27" i="9"/>
  <c r="AW27" i="9"/>
  <c r="AI27" i="9"/>
  <c r="AH27" i="9"/>
  <c r="AG27" i="9"/>
  <c r="AG59" i="9" s="1"/>
  <c r="AE56" i="9"/>
  <c r="AE58" i="9"/>
  <c r="AE55" i="9"/>
  <c r="AE57" i="9"/>
  <c r="AE53" i="9"/>
  <c r="AE54" i="9"/>
  <c r="AT25" i="9"/>
  <c r="AB29" i="6"/>
  <c r="AD29" i="6" s="1"/>
  <c r="AF29" i="6" s="1"/>
  <c r="AE29" i="6" s="1"/>
  <c r="M29" i="6"/>
  <c r="O29" i="6" s="1"/>
  <c r="AB28" i="6"/>
  <c r="AD28" i="6" s="1"/>
  <c r="AF28" i="6" s="1"/>
  <c r="AE28" i="6" s="1"/>
  <c r="AE39" i="6" l="1"/>
  <c r="AV48" i="6"/>
  <c r="AW48" i="6" s="1"/>
  <c r="AV47" i="6"/>
  <c r="AW47" i="6" s="1"/>
  <c r="AH30" i="9"/>
  <c r="AG56" i="9"/>
  <c r="AG58" i="9"/>
  <c r="AG55" i="9"/>
  <c r="AG61" i="9" s="1"/>
  <c r="AH61" i="9" s="1"/>
  <c r="AG54" i="9"/>
  <c r="AG57" i="9"/>
  <c r="AG53" i="9"/>
  <c r="AI28" i="6"/>
  <c r="AH28" i="6"/>
  <c r="AG28" i="6"/>
  <c r="AE41" i="6"/>
  <c r="AE43" i="6"/>
  <c r="AE45" i="6"/>
  <c r="AE42" i="6"/>
  <c r="AE40" i="6"/>
  <c r="AE44" i="6"/>
  <c r="AS25" i="9"/>
  <c r="P29" i="6"/>
  <c r="S29" i="6" s="1"/>
  <c r="R29" i="6" s="1"/>
  <c r="Q29" i="6" s="1"/>
  <c r="Q39" i="6" s="1"/>
  <c r="AG39" i="6" l="1"/>
  <c r="AG46" i="6"/>
  <c r="AV25" i="9"/>
  <c r="AS58" i="9"/>
  <c r="AS53" i="9"/>
  <c r="AS56" i="9"/>
  <c r="AS57" i="9"/>
  <c r="AS55" i="9"/>
  <c r="AG60" i="9"/>
  <c r="AH60" i="9" s="1"/>
  <c r="AG40" i="6"/>
  <c r="AG41" i="6"/>
  <c r="AG42" i="6"/>
  <c r="Q44" i="6"/>
  <c r="Q40" i="6"/>
  <c r="AS54" i="9"/>
  <c r="Q42" i="6"/>
  <c r="Q43" i="6"/>
  <c r="U28" i="6"/>
  <c r="Q45" i="6"/>
  <c r="T28" i="6"/>
  <c r="V28" i="6"/>
  <c r="Q41" i="6"/>
  <c r="AG45" i="6"/>
  <c r="AG44" i="6"/>
  <c r="AG43" i="6"/>
  <c r="AG47" i="6" l="1"/>
  <c r="AH47" i="6" s="1"/>
  <c r="T40" i="6"/>
  <c r="T46" i="6"/>
  <c r="T39" i="6"/>
  <c r="AV53" i="9"/>
  <c r="AV57" i="9"/>
  <c r="AV59" i="9"/>
  <c r="AV58" i="9"/>
  <c r="AV55" i="9"/>
  <c r="AV54" i="9"/>
  <c r="AV56" i="9"/>
  <c r="AG48" i="6"/>
  <c r="AH48" i="6" s="1"/>
  <c r="T41" i="6"/>
  <c r="T43" i="6"/>
  <c r="T42" i="6"/>
  <c r="T44" i="6"/>
  <c r="T45" i="6"/>
  <c r="AV60" i="9" l="1"/>
  <c r="AW60" i="9" s="1"/>
  <c r="AV61" i="9"/>
  <c r="AW61" i="9" s="1"/>
  <c r="T48" i="6"/>
  <c r="U48" i="6" s="1"/>
  <c r="T47" i="6"/>
  <c r="U47" i="6" s="1"/>
  <c r="AE53" i="37"/>
  <c r="AE49" i="37"/>
  <c r="AE50" i="37"/>
  <c r="AE51" i="37"/>
  <c r="AR27" i="21"/>
  <c r="AU27" i="21" s="1"/>
  <c r="AT27" i="21" s="1"/>
  <c r="AS27" i="21" s="1"/>
  <c r="AR28" i="21"/>
  <c r="AU28" i="21" s="1"/>
  <c r="AT28" i="21" s="1"/>
  <c r="AS28" i="21" s="1"/>
  <c r="AR29" i="21"/>
  <c r="AU29" i="21" s="1"/>
  <c r="AT29" i="21" s="1"/>
  <c r="AS29" i="21" s="1"/>
  <c r="AS121" i="21" l="1"/>
  <c r="AS118" i="21"/>
  <c r="AX7" i="21"/>
  <c r="AS122" i="21"/>
  <c r="AS120" i="21"/>
  <c r="AS123" i="21"/>
  <c r="AW7" i="21"/>
  <c r="AV7" i="21"/>
  <c r="AV124" i="21" s="1"/>
  <c r="AS119" i="21"/>
  <c r="AV122" i="21" l="1"/>
  <c r="AV123" i="21"/>
  <c r="AV119" i="21"/>
  <c r="AV120" i="21"/>
  <c r="AV118" i="21"/>
  <c r="AV121" i="21"/>
  <c r="AV126" i="21" l="1"/>
  <c r="AW126" i="21" s="1"/>
  <c r="AV125" i="21"/>
  <c r="AW125" i="21" s="1"/>
</calcChain>
</file>

<file path=xl/sharedStrings.xml><?xml version="1.0" encoding="utf-8"?>
<sst xmlns="http://schemas.openxmlformats.org/spreadsheetml/2006/main" count="5553" uniqueCount="1295">
  <si>
    <t>Halogenated Aliphatics: Nucleophilic Substitution</t>
  </si>
  <si>
    <t>Name</t>
  </si>
  <si>
    <t>SMILES</t>
  </si>
  <si>
    <t>CBr</t>
  </si>
  <si>
    <t>bromomethane</t>
  </si>
  <si>
    <t>Citation</t>
  </si>
  <si>
    <t>Epoxide Hydrolysis</t>
  </si>
  <si>
    <t>Comments</t>
  </si>
  <si>
    <t>Halogenated Aliphatics: Elimination</t>
  </si>
  <si>
    <t>Organophosphorus Ester Hydrolysis 1</t>
  </si>
  <si>
    <t>EFSA Fenamiphos 10-11-2012</t>
  </si>
  <si>
    <t>fenamiphos</t>
  </si>
  <si>
    <t>phosmet</t>
  </si>
  <si>
    <t>chlorpyrifos</t>
  </si>
  <si>
    <t>Carboxylic Acid Ester Hydrolysis</t>
  </si>
  <si>
    <t>Anhydride Hydrolysis</t>
  </si>
  <si>
    <t>Amide Hydrolysis</t>
  </si>
  <si>
    <t>Carbamate Hydrolysis</t>
  </si>
  <si>
    <t>Urea Hydrolysis</t>
  </si>
  <si>
    <t>Sulfonylurea Hydrolysis</t>
  </si>
  <si>
    <t>COC(=O)C1=C(N(C)N=C1Cl)S(=O)(=O)NC(=O)NC1=NC(OC)=CC(OC)=N1</t>
  </si>
  <si>
    <t>COC(=O)C1=C(C=CC=C1)S(=O)(=O)NC(=O)NC1=NC(C)=NC(OC)=N1</t>
  </si>
  <si>
    <t>CN(C)C1=NC(NC(=O)NS(=O)(=O)C2=C(C=CC=C2C)C(O)=O)=NC(OCC(F)(F)F)=N1</t>
  </si>
  <si>
    <t>EFSA 105901 Fenitrothion</t>
  </si>
  <si>
    <t>fenitrothion</t>
  </si>
  <si>
    <t>EFSA 128905 Tolclfos-methyl</t>
  </si>
  <si>
    <t>EFSA 108102 Pirimiphos-methyl</t>
  </si>
  <si>
    <t>EFSA 108102 Dichlorvos</t>
  </si>
  <si>
    <t>Pirimiphos-methyl</t>
  </si>
  <si>
    <t>Dichlorvos</t>
  </si>
  <si>
    <t>Tolclfos-methyl</t>
  </si>
  <si>
    <t>EFSA 2,5-dichlorobenzoic acid methylester 10-11-2012</t>
  </si>
  <si>
    <t>EFSA Propaquizafop 9-26-2012</t>
  </si>
  <si>
    <t>EFSA Trinexapac 10-22-2012</t>
  </si>
  <si>
    <t>EFSA Diclofop-methyl 10-11-2012</t>
  </si>
  <si>
    <t>EFSA Fluroxypyr 10-11-2012</t>
  </si>
  <si>
    <t>EFSA Kresoxim-methyl 10-11-2012</t>
  </si>
  <si>
    <t>2,5-dichlorobenzoic acid methylester</t>
  </si>
  <si>
    <t>Propaquizafop</t>
  </si>
  <si>
    <t>Trinexapac</t>
  </si>
  <si>
    <t>Diclofop-methyl</t>
  </si>
  <si>
    <t>Fluroxypyr</t>
  </si>
  <si>
    <t>Kresoxim-methyl</t>
  </si>
  <si>
    <t>bis(2-ethylhexyl) phthalate</t>
  </si>
  <si>
    <t>fenpropathrin</t>
  </si>
  <si>
    <t>chlorobenzilate</t>
  </si>
  <si>
    <t>EFSA Triflumuron 10-22-2012</t>
  </si>
  <si>
    <t>EFSA Lufenuron 10-11-2012</t>
  </si>
  <si>
    <t>EFSA Flufenoxuron 10-11-2012</t>
  </si>
  <si>
    <t>EFSA 028201 Propanil</t>
  </si>
  <si>
    <t>Larson, R.A. and E.J. Weber. Reaction Mechanisms in Environmental Organic Chemistry. Boca Raton: CRC Press, Inc., 1994.</t>
  </si>
  <si>
    <t>Triflumuron</t>
  </si>
  <si>
    <t>Lufenuron</t>
  </si>
  <si>
    <t>Flufenoxuron</t>
  </si>
  <si>
    <t>Propanil</t>
  </si>
  <si>
    <t>EFSA 124002 Novaluron</t>
  </si>
  <si>
    <t>EFSA Methiocarb 10-11-2012</t>
  </si>
  <si>
    <t>EFSA 090301Methomyl</t>
  </si>
  <si>
    <t>EFSA 128872 Carbendazim</t>
  </si>
  <si>
    <t>EFSA 259200 Carbetamide</t>
  </si>
  <si>
    <t>Methomyl</t>
  </si>
  <si>
    <t>Methiocarb</t>
  </si>
  <si>
    <t>Carbendazim</t>
  </si>
  <si>
    <t>Carbetamide</t>
  </si>
  <si>
    <t>Novaluron</t>
  </si>
  <si>
    <t>Teflubenzuron</t>
  </si>
  <si>
    <t>EFSA 129048 Teflubenzuron</t>
  </si>
  <si>
    <t>EFSA Draft Assessment Report for Halosulfuron-methyl, Oct. 28, 2011.</t>
  </si>
  <si>
    <t>EFSA Draft Assessment Report for Tribenuron, July 29, 2005</t>
  </si>
  <si>
    <t>EFSA Draft Assessment Report for Triflusulfuron, Sept. 26, 2007.</t>
  </si>
  <si>
    <t>EFSA Draft Assessment Report for Rimsulfuron, Aug. 1, 2005.</t>
  </si>
  <si>
    <t>EFSA Draft Assessment Report for Chlorsulfuron, Dec. 12, 2007.</t>
  </si>
  <si>
    <t>EFSA Draft Assessment Report for Nicosulfuron, July 3, 2006.</t>
  </si>
  <si>
    <t>EFSA Draft Assessment Report for Thiencarbazone-methyl, June 8, 2012.</t>
  </si>
  <si>
    <t>EFSA Draft Assessment Report for Azimsulfuron, Aug. 11, 2009.</t>
  </si>
  <si>
    <t>EFSA Draft Assessment Report for Bensulfuron, May 8, 2007.</t>
  </si>
  <si>
    <t>Halosulfuron-methyl</t>
  </si>
  <si>
    <t>Triflusulfuron-methyl</t>
  </si>
  <si>
    <t>Rimsulfuron</t>
  </si>
  <si>
    <t>Chlorsulfuron</t>
  </si>
  <si>
    <t>Nicosulfuron</t>
  </si>
  <si>
    <t>Thiencarbazone-methyl</t>
  </si>
  <si>
    <t>Azimsulfuron</t>
  </si>
  <si>
    <t>Metsulfuron-methyl</t>
  </si>
  <si>
    <t>Carbonate Hydrolysis</t>
  </si>
  <si>
    <t>(deg C)</t>
  </si>
  <si>
    <t>pH</t>
  </si>
  <si>
    <t>Half-life</t>
  </si>
  <si>
    <t>(days)</t>
  </si>
  <si>
    <t>Neutral Hydrolysis</t>
  </si>
  <si>
    <t>Product(s) SMILES</t>
  </si>
  <si>
    <t>COC(=O)c1cc(ccc1Cl)Cl</t>
  </si>
  <si>
    <t>found through linear regression analysis method</t>
  </si>
  <si>
    <t>[H][C@](C)(OC1=CC=C(OC2=CN=C3C=C(Cl)C=CC3=N2)C=C1)C(=O)OCCON=C(C)C</t>
  </si>
  <si>
    <t>CCOC(=O)C1CC(=O)C(=C(C2CC2)O)C(=O)C1</t>
  </si>
  <si>
    <t>--</t>
  </si>
  <si>
    <t>Mamouni, A (2002)</t>
  </si>
  <si>
    <t>no hydrolysis</t>
  </si>
  <si>
    <t>Cc1ccccc1OCc2ccccc2/C(=N/OC)/C(=O)OC</t>
  </si>
  <si>
    <t>stable DT_50 extrapolated for pH 5; Ref: Bieber 1992</t>
  </si>
  <si>
    <t>Van Beinum, Beulke, 2008</t>
  </si>
  <si>
    <t>CC(C(=O)OC)Oc1ccc(cc1)Oc2ccc(cc2Cl)Cl</t>
  </si>
  <si>
    <t>Goerlitz G., Eyrich U. 1990</t>
  </si>
  <si>
    <t>CCCCCCC(C)OC(=O)COc1c(c(c(c(n1)F)Cl)N)Cl</t>
  </si>
  <si>
    <t>Lehmann R.G. 1987</t>
  </si>
  <si>
    <t>Valifenalate</t>
  </si>
  <si>
    <t>EFSA Valifenalate 10-22-2012</t>
  </si>
  <si>
    <t>COC(=O)CC(NC(=O)[C@@H](NC(=O)OC(C)C)C(C)C)c1ccc(Cl)cc1</t>
  </si>
  <si>
    <t>Scacchi, A., Oriolo, D., Pizzingrilli, G. (2001)</t>
  </si>
  <si>
    <t xml:space="preserve">pH </t>
  </si>
  <si>
    <t>* calculated using Arrhenius relationship</t>
  </si>
  <si>
    <t>Degradation rate</t>
  </si>
  <si>
    <t>(k_1)</t>
  </si>
  <si>
    <t xml:space="preserve">Half-life </t>
  </si>
  <si>
    <t>Halosulfuron-methyl rearrangement</t>
  </si>
  <si>
    <t>COC(=O)C1=C(NC2=NC(OC)=CC(OC)=N2)N(C)N=C1Cl</t>
  </si>
  <si>
    <t>stable</t>
  </si>
  <si>
    <t>&gt;200</t>
  </si>
  <si>
    <t>Kemi, Tribenuron methyl Draft Assessment Report, Annex B8b, table 8.4.6.a.</t>
  </si>
  <si>
    <t>Triazine amine and methyl saccharin</t>
  </si>
  <si>
    <t>CN(C)c1nc(N)nc(OCC(F)(F)F)n1 and Cc1cccc2C(=O)NS(=O)(=O)c12</t>
  </si>
  <si>
    <t>Hawkins D.R. et al., 1992 AMR1628-90</t>
  </si>
  <si>
    <t>Pyridine</t>
  </si>
  <si>
    <t>Pyrimidine</t>
  </si>
  <si>
    <t>CCS(=O)(=O)c1cccnc1S(=O)(=O)NC(=O)Nc1nc(OC)cc(OC)n1</t>
  </si>
  <si>
    <t>CCS(=O)(=O)c1cccnc1S(N)(=O)=O</t>
  </si>
  <si>
    <t>COc1cc(OC)nc(NC(N)=O)n1</t>
  </si>
  <si>
    <t>Horne, P., Boucher, C.R. (1989a) WAS 9800053</t>
  </si>
  <si>
    <t>COC1=NC(C)=NC(NC(=O)NS(=O)(=O)C2=CC=CC=C2Cl)=N1</t>
  </si>
  <si>
    <t>Dietrich, R.F. McAleer, N.C. 1989 (AMR 1455-89.161-1)</t>
  </si>
  <si>
    <t>chlorsulfuron_03000</t>
  </si>
  <si>
    <t>NS(=O)(=O)C1=CC=CC=C1Cl</t>
  </si>
  <si>
    <t>COC1=CC(OC)=NC(NC(=O)NS(=O)(=O)C2=C(C=CC=N2)C(=O)N(C)C)=N1</t>
  </si>
  <si>
    <t>Galicia and Mamouni, 1992</t>
  </si>
  <si>
    <t>ASDM</t>
  </si>
  <si>
    <t>Cowlyn, 1993</t>
  </si>
  <si>
    <t>CN(C)C(=O)C1=C(N=CC=C1)S(N)(=O)=O</t>
  </si>
  <si>
    <t>COC(=O)c1csc(C)c1S(=O)(=O)NC(=O)N1N=C(OC)N(C)C1=O</t>
  </si>
  <si>
    <t>Hass, M., 2005 M-259661-02-1</t>
  </si>
  <si>
    <t>extrapolation used for values over 30 days</t>
  </si>
  <si>
    <t>BYH 18636-MMT and BYH 18636-sulfonamide</t>
  </si>
  <si>
    <t>COC1=NNC(=O)N1C and COC(=O)c1csc(C)c1S(N)(=O)=O</t>
  </si>
  <si>
    <t>COC1=CC(OC)=NC(NC(=O)NS(=O)(=O)C2=C(C=NN2C)C2=NN(C)N=N2)=N1</t>
  </si>
  <si>
    <t>IN-J290 and IN-A8342</t>
  </si>
  <si>
    <t>COC1=CC(OC)=NC(N)=N1 and CN1N=NC(=N1)C1=C(N(C)N=C1)S(N)(=O)=O</t>
  </si>
  <si>
    <t>COC(=O)c1ccccc1CS(=O)(=O)NC(=O)Nc1nc(OC)cc(OC)n1</t>
  </si>
  <si>
    <t>1996 EU Dossier Hausmann, S.M. (1991)</t>
  </si>
  <si>
    <t>FC(F)(F)OC1=CC=C(NC(=O)NC(=O)C2=CC=CC=C2Cl)C=C1</t>
  </si>
  <si>
    <t>Bensulfuron-methyl</t>
  </si>
  <si>
    <t>Pyrimidine amine and sulphonamine</t>
  </si>
  <si>
    <t>COc1cc(OC)nc(N)n1 and COC(=O)c1ccccc1CS(N)(=O)=O</t>
  </si>
  <si>
    <t>FC(OC(F)(F)F)C(F)(F)OC1=C(Cl)C=C(NC(=O)NC(=O)C2=C(F)C=CC=C2F)C=C1</t>
  </si>
  <si>
    <t>OC(=O)C1=C(F)C=CC=C1F</t>
  </si>
  <si>
    <t>FC1=CC=CC(F)=C1C(=O)NC(=O)NC1=CC(Cl)=C(F)C(Cl)=C1F</t>
  </si>
  <si>
    <t>CCCCC(CC)COC(=O)C1=CC=CC=C1C(=O)OCC(CC)CCCC</t>
  </si>
  <si>
    <t>(1). Larson, R.A. and E.J. Weber. Reaction Mechanisms in Environmental Organic Chemistry. Boca Raton: CRC Press, Inc., 1994. (2). Montgomery, John. Groundwater Chemicals.  Boca Raton: CRC Press, Inc., 2007.</t>
  </si>
  <si>
    <t>Takahashi, N. Mikami, N., Yamada, H., and Miyamoto, J. (1985), Hydrolysis of the Pyrethoid Insecticide Fenpropathrin in Aqueous Media. Pestic. Sci., 16:113-118</t>
  </si>
  <si>
    <t>CC1(C)C(C(=O)OC(C#N)C2=CC(OC3=CC=CC=C3)=CC=C2)C1(C)C</t>
  </si>
  <si>
    <t>Larson, R.A. and E.J. Weber. Reaction Mechanisms in Environmental Organic Chemistry. Boca Raton: CRC Press, Inc., 1994. p. 130</t>
  </si>
  <si>
    <t>CCOC(=O)C(O)(C1=CC=C(Cl)C=C1)C1=CC=C(Cl)C=C1</t>
  </si>
  <si>
    <t>2-chlorobenzoic acid</t>
  </si>
  <si>
    <t>OC(=O)C1=C(Cl)C=CC=C1</t>
  </si>
  <si>
    <t>FC(C(F)(F)F)C(F)(F)OC1=C(Cl)C=C(NC(=O)NC(=O)C2=C(F)C=CC=C2F)C(Cl)=C1</t>
  </si>
  <si>
    <t>&gt;&gt;720</t>
  </si>
  <si>
    <t>Dichlorophenyl-labelled lufenuron</t>
  </si>
  <si>
    <t>difluorophenyl-labelled lufenuron</t>
  </si>
  <si>
    <t>NC(=O)NC1=CC(Cl)=C(OC(F)(F)C(F)C(F)(F)F)C=C1Cl</t>
  </si>
  <si>
    <t>FC1=CC=CC(F)=C1C(=O)NC(=O)NC1=C(F)C=C(OC2=C(Cl)C=C(C=C2)C(F)(F)F)C=C1</t>
  </si>
  <si>
    <t>CCC(=O)NC1=CC(Cl)=C(Cl)C=C1</t>
  </si>
  <si>
    <t>3,4-Dichloroaniline</t>
  </si>
  <si>
    <t>NC1=CC(Cl)=C(Cl)C=C1</t>
  </si>
  <si>
    <t>2,6-difluorobenzoic acid</t>
  </si>
  <si>
    <t>(3,5-dichloro-2,4-difluorophenyl)urea</t>
  </si>
  <si>
    <t>NC(=O)NC1=CC(Cl)=C(F)C(Cl)=C1F</t>
  </si>
  <si>
    <t>2-isopropyl-4-methyl-6-hydroxypyrimidine</t>
  </si>
  <si>
    <t>CC(C)C1=NC(C)=CC(O)=N1</t>
  </si>
  <si>
    <t>CCOP(=O)(NC(C)C)OC1=CC(C)=C(SC)C=C1</t>
  </si>
  <si>
    <t>fenamiphosphenol</t>
  </si>
  <si>
    <t>CSC1=C(C)C=C(O)C=C1</t>
  </si>
  <si>
    <t>COP(=S)(OC)OC1=CC(C)=C(C=C1)N(=O)=O</t>
  </si>
  <si>
    <t>NMC</t>
  </si>
  <si>
    <t>CC1=C(C=CC(O)=C1)N(=O)=O</t>
  </si>
  <si>
    <t>CC1=CC(=C(C(=C1)Cl)OP(=S)(OC)OC)Cl</t>
  </si>
  <si>
    <t>COP(=S)(OC)SCN1C(=O)C2=CC=CC=C2C1=O</t>
  </si>
  <si>
    <t>EFSA Phosmet May 2004</t>
  </si>
  <si>
    <t xml:space="preserve">Phthalamic acid </t>
  </si>
  <si>
    <t>C1=CC=C(C(=C1)C(=O)N)C(=O)O</t>
  </si>
  <si>
    <t>CCN(CC)C1=NC(=CC(=N1)OP(=S)(OC)OC)C</t>
  </si>
  <si>
    <t>O-2-diethyl amino-6-methylpyrimidin-4-yl O-methylphosphorothionate</t>
  </si>
  <si>
    <t>CCN(CC)C1=NC(C)=CC(OP(O)(=S)OC)=N1</t>
  </si>
  <si>
    <t>Dimethylphosphate</t>
  </si>
  <si>
    <t>COP(=O)(OC)OC=C(Cl)Cl</t>
  </si>
  <si>
    <t>COP(O)(=O)OC</t>
  </si>
  <si>
    <t>Temp: 25+/-1</t>
  </si>
  <si>
    <t>Temp 25 +/- 0.4</t>
  </si>
  <si>
    <t>Temp 25 +/- 1</t>
  </si>
  <si>
    <t>Not reported in literature, value based on the hydrolytic behavior of other carboxylic acid esters. Note: Half-life @ ph 7 = 1-2 years</t>
  </si>
  <si>
    <t>Ito, M. Takahashi, N. and Mikami, N. 1988. Following Range for Half-life @ pH 5: 191-200 days, @ pH 7: 180-186 days and @ pH 9: 100-101 days.</t>
  </si>
  <si>
    <t>CNC(=O)ON=C(C)SC</t>
  </si>
  <si>
    <t>CNC(=O)OC1=CC(C)=C(SC)C(C)=C1</t>
  </si>
  <si>
    <t>CSC1=C(C)C=C(O)C=C1C</t>
  </si>
  <si>
    <t>Methiocarb-phenol</t>
  </si>
  <si>
    <t>CSC(C)=NO</t>
  </si>
  <si>
    <t>Methomyl-oxime</t>
  </si>
  <si>
    <t>COC(=O)NC1=NC2=CC=CC=C2N1</t>
  </si>
  <si>
    <t>2-aminobenzimidazole</t>
  </si>
  <si>
    <t>NC1=NC2=CC=CC=C2N1</t>
  </si>
  <si>
    <t>O=C(OC(C(=O)NCC)C)Nc1ccccc1</t>
  </si>
  <si>
    <t>Nc1ccccc1</t>
  </si>
  <si>
    <t>Aniline</t>
  </si>
  <si>
    <t>DM-TM</t>
  </si>
  <si>
    <t>COP(O)(=S)OC1=C(Cl)C=C(C)C=C1Cl</t>
  </si>
  <si>
    <t>Hui, Tay, Ariffin, Marinah, and Tahir, Norhayati. Hydrolysis of Chlorpyrifos in aqueous solutions at different temperatures and pH. The Malaysian Journal of Analytical Sciences, Vol 14 No 2 (2010): 50-55. Temp. is +/- 1</t>
  </si>
  <si>
    <t>CCOP(=S)(OCC)OC1=NC(=C(C=C1Cl)Cl)Cl</t>
  </si>
  <si>
    <t>Ethyl dimethylcarbamate</t>
  </si>
  <si>
    <t>CCOC(=O)N(C)C</t>
  </si>
  <si>
    <t>Schwarzenbach, Rene, Gschwend, Philip, and Imboden, Dieter. Environmental Organical Chemistry Second Edition, 2003. p 529</t>
  </si>
  <si>
    <t>50,000 yr</t>
  </si>
  <si>
    <t>Chlorpyrifos - WHO Specifications and evaluations for public health pesticides, 2002</t>
  </si>
  <si>
    <t>The EPA test method CS5000</t>
  </si>
  <si>
    <t>Benfuracarb</t>
  </si>
  <si>
    <t>Thiodicarb</t>
  </si>
  <si>
    <t>EFSA 114501 Thiodicarb</t>
  </si>
  <si>
    <t>Methomyl oxime</t>
  </si>
  <si>
    <t>C/C(=N\O)/SC</t>
  </si>
  <si>
    <t>CCSCc1ccccc1OC(=O)NC</t>
  </si>
  <si>
    <t>CC1(Oc2cccc(c2O1)OC(=O)NC)C</t>
  </si>
  <si>
    <t>WHO Specifications and Evaluations for public Health Pesticides</t>
  </si>
  <si>
    <t>2,3-Isopropylidene dioxyphenol</t>
  </si>
  <si>
    <t>CC1(Oc2cccc(c2O1)O)C</t>
  </si>
  <si>
    <t>Ethiofencarb</t>
  </si>
  <si>
    <t>Bendiocarb</t>
  </si>
  <si>
    <t>Desmedipham</t>
  </si>
  <si>
    <t>CCOC(=O)Nc1cccc(c1)OC(=O)Nc2ccccc2</t>
  </si>
  <si>
    <t>European Commission, Review Report for the active substance desmedipham, February 2004</t>
  </si>
  <si>
    <t>aniline</t>
  </si>
  <si>
    <t>C1=CC=C(C=C1)N</t>
  </si>
  <si>
    <t>CCOC(=O)Nc1cccc(c1)O</t>
  </si>
  <si>
    <t>EHPC</t>
  </si>
  <si>
    <t>EFSA carbaryl 056801</t>
  </si>
  <si>
    <t>carbofuran</t>
  </si>
  <si>
    <t>EFSA carbofuran 090601</t>
  </si>
  <si>
    <t>Baygon</t>
  </si>
  <si>
    <t>CC(C)OC1=CC=CC=C1OC(=O)NC</t>
  </si>
  <si>
    <t>oxamyl</t>
  </si>
  <si>
    <t>CNC(=O)ON=C(C(=O)N(C)C)SC</t>
  </si>
  <si>
    <t>EFSA oxamyl 103801</t>
  </si>
  <si>
    <t>sulfosulfuron</t>
  </si>
  <si>
    <t>EFSA Sulfosulfuron 085601</t>
  </si>
  <si>
    <t>CN(C)C(=O)C1=CC=CC=C1NS(=O)(=O)NC(=O)NC2=NC(=CC(=N2)OC)OC</t>
  </si>
  <si>
    <t>Orthosulfamuron</t>
  </si>
  <si>
    <t>foramsulfuron</t>
  </si>
  <si>
    <t>CN(C)C(=O)C1=C(C=C(C=C1)NC=O)S(=O)(=O)NC(=O)NC2=NC(=CC(=N2)OC)OC</t>
  </si>
  <si>
    <t>122020_foramsulfuron_(PUB-source Hydrolysis Information)</t>
  </si>
  <si>
    <t>Cinosulfuron</t>
  </si>
  <si>
    <t>COCCOC1=CC=CC=C1S(=O)(=O)NC(=O)NC2=NC(=NC(=N2)OC)OC</t>
  </si>
  <si>
    <t>Negre M., Baiocchi C., Gennari M., Pest Manag Sci 61:675–681 (2005 )</t>
  </si>
  <si>
    <t>Flupyrsulfuron-methyl</t>
  </si>
  <si>
    <t>COC1=CC(=NC(=N1)NC(=O)NS(=O)(=O)C2=C(C=CC(=N2)C(F)(F)F)C(=O)OC)OC</t>
  </si>
  <si>
    <t>Pyrazosulfuron-ethyl</t>
  </si>
  <si>
    <t>CCOC(=O)C1=C(N(N=C1)C)S(=O)(=O)NC(=O)NC2=NC(=CC(=N2)OC)OC</t>
  </si>
  <si>
    <t>Zheng, Wei, Yates, Scott, and Papiernik, Sharon. Transformation Kinetics and Mechanism of the Sulfonylurea Herbicides Pyrazosulfuron ethyl and Halosulfuron methyl in aqueous solutions. J. Agric. Food Chem</t>
  </si>
  <si>
    <t xml:space="preserve">Pyrazosulfuron-ethyl_01200 and Pyrazosulfuron-ethyl_01300  </t>
  </si>
  <si>
    <t>COc1cc(OC)nc(N)n1 and CCOC(=O)c1cnn(C)c1S(N)(=O)=O</t>
  </si>
  <si>
    <t>Imazosulfuron</t>
  </si>
  <si>
    <t>COc1cc(nc(n1)NC(=O)NS(=O)(=O)C2C(=NC3=CC=CCN23)Cl)OC</t>
  </si>
  <si>
    <t>USEPA Memorandum PC Code 118602. The Drinking Water Degradates Identification Memorandum for Imazosulfuron</t>
  </si>
  <si>
    <t>Imidazolyl (IM) ring and Pyrimidinyl (PM) ring</t>
  </si>
  <si>
    <t>NS(=O)(=O)C1N2CC=CC=C2N=C1Cl and COc1cc(OC)nc(N)n1</t>
  </si>
  <si>
    <t>Flazasulfuron</t>
  </si>
  <si>
    <t>COC1=CC(=NC(=N1)NC(=O)NS(=O)(=O)C2=C(C=CC=N2)C(F)(F)F)OC</t>
  </si>
  <si>
    <t>USEPA Memorandum PC Code 119011. The Drinking Water Degredates Identification Memorandum for Flazasulfuron. February 1, 2011</t>
  </si>
  <si>
    <t>TPSA and ADMP</t>
  </si>
  <si>
    <t>NS(=O)(=O)C1=C(C=CC=N1)C(F)(F)F and COC1=CC(OC)=NC(N)=N1</t>
  </si>
  <si>
    <t>amidosulfuron</t>
  </si>
  <si>
    <t>CN(S(=O)(=O)C)S(=O)(=O)NC(=O)NC1=NC(=CC(=N1)OC)OC</t>
  </si>
  <si>
    <t>Schollmeier M.; Eyrich U. (1992i) (Document A48869) &amp; Schollmeier M. (1993a) (Document A51873)</t>
  </si>
  <si>
    <t>&gt; 365 d</t>
  </si>
  <si>
    <t>2-amino-4,6-dimethoxypyrimidine and 4,6-dimethoxypyrimidine-2-yl-carbamoylamidosulfuric acid</t>
  </si>
  <si>
    <t>Schollmeier M.; Britten I. (1992a) (Document A47707)</t>
  </si>
  <si>
    <t>Amidosulfuron EFSA - Volume 3, Annex B.2 Physical and chemical properties May 2005</t>
  </si>
  <si>
    <t>CCOC1=NC(=NC(=N1)NC(=O)NS(=O)(=O)C2=CC=CC=C2C(=O)OC)NC</t>
  </si>
  <si>
    <t>Ethametsulfuron methyl</t>
  </si>
  <si>
    <t>129091_Ethametsulfuron_(EFSA Hydrolysis Information)</t>
  </si>
  <si>
    <t>Prosulfuron</t>
  </si>
  <si>
    <t>CC1=NC(=NC(=N1)OC)NC(=O)NS(=O)(=O)C2=CC=CC=C2CCC(F)(F)F</t>
  </si>
  <si>
    <t>129031_Prosulfuron_(EFSA Hydrolysis Information)</t>
  </si>
  <si>
    <t>COC(=O)C1=CC=CC=C1S(=O)(=O)NC(=O)NC2=NC(=CC(=N2)OC(F)F)OC(F)F</t>
  </si>
  <si>
    <t>thifensulfuron methyl</t>
  </si>
  <si>
    <t>Dinelli G. et al. J. Agric. Food Chem., Vol. 45, No. 5, 1997</t>
  </si>
  <si>
    <t>CC1=NC(=NC(=N1)OC)NC(=O)NS(=O)(=O)C2=C(SC=C2)C(=O)OC</t>
  </si>
  <si>
    <t xml:space="preserve"> primisulfuron methyl</t>
  </si>
  <si>
    <t>Braschi, L. et al. J. Agric. Food Chem., Vol. 48, No. 6, 2000</t>
  </si>
  <si>
    <t>paper from 128973_Primisulfuron_(PUB Hydrolysis Information)</t>
  </si>
  <si>
    <t>Tribenuron</t>
  </si>
  <si>
    <t>CC1=NC(=NC(=N1)OC)N(C)C(=O)NS(=O)(=O)C2=CC=CC=C2C(=O)OC</t>
  </si>
  <si>
    <t>128887_Tribenuron (EFSA Hydrolysis Information)</t>
  </si>
  <si>
    <t>EFSA June 2003, Annex B.2: Physical and chemical properties</t>
  </si>
  <si>
    <t>very fast</t>
  </si>
  <si>
    <t>rates units in  10^7 S-1, .05 M phosphate</t>
  </si>
  <si>
    <t>.05 M Phosphate</t>
  </si>
  <si>
    <t>.05M Phosphate</t>
  </si>
  <si>
    <t>.3M phosphate, 0.4M KCl</t>
  </si>
  <si>
    <t>.3M Phosphate</t>
  </si>
  <si>
    <t>.05M borate</t>
  </si>
  <si>
    <t>1 M KCl</t>
  </si>
  <si>
    <t>none</t>
  </si>
  <si>
    <t>Isoproturon</t>
  </si>
  <si>
    <t>CC(C)C1=CC=C(C=C1)NC(=O)N(C)C</t>
  </si>
  <si>
    <t>Penning H. et al. Environ. Sci. Technol. 2008, 42, 7764–7771</t>
  </si>
  <si>
    <t>Pencycuron</t>
  </si>
  <si>
    <t>EFSA 128823 Pencycuron</t>
  </si>
  <si>
    <t>allyl chloride</t>
  </si>
  <si>
    <t>C=CCCl</t>
  </si>
  <si>
    <t>Robertson, R.E. and Scott, J.M. W., J. Chem. Soc. 1596 (1961)</t>
  </si>
  <si>
    <t>allyl bromide</t>
  </si>
  <si>
    <t>C=CCBr</t>
  </si>
  <si>
    <t>rate in s-1</t>
  </si>
  <si>
    <t>allyl iodide</t>
  </si>
  <si>
    <t>C=CCI</t>
  </si>
  <si>
    <t>C1=CC=C(C=C1)CCCBr</t>
  </si>
  <si>
    <t>Vogel, T.M. and Reinhard, M Environ. Sci. Technol. 20,992, 1986</t>
  </si>
  <si>
    <t>1-Bromoheptane</t>
  </si>
  <si>
    <t>CCCCCCCBr</t>
  </si>
  <si>
    <t>1,2-Dibromopropane</t>
  </si>
  <si>
    <t>CC(CBr)Br</t>
  </si>
  <si>
    <t>yielded bromopropenes (2-bromopropene and 1-bromopropene (cis and/or trans isomers) in the approximate ratio 1:1</t>
  </si>
  <si>
    <t>1,3-dibromopropane</t>
  </si>
  <si>
    <t>C(CBr)CBr</t>
  </si>
  <si>
    <t>2,2-Dichloropropane</t>
  </si>
  <si>
    <t>CC(C)(Cl)Cl</t>
  </si>
  <si>
    <t>Queen, A and Robertson, R.E. J. Am. Chem. Soc. 88, 1363, 1966</t>
  </si>
  <si>
    <t>2-bromopropene</t>
  </si>
  <si>
    <t>2,2-Dibromopropane</t>
  </si>
  <si>
    <t>BrC(Br)(C)C</t>
  </si>
  <si>
    <t>methylene chloride</t>
  </si>
  <si>
    <t>C(Cl)Cl</t>
  </si>
  <si>
    <t>Dilling, W. L.; Tefertiller, N.; Kallos, G. Environ. Sci. Technol. 1975, 9, 833.</t>
  </si>
  <si>
    <t>chloroform</t>
  </si>
  <si>
    <t>C(Cl)(Cl)Cl</t>
  </si>
  <si>
    <t>1,1,2-Trichloroethene</t>
  </si>
  <si>
    <t>C(=C(Cl)Cl)Cl</t>
  </si>
  <si>
    <t>Tetrachloroethene</t>
  </si>
  <si>
    <t>C(=C(Cl)Cl)(Cl)Cl</t>
  </si>
  <si>
    <t>1,2-Dichloroethane</t>
  </si>
  <si>
    <t>C(CCl)Cl</t>
  </si>
  <si>
    <t>Chloroethene</t>
  </si>
  <si>
    <t>1,1-Dichloroethane</t>
  </si>
  <si>
    <t>CC(Cl)Cl</t>
  </si>
  <si>
    <t>Jeffers, P.M. et. al Environ. Sci. Tech. 23, 965, 1989</t>
  </si>
  <si>
    <t>rate in min-1</t>
  </si>
  <si>
    <t>ethylene glycol</t>
  </si>
  <si>
    <t>cis-1,3-dichloropropene</t>
  </si>
  <si>
    <t>Miyamoto, K. and Urano, K. Chemosphere, 32, 2399, 1996</t>
  </si>
  <si>
    <t>trans-1,3-dichloropropene</t>
  </si>
  <si>
    <t>C(/C=C\Cl)Cl</t>
  </si>
  <si>
    <t>C(/C=C/Cl)Cl</t>
  </si>
  <si>
    <t>COC1=CC=C(C=C1)C(=C(Cl)Cl)C2=CC=C(C=C2)OC</t>
  </si>
  <si>
    <t>1,1'-(2,2-Dichloro-1,1-ethenediyl)bis(4-methoxybenzene)</t>
  </si>
  <si>
    <t>methoxychlor</t>
  </si>
  <si>
    <t>COC1=CC=C(C=C1)C(C2=CC=C(C=C2)OC)C(Cl)(Cl)Cl</t>
  </si>
  <si>
    <t>DDT</t>
  </si>
  <si>
    <t>C1=CC(=CC=C1C(C2=CC=C(C=C2)Cl)C(Cl)(Cl)Cl)Cl</t>
  </si>
  <si>
    <t>dichlorodiphenyldichloroethylene</t>
  </si>
  <si>
    <t>C1=CC(=CC=C1C(=C(Cl)Cl)C2=CC=C(C=C2)Cl)Cl</t>
  </si>
  <si>
    <t>the pH 3.9 reaction was in five percent acetonitrle-water solvent; the pH 12.1 is second order rate, units in M-1s-1</t>
  </si>
  <si>
    <t>wolfe N.L. et al Environ. Sci. Technol. 11, 1077, 1977.</t>
  </si>
  <si>
    <t>Pentachloroethane</t>
  </si>
  <si>
    <t>C(C(Cl)(Cl)Cl)(Cl)Cl</t>
  </si>
  <si>
    <t>tetrachloroethene</t>
  </si>
  <si>
    <t>fluromethane</t>
  </si>
  <si>
    <t>CF</t>
  </si>
  <si>
    <t>CCl</t>
  </si>
  <si>
    <t>CI</t>
  </si>
  <si>
    <t>iodomethane</t>
  </si>
  <si>
    <t>chloroethane</t>
  </si>
  <si>
    <t>CCCl</t>
  </si>
  <si>
    <t>bromoethane</t>
  </si>
  <si>
    <t>CCBr</t>
  </si>
  <si>
    <t>iodoethane</t>
  </si>
  <si>
    <t>CCI</t>
  </si>
  <si>
    <t>2-chloropropane</t>
  </si>
  <si>
    <t>CC(C)Cl</t>
  </si>
  <si>
    <t>2-bromopropane</t>
  </si>
  <si>
    <t>CC(C)Br</t>
  </si>
  <si>
    <t>2-iodopropane</t>
  </si>
  <si>
    <t>CC(C)I</t>
  </si>
  <si>
    <t>1-Bromopropane</t>
  </si>
  <si>
    <t>CCCBr</t>
  </si>
  <si>
    <t>2-Fluoro-2-methylpropane</t>
  </si>
  <si>
    <t>FC(C)(C)C</t>
  </si>
  <si>
    <t>2-Chloro-2-methylpropane</t>
  </si>
  <si>
    <t>CC(C)(C)Cl</t>
  </si>
  <si>
    <t>Laughton, P.M. and Robertson, R.E. Can. J. Chem. 34, 1714, 1956.</t>
  </si>
  <si>
    <t>Laughton, P.M. and Robertson, R.E. Can. J. Chem. 37, 1491, 1959.</t>
  </si>
  <si>
    <t>rates in s-1</t>
  </si>
  <si>
    <t>1-bromo-3-phenylpropane</t>
  </si>
  <si>
    <t>carbon tetrachloride</t>
  </si>
  <si>
    <t>ClC(Cl)(Cl)Cl</t>
  </si>
  <si>
    <t>Jeffers P.M. et al. Environ. Toxicol. Chem. 15, 1064-1065, 1996</t>
  </si>
  <si>
    <t>BrCC1(CBr)COC1</t>
  </si>
  <si>
    <t>3,3-bis(bromomethyl)oxetane</t>
  </si>
  <si>
    <t>Ezra S. et al Environ. Sci. Technol. 2005, 39, 505-512</t>
  </si>
  <si>
    <t>0.036M Borax buffer</t>
  </si>
  <si>
    <t>0.030M KH2PO4 buffer</t>
  </si>
  <si>
    <t>OCC1(CBr)COC1</t>
  </si>
  <si>
    <t>[3‐(bromomethyl)oxetan‐3‐yl]methanol</t>
  </si>
  <si>
    <t>tribromomethane</t>
  </si>
  <si>
    <t>Radding S.B. et al 1977. EPA-560/5-77-003</t>
  </si>
  <si>
    <t>C(Br)(Br)Br</t>
  </si>
  <si>
    <t>1-Bromohexane</t>
  </si>
  <si>
    <t>CCCCCCBr</t>
  </si>
  <si>
    <t>rate in hr-1</t>
  </si>
  <si>
    <t>3-bromohexane</t>
  </si>
  <si>
    <t>CCCC(CC)Br</t>
  </si>
  <si>
    <t>schwarzenbach R.P. et al  Environ. Sci. Technol 1985 19, 322-327</t>
  </si>
  <si>
    <t>schwarzenbach R.P. et al  Environ. Sci. Technol 1985 19, 322-328</t>
  </si>
  <si>
    <t>chloromethane</t>
  </si>
  <si>
    <t>Coumarin</t>
  </si>
  <si>
    <t>c1ccc2c(c1)ccc(=O)o2</t>
  </si>
  <si>
    <t>El-Khatib R.M. et al Spectrochimica Acta Part A 67 (2007) 643–648</t>
  </si>
  <si>
    <t>s-1</t>
  </si>
  <si>
    <t>thiocoumarin</t>
  </si>
  <si>
    <t>c1ccc2c(c1)ccc(=S)o2</t>
  </si>
  <si>
    <t>Ethyl coumarin-3-carbaoxylate</t>
  </si>
  <si>
    <t>CCOC(=O)c1cc2ccccc2oc1=O</t>
  </si>
  <si>
    <t>Ewais H.A. et al Res.J.Chem. Sci. 2(12) (2012) 57-64</t>
  </si>
  <si>
    <t>0.0004M NaOH</t>
  </si>
  <si>
    <t>0.00048M NaOH</t>
  </si>
  <si>
    <t>.00056M NaOH</t>
  </si>
  <si>
    <t>0.0008M NaOH</t>
  </si>
  <si>
    <t>0.0016M NaOH</t>
  </si>
  <si>
    <t>0.0024M NaOH</t>
  </si>
  <si>
    <t>0.0032M NaOH</t>
  </si>
  <si>
    <t>0.004 M NaOH</t>
  </si>
  <si>
    <t>10^3 kobs</t>
  </si>
  <si>
    <t>Garrett E.R. et al J. Phar. Sci. 60(3) (1971) 396-405</t>
  </si>
  <si>
    <t>c1ccc2c(c1)cc(c(=O)o2)Cl</t>
  </si>
  <si>
    <t>3-chloro coumarin</t>
  </si>
  <si>
    <t>.0015M NaOH</t>
  </si>
  <si>
    <t>.005NaOH</t>
  </si>
  <si>
    <t>.0095M NaOH</t>
  </si>
  <si>
    <t>0.015M NaOH</t>
  </si>
  <si>
    <t>10^4kobs</t>
  </si>
  <si>
    <t>NOTE: conc of Ethyl coumarin-3-carbaoxylate is 4.30 x 10-5 mol dm-3 for all entries from this reference</t>
  </si>
  <si>
    <t xml:space="preserve"> </t>
  </si>
  <si>
    <t xml:space="preserve">    </t>
  </si>
  <si>
    <t>2-furanone</t>
  </si>
  <si>
    <t>C1C=COC1=O</t>
  </si>
  <si>
    <t>.1M NaOH</t>
  </si>
  <si>
    <t>Bombarelli RG, Calle E, Casado J, J. Org. Chem. 2013, 78, 6868-6879 Supporting Info</t>
  </si>
  <si>
    <t>COC1(OC(=O)C2=C1C=CC=C2)C1=CC=CC(=C1)N(=O)=O</t>
  </si>
  <si>
    <t>Weeks D.P. and Whitney D.B. J. Am. Chem. Soc. 1981, 103, 3555-3558</t>
  </si>
  <si>
    <t>3-phenylcoumaran-2-one</t>
  </si>
  <si>
    <t>c1ccc(cc1)C2c3ccccc3OC2=O</t>
  </si>
  <si>
    <t>Heathcote D.M. et. al. J. Chem. Soc. Perkin Trans. 2, 1998, 535-540</t>
  </si>
  <si>
    <t>1% dioxane, rate in s-1</t>
  </si>
  <si>
    <t>1,1,2,2-Tetrachloroethane</t>
  </si>
  <si>
    <t>C(C(Cl)Cl)(Cl)Cl</t>
  </si>
  <si>
    <t>Cooper W.J. Et al Environ. Sci. Technol. 1987, 21, 1112-1114</t>
  </si>
  <si>
    <t>CC(Cl)(Cl)Cl</t>
  </si>
  <si>
    <t>No pH dependence, purely dependent on temperature, rate in min-1</t>
  </si>
  <si>
    <t>β-Butyrolactone</t>
  </si>
  <si>
    <t>CC1CC(=O)O1</t>
  </si>
  <si>
    <t>Olson A.R. and Voule P.V. J. Am. Chem. Soc., 1951, 73 (6), pp 2468–2471</t>
  </si>
  <si>
    <t>0.5M HPO4-, lactone 0.145M</t>
  </si>
  <si>
    <t>.5HPO4-, lactone 0.117M</t>
  </si>
  <si>
    <t>0.545M CO3-, 0.15M HCO3-, lactone 0.66M</t>
  </si>
  <si>
    <t>0.1M Na2B4O7, lactone .0805M</t>
  </si>
  <si>
    <t>0.1M Na2B4O7, lactone 0.118M</t>
  </si>
  <si>
    <t>CC(C)NC(=O)N1CC(=O)N(C1=O)c2cc(cc(c2)Cl)Cl</t>
  </si>
  <si>
    <t>Iprodione</t>
  </si>
  <si>
    <t>Belafdal O et. al Pestic. Sci. 1986, 17, 335-342</t>
  </si>
  <si>
    <t>O=C1N(C(=O)C2=C1C=CC=C2)C1=CC=CC=C1</t>
  </si>
  <si>
    <t>N-phenylnaphthalimide</t>
  </si>
  <si>
    <t>Donskikh A.I. et al Periodica polytechnica Chemical engineering. Vol 33, No 1 (1989), pp. 61-67</t>
  </si>
  <si>
    <t xml:space="preserve">  </t>
  </si>
  <si>
    <t>N#CC1=CC=CC=C1</t>
  </si>
  <si>
    <t>benzonitrile</t>
  </si>
  <si>
    <t>N#CC1=CC=C2C=CC3=CC=CN=C3C2=N1</t>
  </si>
  <si>
    <t xml:space="preserve"> 1,10‐phenanthroline‐2‐carbonitrile</t>
  </si>
  <si>
    <t>CC#N</t>
  </si>
  <si>
    <t>acetonitrile</t>
  </si>
  <si>
    <t>p-Chlorobenzonitrile</t>
  </si>
  <si>
    <t>c1cc(ccc1C#N)Cl</t>
  </si>
  <si>
    <t>R. Breslow, R. Fairweather, and J. Keana, J. Amer. Chem. Soc., 89,2135 (1967).</t>
  </si>
  <si>
    <t>final concentration of 20-50 ppm in o.1 N HCl, at 20 deg C</t>
  </si>
  <si>
    <t>Glezer V et. al Wat. Res. Vol. 33, 8, 1938-1948, 1999</t>
  </si>
  <si>
    <t>Trichloroacetonitrile</t>
  </si>
  <si>
    <t>C(#N)C(Cl)(Cl)Cl</t>
  </si>
  <si>
    <t>Bromo(dichloro)acetonitrile</t>
  </si>
  <si>
    <t>C(#N)C(Cl)(Cl)Br</t>
  </si>
  <si>
    <t>Dibromochloroacetonitrile</t>
  </si>
  <si>
    <t>C(#N)C(Cl)(Br)Br</t>
  </si>
  <si>
    <t>Tribromoacetonitrile</t>
  </si>
  <si>
    <t>C(#N)C(Br)(Br)Br</t>
  </si>
  <si>
    <t>final concentration of 20-50 ppm in o.1 N HCl, at 20 deg C; rates in s-1</t>
  </si>
  <si>
    <t>Vinclozolin</t>
  </si>
  <si>
    <t>CC1(C(=O)N(C(=O)O1)c2cc(cc(c2)Cl)Cl)C=C</t>
  </si>
  <si>
    <t>Szeto S.Y. et al J. Agric. Food Chem., 37 (2), 523-529, 1989</t>
  </si>
  <si>
    <t>phosphate</t>
  </si>
  <si>
    <t>acetate</t>
  </si>
  <si>
    <t>stock soln of vinclozolin was prepared in methanol at 1000 micro g/ml conc and 1ml of stock soln was mixed with beffer to get 10 micro g/ml final conc and 2ml of these solns were transferred into brown amplues and samples inclubated at 35 degC in darkness. rate in s-1</t>
  </si>
  <si>
    <t>borate</t>
  </si>
  <si>
    <t>2-[ [ (3,5-dichlorophenyl)carbamoyl]oxy]-2-methyl-3-butenoic acid</t>
  </si>
  <si>
    <t>3’,5’-dichloro-2-hydroxy-2-methylbut-3-enanilide</t>
  </si>
  <si>
    <t>CC(OC(=O)NC1=CC(Cl)=CC(Cl)=C1)(C=C)C(O)=O</t>
  </si>
  <si>
    <t>CC(O)(C=C)C(=O)NC1=CC(Cl)=CC(Cl)=C1</t>
  </si>
  <si>
    <t>this is actual imide hydrolysis product</t>
  </si>
  <si>
    <t>this is more of a carbamate hydrolysis, and this subsequently get hydrolyzed too into 3,5-Dichloroaniline</t>
  </si>
  <si>
    <t>c1ccc2cc3c(cc2c1)C(=O)OC3=O</t>
  </si>
  <si>
    <t>Naphtho(2,3-c)furan-1,3-dione</t>
  </si>
  <si>
    <t>naphthalene‐2,3‐dicarboxylic acid</t>
  </si>
  <si>
    <t>OC(=O)C1=CC2=CC=CC=C2C=C1C(O)=O</t>
  </si>
  <si>
    <t>Barros T.C. et al J. Chem. Soc., Perkin Trans. 2, 2001, 2342–2350</t>
  </si>
  <si>
    <t>rates taken from fig 2; rate in s-1</t>
  </si>
  <si>
    <t>3,6-dimethylphthalic anhydride</t>
  </si>
  <si>
    <t>Cc1ccc(c2c1C(=O)OC2=O)C</t>
  </si>
  <si>
    <t>Hawkins M.D. J. Chem. Soc., Perkin Trans. 2, 1975, 282-284</t>
  </si>
  <si>
    <t>acetic anydride</t>
  </si>
  <si>
    <t>CC(=O)OC(=O)C</t>
  </si>
  <si>
    <t>Davis K.R and Hogg J.L. J. Org. Chem. 1983,48, 1041-1047</t>
  </si>
  <si>
    <t>(K)</t>
  </si>
  <si>
    <t>Trimethylacetic anhydride</t>
  </si>
  <si>
    <t>CC(C)(C)C(=O)OC(=O)C(C)(C)C</t>
  </si>
  <si>
    <t>Bunton C.A. and Fendler J.H. J. Org. Chem., 1965, 30 (5), 1365–1371</t>
  </si>
  <si>
    <t>Bunton C.A. et al J. Chem. Soc., 1963, 2918-2926</t>
  </si>
  <si>
    <t>Succinic anhydride</t>
  </si>
  <si>
    <t>C1CC(=O)OC1=O</t>
  </si>
  <si>
    <t>Glutaric anhydride</t>
  </si>
  <si>
    <t>C1CC(=O)OC(=O)C1</t>
  </si>
  <si>
    <t>Maleic anhydride</t>
  </si>
  <si>
    <t>C1=CC(=O)OC1=O</t>
  </si>
  <si>
    <t>Tetramethylsuccinic anhydride</t>
  </si>
  <si>
    <t>CC1(C(=O)OC(=O)C1(C)C)C</t>
  </si>
  <si>
    <t>Lactam Hydrolysis</t>
  </si>
  <si>
    <t>azetidin‐2‐one</t>
  </si>
  <si>
    <t>O=C1CCN1</t>
  </si>
  <si>
    <t>O=C1CCCCN1</t>
  </si>
  <si>
    <t>azepan‐2‐one</t>
  </si>
  <si>
    <t>O=C1CCCCCN1</t>
  </si>
  <si>
    <t>pyrrolidin‐2‐one</t>
  </si>
  <si>
    <t>O=C1CCCN1</t>
  </si>
  <si>
    <t>Wan P. Et al C an. J. Chem. 58,2423 (1980)</t>
  </si>
  <si>
    <t>rates were actually measured at higer temperatures and than scaled down to 25 deg C using Arrhenius expression. Similarly, the actual reactions were performed in aq H2SO4 and then subsequently extrapolated to zero acid concentraction</t>
  </si>
  <si>
    <t>O[C@@H]1[C@@H]2O[C@@H]2C2=C(C=CC=C2)[C@H]1O</t>
  </si>
  <si>
    <t>(1aR,6R,7S,7aS)‐1aH,6H,7H,7aH‐naphtho[1,2‐b]oxirene‐6,7‐diol</t>
  </si>
  <si>
    <t>EFSA Methyl Bromide - October 2005/Gentile, I.R. et al Pestic. Sci. 1989, 25, 261-272</t>
  </si>
  <si>
    <t>half life in yrs is 40 yrs</t>
  </si>
  <si>
    <t>Fells, I and Moelwyn-Hughes, E.A. J. Chem. Soc. 398, 1959.</t>
  </si>
  <si>
    <t>Fells I and Moelwyn-Hughes E.A., J. Chem. Soc. 1326, 1958. Fells, I and Moelwyn-Hughes, E.A. J. Chem. Soc. 398, 1959.</t>
  </si>
  <si>
    <t>Fluoroacetic acid sodium salt</t>
  </si>
  <si>
    <t>FCC(=O)O(Na)</t>
  </si>
  <si>
    <t>Cis-1,4-dichloro-2-butene</t>
  </si>
  <si>
    <t>C(=CCCl)CCl</t>
  </si>
  <si>
    <t>Trans-1,4-dichloro-2-butene</t>
  </si>
  <si>
    <t>extrapolated</t>
  </si>
  <si>
    <t>J. J. Ellington et al. 1987 vol1_EPA/600/3-86/ 043</t>
  </si>
  <si>
    <t>7‐oxabicyclo[4.1.0]hept‐2‐ene</t>
  </si>
  <si>
    <t>(2Z)-9-oxabicyclo[6.1.0]non-2-ene</t>
  </si>
  <si>
    <t>C1CC2OC2C=C1</t>
  </si>
  <si>
    <t>C1CCC2OC2\C=C/C1</t>
  </si>
  <si>
    <t>cyclohex‐3‐ene‐1,2‐diol</t>
  </si>
  <si>
    <t>cyclohex-2-ene-1,4-diol</t>
  </si>
  <si>
    <t>OC1CCC=CC1O</t>
  </si>
  <si>
    <t>OC1CCC(O)C=C1</t>
  </si>
  <si>
    <t>in acidic pH, 55% of this is formed; in pH 9-12, its 98%</t>
  </si>
  <si>
    <t>in acidic pH, 45% of this is formed; in pH 9-12, its 2%</t>
  </si>
  <si>
    <t>Whalen D.L. J. Am. Chem. Soc. 95(10), 3432, 1973</t>
  </si>
  <si>
    <t>µ = 1, KCl; average of 4 runs at pH 5.65 in cyanomethylamine buffer, units are M-1Sec-1</t>
  </si>
  <si>
    <t>µ = 1, KCl; average of 10 runs at pH 10-12, units are sec-1</t>
  </si>
  <si>
    <t>(3Z)‐cyclooct‐3‐ene‐1,2‐diol</t>
  </si>
  <si>
    <t>(2Z)-cyclooct-2-ene-1,4-diol</t>
  </si>
  <si>
    <t>(2Z,4Z)-cycloocta-2,4-dien-1-ol</t>
  </si>
  <si>
    <t>OC1CCCC\C=C/C1O</t>
  </si>
  <si>
    <t>OC1CCCCC(O)\C=C/1</t>
  </si>
  <si>
    <t>OC1CCC\C=C/C=C\1</t>
  </si>
  <si>
    <t>equal amounts of all three products formed</t>
  </si>
  <si>
    <t xml:space="preserve"> µ= 0.1, NaCl; rate is M-1Sec-1</t>
  </si>
  <si>
    <t>(3S,5R,6S,7R)-4-oxahexacyclo[11.6.2.0²,⁸.0³,⁵.0¹⁰,²⁰.0¹⁷,²¹]henicosa-1(19),2(8),9,11,13,15,17,20-octaene-6,7-diol</t>
  </si>
  <si>
    <t>(3R,5S,6S,7R)‐4‐oxahexacyclo[11.6.2.0²,⁸.0³,⁵.0¹⁰,²⁰.0¹⁷,²¹]henicosa‐1(20),2(8),9,11,13,15,17(21),18‐octaene‐6,7‐diol</t>
  </si>
  <si>
    <t>O[C@@H]1[C@@H]2O[C@@H]2C2=C(C=C3C=CC4=CC=CC5=C4C3=C2C=C5)[C@H]1O</t>
  </si>
  <si>
    <t>O[C@@H]1[C@H]2O[C@H]2C2=C(C=C3C=CC4=CC=CC5=CC=C2C3=C45)[C@H]1O</t>
  </si>
  <si>
    <t>Whalen D.L. et al J. Am. Chem. Soc. 99(16), 5522, 1977</t>
  </si>
  <si>
    <t>0.1M NaClO4 and 10^-4 M EDTA. Raw rates are log (kobs) s-1</t>
  </si>
  <si>
    <t>Ethylene oxide</t>
  </si>
  <si>
    <t>C1CO1</t>
  </si>
  <si>
    <t>Bogyo D.A. et al EPA-560/11-80-005, 1980; Bronsted J.N. et al J. Amer. Chem. Soc. 51, 428-461, 1929.</t>
  </si>
  <si>
    <t>Bogyo D.A. et al EPA-560/11-80-005, 1980; Long F.A. and Pritchard J.G. J. Am. Chem. Soc. 78, 2663-2667, 1956.</t>
  </si>
  <si>
    <t>propylene oxide</t>
  </si>
  <si>
    <t>CC1CO1</t>
  </si>
  <si>
    <t>Bogyo D.A. et al EPA-560/11-80-005, 1980;  Koskikallio J. and Whalley E. Can. J. Chem. 37, 783-787, 1959.</t>
  </si>
  <si>
    <t>Bogyo D.A. et al EPA-560/11-80-005, 1980;  Ross W.C&gt;J. J. Chem. Soc. 2257-2271, 1950.</t>
  </si>
  <si>
    <t>pKw</t>
  </si>
  <si>
    <t>Ea</t>
  </si>
  <si>
    <t>(kcal/mol)</t>
  </si>
  <si>
    <t>(sec^-1)</t>
  </si>
  <si>
    <t>(M^-1 sec^-1)</t>
  </si>
  <si>
    <t>Units</t>
  </si>
  <si>
    <t>days^-1</t>
  </si>
  <si>
    <t>sec^-1</t>
  </si>
  <si>
    <t>Units Conversion</t>
  </si>
  <si>
    <t>Temperature corrected to 25 degC</t>
  </si>
  <si>
    <t>pH 5</t>
  </si>
  <si>
    <t>pH 9</t>
  </si>
  <si>
    <t>days</t>
  </si>
  <si>
    <t xml:space="preserve"> &lt; 0.00000833</t>
  </si>
  <si>
    <t>&gt; 0.013</t>
  </si>
  <si>
    <t>Stable</t>
  </si>
  <si>
    <t>carbaryl</t>
  </si>
  <si>
    <t>hours^-1</t>
  </si>
  <si>
    <t>min^-1</t>
  </si>
  <si>
    <t>1-naphthol</t>
  </si>
  <si>
    <t>c1ccc2c(c1)cccc2O</t>
  </si>
  <si>
    <t>Andrawes, N. and R. Meeker. 1976. Hydrolysis of Temik Aldicarb Pesticide in Aqueous Buffer Solutions. Project No. 111A13, File No. 22263. Unpublished study received Dec 6, 1977 under 1016-69; submitted by Union Carbide Corp., Arlington, VA</t>
  </si>
  <si>
    <t>Aly O.M., El-Dib M.A. water Research, 1971, 5, 1191-1205</t>
  </si>
  <si>
    <t>CNC(=O)Oc1cccc2c1cccc2</t>
  </si>
  <si>
    <t>hours</t>
  </si>
  <si>
    <t>&lt; 1 hr</t>
  </si>
  <si>
    <t>carbofuran-phenol</t>
  </si>
  <si>
    <t>CC1(Cc2cccc(c2O1)OC(=O)NC)C</t>
  </si>
  <si>
    <t>CC1(Cc2cccc(c2O1)O)C</t>
  </si>
  <si>
    <t xml:space="preserve">Aly O.M., El-Dib M.A. water Research, 1971, 5, 1191-1205 </t>
  </si>
  <si>
    <t>months^-1</t>
  </si>
  <si>
    <t>hour^-1</t>
  </si>
  <si>
    <t>M^-1 sec^-1</t>
  </si>
  <si>
    <t>Reported Measurements under Acidic Conditions</t>
  </si>
  <si>
    <t>Reported Measurements under Basic Conditions</t>
  </si>
  <si>
    <t xml:space="preserve"> Wiberg, K.B., JACS, 77,  (1955)</t>
  </si>
  <si>
    <t>50% acetone; T = 40 - 60 deg C</t>
  </si>
  <si>
    <t xml:space="preserve"> Wiberg, K.B., JACS, 77,  (1955), 2519; cited by Pinnell et al, JACS, 94, 6104 (1972) and Buckingham, D.A. et al, JACS, 95, 5649 (1973)</t>
  </si>
  <si>
    <t>M^-1 min^-1</t>
  </si>
  <si>
    <t>N. Peskoff and J. Meyer, Z. Phys. Chem., 82,129 (1913), cited by Buckingham D.A. et al J. Am. Chem. Soc. 95, 1973, 5649</t>
  </si>
  <si>
    <t>N. Peskoff and J. Meyer, Z. Phys. Chem., 82,129 (1913), cited by Ellington et al (1987)</t>
  </si>
  <si>
    <t>M^-1 hr^-1</t>
  </si>
  <si>
    <t>Ellington et al (1987)</t>
  </si>
  <si>
    <t>Dichloroacetonitrile</t>
  </si>
  <si>
    <t>C(#N)C(Cl)Cl</t>
  </si>
  <si>
    <t>Reckhow, D.A. et al AQUA 2001</t>
  </si>
  <si>
    <t>rates measured at pH 6, 7, 7.5, 8, 8.5 &amp; 9</t>
  </si>
  <si>
    <t/>
  </si>
  <si>
    <t>Flonicamid</t>
  </si>
  <si>
    <t>FC(F)(F)C1=CC=NC=C1C(=O)NCC#N</t>
  </si>
  <si>
    <t>EFSA, 2005</t>
  </si>
  <si>
    <t>10^-3*s^-1</t>
  </si>
  <si>
    <t>.011M NaOH; Ea taken from El-Khatib R.M. et al Spectrochimica Acta Part A 67 (2007) 643–648</t>
  </si>
  <si>
    <t>10^-5*s^-1</t>
  </si>
  <si>
    <t>.015M NaOH;  Ea taken from El-Khatib R.M. et al Spectrochimica Acta Part A 67 (2007) 643–648</t>
  </si>
  <si>
    <t>0.0185M NaOH;  Ea taken from El-Khatib R.M. et al Spectrochimica Acta Part A 67 (2007) 643–648</t>
  </si>
  <si>
    <t>10^-4*s^-1</t>
  </si>
  <si>
    <t>s^-1</t>
  </si>
  <si>
    <t>log(kobs in s-1)</t>
  </si>
  <si>
    <t>min-1</t>
  </si>
  <si>
    <t>8.4-9.3</t>
  </si>
  <si>
    <t>K</t>
  </si>
  <si>
    <t xml:space="preserve">N.R. </t>
  </si>
  <si>
    <t>M^-1s^-1</t>
  </si>
  <si>
    <t>M^-1s-1</t>
  </si>
  <si>
    <t>second order rates in M^-1s^-1 with hydroxyl ion. Table 11</t>
  </si>
  <si>
    <t>Spirotetramat</t>
  </si>
  <si>
    <t>CCOC(=O)OC1=C(C(=O)N[C@@]12CC[C@@H](CC2)OC)c3c(ccc(c3)C)C</t>
  </si>
  <si>
    <t>Propylene carbonate</t>
  </si>
  <si>
    <t>CC1COC(=O)O1</t>
  </si>
  <si>
    <t>U.S. Environmental Protection Agency, Risk-Based Prioritization Document April 2009, proplylene carbonate</t>
  </si>
  <si>
    <t>EFSA Spirotetramat (Vol3, Annex B.8, pg 158) 2008</t>
  </si>
  <si>
    <t>CCCCC(CC)COC(=O)OOC(C)(C)C</t>
  </si>
  <si>
    <t>3-[({[(2-Methyl-2-propanyl)peroxy]carbonyl}oxy)methyl]heptane</t>
  </si>
  <si>
    <t>its also called as Luperox®, and is sold as a free radical initiator. The degradation poduct was 2-ethylhexanol.</t>
  </si>
  <si>
    <t xml:space="preserve">Accessed April, 2015; http://apps.echa.europa.eu/registered/data/dossiers/DISS-db9aee68-95f8-1ba3-e044-00144f67d031/AGGR-038b5993-3a04-4895-abb7-e83b71d10cb7_DISS-db9aee68-95f8-1ba3-e044-00144f67d031.html#AGGR-038b5993-3a04-4895-abb7-e83b71d10cb7 </t>
  </si>
  <si>
    <t>Accessed April, 2015; http://apps.echa.europa.eu/registered/data/dossiers/DISS-db9aaef6-7431-72c9-e044-00144f67d031/AGGR-a62206ea-4edd-45b0-8585-e6a5afca19cc_DISS-db9aaef6-7431-72c9-e044-00144f67d031.html#AGGR-a62206ea-4edd-45b0-8585-e6a5afca19cc</t>
  </si>
  <si>
    <t>activation energy at 25 deg</t>
  </si>
  <si>
    <t>activation energy at 50 deg</t>
  </si>
  <si>
    <t>Trichloroethane</t>
  </si>
  <si>
    <t>Ea is for alkaline hydrolysis only.</t>
  </si>
  <si>
    <t>Jeffers P.M. and Wolfe N.L Science, 1989, 246, 1638.</t>
  </si>
  <si>
    <t>Ellington1987vol1_EPA600_S3-86_043</t>
  </si>
  <si>
    <t>Ellington1989_EPA600_3-89_063</t>
  </si>
  <si>
    <t>pH 7-9 nuetral hydrolysis, activation energy same</t>
  </si>
  <si>
    <t>pH 11 base hydrolysis, different activation energy</t>
  </si>
  <si>
    <t>compound #2 in paper, Fig 1</t>
  </si>
  <si>
    <t>activation energy is for acid catalysis from Long et. al J. Am. Chem. Soc., 1957, 79 (10),  2362–2364</t>
  </si>
  <si>
    <t>activation energy is for acid catalysis from Long et. al J. Am. Chem. Soc., 1957, 79 (10),  2362–2365</t>
  </si>
  <si>
    <t>activation energy is for acid catalysis from Long et. al J. Am. Chem. Soc., 1957, 79 (10),  2362–2366</t>
  </si>
  <si>
    <t>activation energy is for acid catalysis from Long et. al J. Am. Chem. Soc., 1957, 79 (10),  2362–2367</t>
  </si>
  <si>
    <t>activation energy is for acid catalysis from Long et. al J. Am. Chem. Soc., 1957, 79 (10),  2362–2369</t>
  </si>
  <si>
    <t>activation energy is for acid catalysis from Long et. al J. Am. Chem. Soc., 1957, 79 (10),  2362–2370</t>
  </si>
  <si>
    <t>activation energy is for acid catalysis from Long et. al J. Am. Chem. Soc., 1957, 79 (10),  2362–2371</t>
  </si>
  <si>
    <t>M^-1sec^-1</t>
  </si>
  <si>
    <t>NR</t>
  </si>
  <si>
    <t>Major Hydrolysis Product is DM-TM and ph-CH3 compound is a daughter metabolite. 20 deg C and 25 Deg C are calculated half lifes using arrhenius eq.</t>
  </si>
  <si>
    <t>20 deg C and 25 Deg C are calculated half lifes using arrhenius eq.</t>
  </si>
  <si>
    <t>Lenz M.F. 1984 MR86624</t>
  </si>
  <si>
    <t>Hellpointner E. 2003. MEF-091/03</t>
  </si>
  <si>
    <t>Sanz-Asensio, Jesus, et al. Pestic. Sci. 1997, 50, 187-194</t>
  </si>
  <si>
    <t>105201 bendiocarb</t>
  </si>
  <si>
    <t>104801_desmedipham_(PUBLIC)_(hydrolysis)</t>
  </si>
  <si>
    <t>another name is sevin</t>
  </si>
  <si>
    <t>Table 10</t>
  </si>
  <si>
    <t>alkaline Ea, second order rates in M^-1s^-1 with hydroxyl ion. Table 11</t>
  </si>
  <si>
    <t>activation energy from Robertson, R.E. et. al Can. J. Chem. 37, 803, 1959.</t>
  </si>
  <si>
    <t>no degradation</t>
  </si>
  <si>
    <t>pH independent in pH range 5-6.5</t>
  </si>
  <si>
    <t>intrepreted from Fig. 2</t>
  </si>
  <si>
    <t>c1ccc2c(c1)C(=O)N(C2=O)c3ccccc3C(=O)O</t>
  </si>
  <si>
    <t>N-(o-carboxyphenyl)-phthalimide</t>
  </si>
  <si>
    <t>FAOevaluation</t>
  </si>
  <si>
    <t>methomyl</t>
  </si>
  <si>
    <t>EFSA Thiodicarb 2003</t>
  </si>
  <si>
    <t>C/C(=N\OC(=O)N(SN(C(=O)O/N=C(/SC)\C)C)C)/SC</t>
  </si>
  <si>
    <t>&lt;0.5 hr</t>
  </si>
  <si>
    <t>EFSA Benfuracarb 2004</t>
  </si>
  <si>
    <t>CCOC(=O)CCN(SN(C)C(=O)OC1=CC=CC2=C1OC(C)(C)C2)C(C)C</t>
  </si>
  <si>
    <t>mercaptobenzothiazole, di(benzothiazoyl-2)disulfide, tert-butylamine, benzothiazole</t>
  </si>
  <si>
    <t>hr^-1</t>
  </si>
  <si>
    <t>OECDdoc</t>
  </si>
  <si>
    <t>CC(C)(C)NSC1=NC2=CC=CC=C2S1</t>
  </si>
  <si>
    <t>N-tert-butylbenzothiazole-2-sulphenamide</t>
  </si>
  <si>
    <t>C1CCC(CC1)SN2C(=O)C3=CC=CC=C3C2=O</t>
  </si>
  <si>
    <t>Cyclohexylthiophthalimide</t>
  </si>
  <si>
    <r>
      <t xml:space="preserve">Wolfe, N.L. et al. J Agric. Food Chem. </t>
    </r>
    <r>
      <rPr>
        <b/>
        <sz val="11"/>
        <color theme="1"/>
        <rFont val="Calibri"/>
        <family val="2"/>
        <scheme val="minor"/>
      </rPr>
      <t>1976</t>
    </r>
    <r>
      <rPr>
        <sz val="11"/>
        <color theme="1"/>
        <rFont val="Calibri"/>
        <family val="2"/>
        <scheme val="minor"/>
      </rPr>
      <t xml:space="preserve">, </t>
    </r>
    <r>
      <rPr>
        <i/>
        <sz val="11"/>
        <color theme="1"/>
        <rFont val="Calibri"/>
        <family val="2"/>
        <scheme val="minor"/>
      </rPr>
      <t>24</t>
    </r>
    <r>
      <rPr>
        <sz val="11"/>
        <color theme="1"/>
        <rFont val="Calibri"/>
        <family val="2"/>
        <scheme val="minor"/>
      </rPr>
      <t>, 1041-1045</t>
    </r>
  </si>
  <si>
    <t>C1C=CCC2C1C(=O)N(C2=O)SC(C(Cl)Cl)(Cl)Cl</t>
  </si>
  <si>
    <t>Captafol</t>
  </si>
  <si>
    <t>EFSA Captan 2003 report</t>
  </si>
  <si>
    <t>average rate over pH 7-10, pH dependent second-order</t>
  </si>
  <si>
    <t>average rate over pH 2-7, pH independent first-order</t>
  </si>
  <si>
    <t>pH independent first order in pH range 2-6</t>
  </si>
  <si>
    <t>4-cyclohexene-1,2-dicarboximide, carbon dioxide, hydrochloric acid, sulfur</t>
  </si>
  <si>
    <t>C1C=CCC2C1C(=O)N(C2=O)SC(Cl)(Cl)Cl</t>
  </si>
  <si>
    <t>Captan</t>
  </si>
  <si>
    <t>too fast</t>
  </si>
  <si>
    <t>phthalimide</t>
  </si>
  <si>
    <t>EFSA Folpet 2004</t>
  </si>
  <si>
    <t>c1ccc2c(c1)C(=O)N(C2=O)SC(Cl)(Cl)Cl</t>
  </si>
  <si>
    <t>Folpet</t>
  </si>
  <si>
    <t>EFSA Carbosulfan 2004</t>
  </si>
  <si>
    <r>
      <t xml:space="preserve">Umetsu, N.; Kuwano, E.; Fukuto, T.R. </t>
    </r>
    <r>
      <rPr>
        <i/>
        <sz val="11"/>
        <color theme="1"/>
        <rFont val="Calibri"/>
        <family val="2"/>
        <scheme val="minor"/>
      </rPr>
      <t>J. Environ. Sci. Health</t>
    </r>
    <r>
      <rPr>
        <sz val="11"/>
        <color theme="1"/>
        <rFont val="Calibri"/>
        <family val="2"/>
        <scheme val="minor"/>
      </rPr>
      <t xml:space="preserve"> </t>
    </r>
    <r>
      <rPr>
        <b/>
        <sz val="11"/>
        <color theme="1"/>
        <rFont val="Calibri"/>
        <family val="2"/>
        <scheme val="minor"/>
      </rPr>
      <t>1980</t>
    </r>
    <r>
      <rPr>
        <sz val="11"/>
        <color theme="1"/>
        <rFont val="Calibri"/>
        <family val="2"/>
        <scheme val="minor"/>
      </rPr>
      <t xml:space="preserve">, </t>
    </r>
    <r>
      <rPr>
        <i/>
        <sz val="11"/>
        <color theme="1"/>
        <rFont val="Calibri"/>
        <family val="2"/>
        <scheme val="minor"/>
      </rPr>
      <t>B15(1)</t>
    </r>
    <r>
      <rPr>
        <sz val="11"/>
        <color theme="1"/>
        <rFont val="Calibri"/>
        <family val="2"/>
        <scheme val="minor"/>
      </rPr>
      <t>, 1-23.</t>
    </r>
  </si>
  <si>
    <r>
      <t xml:space="preserve">deMelo Plese et al., </t>
    </r>
    <r>
      <rPr>
        <i/>
        <sz val="11"/>
        <color theme="1"/>
        <rFont val="Calibri"/>
        <family val="2"/>
        <scheme val="minor"/>
      </rPr>
      <t>Chemosphere</t>
    </r>
    <r>
      <rPr>
        <sz val="11"/>
        <color theme="1"/>
        <rFont val="Calibri"/>
        <family val="2"/>
        <scheme val="minor"/>
      </rPr>
      <t xml:space="preserve"> </t>
    </r>
    <r>
      <rPr>
        <b/>
        <sz val="11"/>
        <color theme="1"/>
        <rFont val="Calibri"/>
        <family val="2"/>
        <scheme val="minor"/>
      </rPr>
      <t>2005</t>
    </r>
    <r>
      <rPr>
        <sz val="11"/>
        <color theme="1"/>
        <rFont val="Calibri"/>
        <family val="2"/>
        <scheme val="minor"/>
      </rPr>
      <t xml:space="preserve">, </t>
    </r>
    <r>
      <rPr>
        <i/>
        <sz val="11"/>
        <color theme="1"/>
        <rFont val="Calibri"/>
        <family val="2"/>
        <scheme val="minor"/>
      </rPr>
      <t>60</t>
    </r>
    <r>
      <rPr>
        <sz val="11"/>
        <color theme="1"/>
        <rFont val="Calibri"/>
        <family val="2"/>
        <scheme val="minor"/>
      </rPr>
      <t>, 149-156</t>
    </r>
  </si>
  <si>
    <t>CCCCN(CCCC)SN(C)C(=O)Oc1cccc2c1OC(C2)(C)C</t>
  </si>
  <si>
    <t>Carbosulfan</t>
  </si>
  <si>
    <t>N-S Cleavage Hydrolysis</t>
  </si>
  <si>
    <t xml:space="preserve"> Pinnell et al, JACS, 94, 6104 (1972)</t>
  </si>
  <si>
    <t>Temp 25 +/- 0.5, supporting information</t>
  </si>
  <si>
    <t>Wu J et al Israel Journal of Chemistry Vol. 42 2002. 99–107;  059101_Chlorpyrifos_(source Hydrolysis Information)</t>
  </si>
  <si>
    <t>Milli-Q water low chlorpyrifos conc (0.25 microM)</t>
  </si>
  <si>
    <t>Milli-Q water high chlorpyrifos conc (1 microM)</t>
  </si>
  <si>
    <t>0.01 M CaCl2  low chlorpyrifos conc (0.25 microM)</t>
  </si>
  <si>
    <t>0.01 M CaCl2  high chlorpyrifos conc (1 microM)</t>
  </si>
  <si>
    <t>filtered Cedar River water low chlorpyrifos conc (0.25 microM)</t>
  </si>
  <si>
    <t>filtered Cedar River water high  chlorpyrifos conc (1 microM)</t>
  </si>
  <si>
    <t>pyraclofos</t>
  </si>
  <si>
    <t>CCCSP(=O)(OCC)Oc1cnn(c1)c2ccc(cc2)Cl</t>
  </si>
  <si>
    <t>Australian pesticides and veterinary medicines authorty, Product Number 59304. http://apvma.gov.au/sites/default/files/publication/14146-prs-colleague.pdf accessed May 2015; xxxxxx_pyraclofos_(hydrolysis-DOCs)-NEW</t>
  </si>
  <si>
    <t>Iprobenfos</t>
  </si>
  <si>
    <t>CC(C)OP(=O)(OC(C)C)SCc1ccccc1</t>
  </si>
  <si>
    <t xml:space="preserve"> Park BJ et al Korean Journal of Pesticide Science. 2(2), 1998, 39-44; xxxxxx_iprobenfos_(hydrolysis-DOCs)NO MAP-NEW</t>
  </si>
  <si>
    <t>Diazinon</t>
  </si>
  <si>
    <t>CCOP(=S)(OCC)Oc1cc(nc(n1)C(C)C)C</t>
  </si>
  <si>
    <t>Triazophos</t>
  </si>
  <si>
    <t>CCOP(=S)(OCC)Oc1ncn(n1)c2ccccc2</t>
  </si>
  <si>
    <t>Kunde L et al J. Agric. Food Chem. 2004, 52, 5404-5411; 344600_triazophosl_EFSA</t>
  </si>
  <si>
    <t>Profenofos</t>
  </si>
  <si>
    <t>CCCSP(=O)(OCC)Oc1ccc(cc1Cl)Br</t>
  </si>
  <si>
    <t>111401_Profenofos_(source Hydrolysis Information)</t>
  </si>
  <si>
    <t>chlorfenvinphos</t>
  </si>
  <si>
    <t>CCOP(=O)(OCC)O/C(=C/Cl)/c1ccc(cc1Cl)Cl</t>
  </si>
  <si>
    <t>084101_Chlorfenvinphos_(source Hydrolysis Information)</t>
  </si>
  <si>
    <t>tetrachlorvinphos</t>
  </si>
  <si>
    <t>COOP(=O)(O/C(=C\Cl)/c1cc(c(cc1Cl)Cl)Cl)OOC</t>
  </si>
  <si>
    <t>Akhtar, MH J. Agric. Food Chem., Vol. 25, No. 4, 1977, 848-851; 083701_tetrachlorvinphos_(source Hydrolysis Information)</t>
  </si>
  <si>
    <t>monocrotophos</t>
  </si>
  <si>
    <t>C/C(=C\C(=N\C)\O)/OP(=O)(OC)OC</t>
  </si>
  <si>
    <t>Lee P.W. et al J. Agric. Food Chem., Vol. 38(2), 1990, 567-573; 058901_monocrotophos_(source Hydrolysis Information)</t>
  </si>
  <si>
    <t>distilled water for pH 6.6 entry</t>
  </si>
  <si>
    <t>natural water for pH 7.6 entry</t>
  </si>
  <si>
    <t>Oxydemeton-methyl</t>
  </si>
  <si>
    <t>CCS(=O)CCSP(=O)(OC)OC</t>
  </si>
  <si>
    <t>058702_oxydemeton-methyl_(hydrolysis-docs)-NEW</t>
  </si>
  <si>
    <t>&lt;1</t>
  </si>
  <si>
    <t>pH4 in 0.01M Acetate buffer, pH in 0.01M Tris buffer and pH in 0.01 botate buffer</t>
  </si>
  <si>
    <t>Phorate</t>
  </si>
  <si>
    <t>CCOP(=S)(OCC)SCSCC</t>
  </si>
  <si>
    <t>057201_phorate_(hydrolysis-docs)-NEW</t>
  </si>
  <si>
    <t>martin and Heim 1999 (PA-630-005)</t>
  </si>
  <si>
    <t>Naled</t>
  </si>
  <si>
    <t>COP(=O)(OC)OC(C(Cl)(Cl)Br)Br</t>
  </si>
  <si>
    <t>034401_naled_(hydrolysis-DOCs)-NEW</t>
  </si>
  <si>
    <t>average</t>
  </si>
  <si>
    <t>min</t>
  </si>
  <si>
    <t>max</t>
  </si>
  <si>
    <t>n</t>
  </si>
  <si>
    <t>Average</t>
  </si>
  <si>
    <t>STDEV</t>
  </si>
  <si>
    <t>AVERAGE</t>
  </si>
  <si>
    <t>group 1 average</t>
  </si>
  <si>
    <t>group 1 STDEV</t>
  </si>
  <si>
    <t xml:space="preserve">group 2 average </t>
  </si>
  <si>
    <t>group 2 STDEV</t>
  </si>
  <si>
    <t>stdev</t>
  </si>
  <si>
    <t>median</t>
  </si>
  <si>
    <t>MEDIAN</t>
  </si>
  <si>
    <t>Median</t>
  </si>
  <si>
    <t>Compound Half-Life</t>
  </si>
  <si>
    <t xml:space="preserve">average </t>
  </si>
  <si>
    <t>Min</t>
  </si>
  <si>
    <t>Max</t>
  </si>
  <si>
    <t>cmpd 1-4, 10</t>
  </si>
  <si>
    <t>cmpd 5-9</t>
  </si>
  <si>
    <t>SD</t>
  </si>
  <si>
    <t>2.2 Chloro</t>
  </si>
  <si>
    <t>2.1 Bromo</t>
  </si>
  <si>
    <t>The EPA Sub. N 161-1 Method, pH independent pH5-7</t>
  </si>
  <si>
    <t>MEAN</t>
  </si>
  <si>
    <t>Acid Halide Hydrolysis</t>
  </si>
  <si>
    <t>Phosgene</t>
  </si>
  <si>
    <t>Methyl Chloroformate</t>
  </si>
  <si>
    <t>Queen A. C. J. Chem. 45, 1619 (1967)</t>
  </si>
  <si>
    <t>Ethyl Chloroformate</t>
  </si>
  <si>
    <t>Propyl Chloroformate</t>
  </si>
  <si>
    <t>Isopropyl Chloroformate</t>
  </si>
  <si>
    <t>Phenyl Chloroformate</t>
  </si>
  <si>
    <t>COC(=O)Cl</t>
  </si>
  <si>
    <t>CCOC(=O)Cl</t>
  </si>
  <si>
    <t>CCCOC(=O)Cl</t>
  </si>
  <si>
    <t>CC(C)OC(=O)Cl</t>
  </si>
  <si>
    <t>c1ccc(cc1)OC(=O)Cl</t>
  </si>
  <si>
    <t>Prager et al  J. Chem. Soc., Perkin Trans. 2, 2001, 1641–1647; W. H. Manogue and R. L. Pigford, AiChE J., 1960, 6, 494</t>
  </si>
  <si>
    <t>Prager et al  J. Chem. Soc., Perkin Trans. 2, 2001, 1641–1647; R. Mertens, C. von Sonntag, J. Lind and G. Merényi, Angew. Chem., Int. Ed. Engl., 1994, 33, 1259.</t>
  </si>
  <si>
    <t>Formyl chloride</t>
  </si>
  <si>
    <t>Prager et al  J. Chem. Soc., Perkin Trans. 2, 2001</t>
  </si>
  <si>
    <t>Acetyl chloride</t>
  </si>
  <si>
    <t>Chloroacetyl chloride</t>
  </si>
  <si>
    <t>Dichloroacetyl chloride</t>
  </si>
  <si>
    <t>Trichloroacetyl chloride</t>
  </si>
  <si>
    <t>Oxalyl dichloride</t>
  </si>
  <si>
    <t>Succinyl dichloride</t>
  </si>
  <si>
    <t>&gt;350</t>
  </si>
  <si>
    <t>Prager et al  J. Chem. Soc., Perkin Trans. 2, 2001; C. George, J. Lagrange, P. Lagrange, P. Mirabel, C. Pallares and J. L. Ponche, J. Geophys. Res., 1998, 99, 1255.
J. L. Ponche, J. Geophys. Res., 1998, 99, 1255.</t>
  </si>
  <si>
    <t>C(C(=O)Cl)Cl</t>
  </si>
  <si>
    <t>C(=O)(Cl)Cl</t>
  </si>
  <si>
    <t>C(=O)Cl</t>
  </si>
  <si>
    <t>CC(=O)Cl</t>
  </si>
  <si>
    <t>C(C(=O)Cl)(Cl)Cl</t>
  </si>
  <si>
    <t>C(=O)(C(Cl)(Cl)Cl)Cl</t>
  </si>
  <si>
    <t>C(=O)(C(=O)Cl)Cl</t>
  </si>
  <si>
    <t>C(CC(=O)Cl)C(=O)Cl</t>
  </si>
  <si>
    <t>Methyl thiochloroformate</t>
  </si>
  <si>
    <t>CSC(Cl)=O</t>
  </si>
  <si>
    <r>
      <t xml:space="preserve">Queen, A.; Nour, T.A.; Paddon-Row, M.N.; Preston, K. Kinetics of the hydrolysis of thiochloroformate esters in pure water. </t>
    </r>
    <r>
      <rPr>
        <i/>
        <sz val="11"/>
        <color theme="1"/>
        <rFont val="Calibri"/>
        <family val="2"/>
        <scheme val="minor"/>
      </rPr>
      <t>Can. J. Chem.</t>
    </r>
    <r>
      <rPr>
        <sz val="11"/>
        <color theme="1"/>
        <rFont val="Calibri"/>
        <family val="2"/>
        <scheme val="minor"/>
      </rPr>
      <t xml:space="preserve"> </t>
    </r>
    <r>
      <rPr>
        <b/>
        <sz val="11"/>
        <color theme="1"/>
        <rFont val="Calibri"/>
        <family val="2"/>
        <scheme val="minor"/>
      </rPr>
      <t>1970</t>
    </r>
    <r>
      <rPr>
        <sz val="11"/>
        <color theme="1"/>
        <rFont val="Calibri"/>
        <family val="2"/>
        <scheme val="minor"/>
      </rPr>
      <t xml:space="preserve">, </t>
    </r>
    <r>
      <rPr>
        <i/>
        <sz val="11"/>
        <color theme="1"/>
        <rFont val="Calibri"/>
        <family val="2"/>
        <scheme val="minor"/>
      </rPr>
      <t>48,</t>
    </r>
    <r>
      <rPr>
        <sz val="11"/>
        <color theme="1"/>
        <rFont val="Calibri"/>
        <family val="2"/>
        <scheme val="minor"/>
      </rPr>
      <t xml:space="preserve"> 522-527</t>
    </r>
  </si>
  <si>
    <t>table 1, table 2 (last 2 columns b/c environmentally relevant temps), pure water</t>
  </si>
  <si>
    <t>chloro(ethylsulfanyl)methanone</t>
  </si>
  <si>
    <t>CCSC(Cl)=O</t>
  </si>
  <si>
    <t>table 1, pure water</t>
  </si>
  <si>
    <t>chloro(isopropylsulfanyl)methanone</t>
  </si>
  <si>
    <t>CC(C)SC(Cl)=O</t>
  </si>
  <si>
    <t>phenyl thiochloroformate</t>
  </si>
  <si>
    <t>ClC(=O)SC1=CC=CC=C1</t>
  </si>
  <si>
    <t>S-propyl chlorothioformate</t>
  </si>
  <si>
    <t>CCCSC(Cl)=O</t>
  </si>
  <si>
    <t>Benzoyl fluoride</t>
  </si>
  <si>
    <t>FC(=O)C1=CC=CC=C1</t>
  </si>
  <si>
    <t>table 2, column 1, solvent = water</t>
  </si>
  <si>
    <t>Benzoyl chloride</t>
  </si>
  <si>
    <t>ClC(=O)C1=CC=CC=C1</t>
  </si>
  <si>
    <t>table 2, column 2, solvent = water</t>
  </si>
  <si>
    <t>3-chlorobenzoyl fluoride</t>
  </si>
  <si>
    <t>FC(=O)C1=CC(Cl)=CC=C1</t>
  </si>
  <si>
    <t>3-chlorobenzoyl chloride</t>
  </si>
  <si>
    <t>ClC(=O)C1=CC(Cl)=CC=C1</t>
  </si>
  <si>
    <t>3-(trifluoromethyl)benzoyl chloride</t>
  </si>
  <si>
    <t>FC(F)(F)C1=CC=CC(=C1)C(Cl)=O</t>
  </si>
  <si>
    <t>4-nitrobenzoyl fluoride</t>
  </si>
  <si>
    <t>[O-][N+](=O)C1=CC=C(C=C1)C(F)=O</t>
  </si>
  <si>
    <t>4-nitrobenzoyl chloride</t>
  </si>
  <si>
    <t>[O-][N+](=O)C1=CC=C(C=C1)C(Cl)=O</t>
  </si>
  <si>
    <t>4-methoxybenzoyl fluoride</t>
  </si>
  <si>
    <t>COC1=CC=C(C=C1)C(F)=O</t>
  </si>
  <si>
    <t>3-methoxybenzoyl fluoride</t>
  </si>
  <si>
    <t>COC1=CC=CC(=C1)C(F)=O</t>
  </si>
  <si>
    <t>3-methoxybenzoyl chloride</t>
  </si>
  <si>
    <t>COC1=CC=CC(=C1)C(Cl)=O</t>
  </si>
  <si>
    <t>4-methylbenzoyl fluoride</t>
  </si>
  <si>
    <t>CC1=CC=C(C=C1)C(F)=O</t>
  </si>
  <si>
    <t>4-(dimethylamino)benzoyl fluoride</t>
  </si>
  <si>
    <t>CN(C)C1=CC=C(C=C1)C(F)=O</t>
  </si>
  <si>
    <t>4-(dimethylamino)benzoyl chloride</t>
  </si>
  <si>
    <t>CN(C)C1=CC=C(C=C1)C(Cl)=O</t>
  </si>
  <si>
    <t>estimated by extrapolation of the Hammett plot for the hydrolysis of substituted benzoyl chlorides, table 2, column 2, solvent = water</t>
  </si>
  <si>
    <r>
      <t xml:space="preserve">Queen, A.; Nour, T.A.; Paddon-Row, M.N. </t>
    </r>
    <r>
      <rPr>
        <i/>
        <sz val="11"/>
        <color theme="1"/>
        <rFont val="Calibri"/>
        <family val="2"/>
        <scheme val="minor"/>
      </rPr>
      <t>Can. J. Chem.</t>
    </r>
    <r>
      <rPr>
        <sz val="11"/>
        <color theme="1"/>
        <rFont val="Calibri"/>
        <family val="2"/>
        <scheme val="minor"/>
      </rPr>
      <t xml:space="preserve"> </t>
    </r>
    <r>
      <rPr>
        <b/>
        <sz val="11"/>
        <color theme="1"/>
        <rFont val="Calibri"/>
        <family val="2"/>
        <scheme val="minor"/>
      </rPr>
      <t>1970</t>
    </r>
    <r>
      <rPr>
        <sz val="11"/>
        <color theme="1"/>
        <rFont val="Calibri"/>
        <family val="2"/>
        <scheme val="minor"/>
      </rPr>
      <t xml:space="preserve">, </t>
    </r>
    <r>
      <rPr>
        <i/>
        <sz val="11"/>
        <color theme="1"/>
        <rFont val="Calibri"/>
        <family val="2"/>
        <scheme val="minor"/>
      </rPr>
      <t>48,</t>
    </r>
    <r>
      <rPr>
        <sz val="11"/>
        <color theme="1"/>
        <rFont val="Calibri"/>
        <family val="2"/>
        <scheme val="minor"/>
      </rPr>
      <t xml:space="preserve"> 522-527</t>
    </r>
  </si>
  <si>
    <r>
      <t xml:space="preserve">Song, B.D.; Jencks, W.P.  </t>
    </r>
    <r>
      <rPr>
        <i/>
        <sz val="11"/>
        <color theme="1"/>
        <rFont val="Calibri"/>
        <family val="2"/>
        <scheme val="minor"/>
      </rPr>
      <t>J. Am. Chem. Soc.</t>
    </r>
    <r>
      <rPr>
        <sz val="11"/>
        <color theme="1"/>
        <rFont val="Calibri"/>
        <family val="2"/>
        <scheme val="minor"/>
      </rPr>
      <t xml:space="preserve">, </t>
    </r>
    <r>
      <rPr>
        <b/>
        <sz val="11"/>
        <color theme="1"/>
        <rFont val="Calibri"/>
        <family val="2"/>
        <scheme val="minor"/>
      </rPr>
      <t>1989</t>
    </r>
    <r>
      <rPr>
        <sz val="11"/>
        <color theme="1"/>
        <rFont val="Calibri"/>
        <family val="2"/>
        <scheme val="minor"/>
      </rPr>
      <t xml:space="preserve">, </t>
    </r>
    <r>
      <rPr>
        <i/>
        <sz val="11"/>
        <color theme="1"/>
        <rFont val="Calibri"/>
        <family val="2"/>
        <scheme val="minor"/>
      </rPr>
      <t>111</t>
    </r>
    <r>
      <rPr>
        <sz val="11"/>
        <color theme="1"/>
        <rFont val="Calibri"/>
        <family val="2"/>
        <scheme val="minor"/>
      </rPr>
      <t>, 8470-8479.</t>
    </r>
  </si>
  <si>
    <t>ester</t>
  </si>
  <si>
    <t>ester, nitrile, ether</t>
  </si>
  <si>
    <t>ester, alcohol, chloride (4-chlorophenyl)</t>
  </si>
  <si>
    <t>ester, chloride (phenyl)</t>
  </si>
  <si>
    <t>ester, ether, chloride, (O-N=C), pyrazine</t>
  </si>
  <si>
    <t xml:space="preserve">ester, alcohol, </t>
  </si>
  <si>
    <t>ester, chloride</t>
  </si>
  <si>
    <t xml:space="preserve">ester, amine, fluoride, chloride, ether, </t>
  </si>
  <si>
    <t>ester, ether</t>
  </si>
  <si>
    <t>anhydride</t>
  </si>
  <si>
    <t>amide, ether, fluoride, chloride, urea</t>
  </si>
  <si>
    <t>amide, chloride</t>
  </si>
  <si>
    <t>amide, ether, fluoride,chloride, urea</t>
  </si>
  <si>
    <t>amide, urea, chloride, fluoride</t>
  </si>
  <si>
    <t>carbamate, thioether</t>
  </si>
  <si>
    <t>carbamate</t>
  </si>
  <si>
    <t>carbamate, amide</t>
  </si>
  <si>
    <t>carbamate, ether</t>
  </si>
  <si>
    <t>carbamate, amide, thioether</t>
  </si>
  <si>
    <t>urea</t>
  </si>
  <si>
    <t>c1ccc(cc1)NC(=O)N(Cc2ccc(cc2)Cl)C3CCCC3</t>
  </si>
  <si>
    <t>urea, chloride</t>
  </si>
  <si>
    <t>sulfonyl urea, ether, chloride, ester</t>
  </si>
  <si>
    <t>sulfonyl urea, ether, ester</t>
  </si>
  <si>
    <t>sulfonyl urea, ether, carboxylic acid, fluoride</t>
  </si>
  <si>
    <t>sulfonyl urea, ether</t>
  </si>
  <si>
    <t>sulfonyl urea, ether, chloride</t>
  </si>
  <si>
    <t>sulfonyl urea, ether, amide</t>
  </si>
  <si>
    <t>sulfonyl urea, urea, ether, ester</t>
  </si>
  <si>
    <t>CCS(=O)(=O)c1c(n2ccccc2n1)S(=O)(=O)NC(=O)Nc3nc(cc(n3)OC)OC</t>
  </si>
  <si>
    <t>sulfonyl urea, ether, ester, fluoride</t>
  </si>
  <si>
    <t>sulfonyl urea, chloride</t>
  </si>
  <si>
    <t>sulfonyl urea, ether, fluoride</t>
  </si>
  <si>
    <t>sulfonyl urea, fluoride, ether</t>
  </si>
  <si>
    <t>sulfonyl urea, ester, ether, fluoride</t>
  </si>
  <si>
    <t>sulfonyl urea, ester, ether</t>
  </si>
  <si>
    <t>carbonate</t>
  </si>
  <si>
    <t>lactone</t>
  </si>
  <si>
    <t>lactone, ester</t>
  </si>
  <si>
    <t>lactone, chloride</t>
  </si>
  <si>
    <t>lactone, nitro, ether</t>
  </si>
  <si>
    <t>Functional Group</t>
  </si>
  <si>
    <t>Imide, urea</t>
  </si>
  <si>
    <t>imide</t>
  </si>
  <si>
    <t>imide, carboxylic acid</t>
  </si>
  <si>
    <t>nitrile</t>
  </si>
  <si>
    <t>nitrile, chloride</t>
  </si>
  <si>
    <t>nitrile, chloride, bromide</t>
  </si>
  <si>
    <t>nitrile, bromide</t>
  </si>
  <si>
    <t>nitrile, amide, fluoride</t>
  </si>
  <si>
    <t>lactam</t>
  </si>
  <si>
    <t>N-S, carbamate</t>
  </si>
  <si>
    <t>N-S, imide, chloride</t>
  </si>
  <si>
    <t>imide, chloride, carbamate</t>
  </si>
  <si>
    <t>N-S</t>
  </si>
  <si>
    <t>N-S, carbamate, ester, ether</t>
  </si>
  <si>
    <t>epoxide</t>
  </si>
  <si>
    <t>Zheng, Wei, Yates, Scott, and Papiernik, Sharon. Transformation Kinetics and Mechanism of the Sulfonylurea Herbicides Pyrazosulfuron ethyl and Halosulfuron methyl in aqueous solutions.J. Agric. Food Chem. 2008, 56, 7367–7372</t>
  </si>
  <si>
    <t>Singles S. K. et al. Pestic Sci 55:288-300 (1999)</t>
  </si>
  <si>
    <t>Figure 3 of this paper shows hydrolysis products at pH 9 (it looks like ring contraction followed by ester hydrolysis and hence the rate is so much faster)</t>
  </si>
  <si>
    <t>supporting information, fig 3 shows neutral hydrolysis pH 5-7. This paper also discusses the contraction pathway as well as why  ester hydrolysis at alkaline pH is not occuring here</t>
  </si>
  <si>
    <t>Product smiles</t>
  </si>
  <si>
    <t>Notes about product distribution</t>
  </si>
  <si>
    <t>c1coc(=O)[nH]1</t>
  </si>
  <si>
    <t>oxazolone</t>
  </si>
  <si>
    <t>half life was not calculated, reported as "stable"</t>
  </si>
  <si>
    <t>carbetamide acid</t>
  </si>
  <si>
    <t>CC(OC(=O)NC1=CC=CC=C1)C(O)=O |c:8,10,t:6|</t>
  </si>
  <si>
    <t>"Oxamyl degraded quantitatively to IN-A2213 (oxime), which represented 52% AR by day 8 and 93.2% AR by day 30 at pH 7, and 49% AR after 3 hrs, 83% AR after 7 hrs and 105.6% AR by day 15 at pH 9 (Table 8.4.1.1-2 and Table 8.4.1.1-3). No other degradation products" were observed</t>
  </si>
  <si>
    <t>"PH 9. at 25°C:61% carbetamide degraded,main degradation products :aniline (38%), carbetamide acid(15%) pH 9 at35°C: 95% carbetaide degraded, main degradation products :aniline (63%), carbetamide acid (23%)"</t>
  </si>
  <si>
    <t>in one month: "pH 6. at 25°C:8.4% carbetamide degraded, main degradation product : carbetamide acid (4.3%). pH 6. at 35°C : 24.5% carbetamide degraded, main degradation product : carbetamide acid (17%)"</t>
  </si>
  <si>
    <t>in one month: "pH 3. at 25°C:4.6% carbetamide degraded, main degradation product : oxazolone (&lt;3%). pH 3. at 35°C : 14 % carbetamide degraded, main degradation product : oxazolone (8%)"</t>
  </si>
  <si>
    <t>Oxime</t>
  </si>
  <si>
    <t>CSC(=NO)C(=O)N(C)C |w:3.3|</t>
  </si>
  <si>
    <t>"Similarly, a cleavage of HM’s sulfonylurea bridge was
observed in acid and neutral aqueous buffer solutions (pH e
7), producing carbon dioxide and the corresponding pyrazolesulfonamide
and pyrimidine amine (metabolites 1 and 2 in
Figure 1). Unlike PE, however, only the contraction product
(metabolite 3) was detected shortly after HM was spiked to basic
solutions (Figure 2B and Figure S3 of the Supporting Information).
This result suggests that the cleavage of HM’s sulfonylurea
bridge is insignificant and that the bridge contraction is a
predominant hydrolysis mechanism for HM in basic solution.
The maximum concentration of the contraction product was
observed when HM had completely disappeared (Figure 2B).
The concentration of the contraction product then decreased
gradually, with a concurrent gradual increase in the pyrimidine
amine (metabolite 2). This result indicates that the contraction
product of HM is not stable and it may decompose to its
corresponding products, for example, pyrimidine amine, via
further hydrolysis (Figure 1)."</t>
  </si>
  <si>
    <t>COC1=NC(C)=NC(=N1)N(C)C(=O)NS(=O)(=O)C1=CC=CC=C1C(O)=O |c:5,7,20,22,t:2,18|</t>
  </si>
  <si>
    <t>2-({[(4-methoxy-6-methyl-1,3,5-triazin-2-yl)(methyl)carbamoyl]amino}sulfonyl)benzoic acid</t>
  </si>
  <si>
    <t>COC(=O)C1=CC=CC=C1S(N)(=O)=O |c:6,8,t:4|</t>
  </si>
  <si>
    <t>methyl 2-sulfamoylbenzoate</t>
  </si>
  <si>
    <t>4-methoxy-N,6-dimethyl-1,3,5-triazin-2-amine</t>
  </si>
  <si>
    <t>CNC1=NC(OC)=NC(C)=N1 |c:6,9,t:2|</t>
  </si>
  <si>
    <t>methyl 2-{[(4-hydroxy-6-methyl-1,3,5-triazin-2-yl)(methyl)carbamoyl]aminosulfonyl}benzoate</t>
  </si>
  <si>
    <t>COC(=O)C1=CC=CC=C1S(=O)(=O)NC(=O)N(C)C1=NC(O)=NC(C)=N1</t>
  </si>
  <si>
    <t xml:space="preserve"> Fig 8.4.4a</t>
  </si>
  <si>
    <t>products not analyzed; but reported as those of sulfonyl urea hydrolysis</t>
  </si>
  <si>
    <t>NC1=NC(OC(F)F)=CC(OC(F)F)=N1</t>
  </si>
  <si>
    <t>4,6-bis(difluoromethoxy)pyrimidin-2-amine</t>
  </si>
  <si>
    <t>sulfonyl urea hydrolysis products</t>
  </si>
  <si>
    <t>sulfonyl urea hydrolysis products; no ester hydrolysis products observed at pH4-8</t>
  </si>
  <si>
    <t>OC(=O)C1=CC=CC=C1S(=O)(=O)NC(=O)NC1=NC(OC(F)F)=CC(OC(F)F)=N1</t>
  </si>
  <si>
    <t>2-({[4,6-bis(difluoromethoxy)pyrimidin-2-yl]carbamoyl}aminosulfonyl)benzoic acid</t>
  </si>
  <si>
    <t>small amount of this ester hydrolysis product as well as its daugher product was observed at pH 9 and pH10</t>
  </si>
  <si>
    <t>CCOC1=NC(NC)=NC(N)=N1</t>
  </si>
  <si>
    <t>6-ethoxy-2-N-methyl-1,3,5-triazine-2,4-diamine</t>
  </si>
  <si>
    <t>saccharine</t>
  </si>
  <si>
    <t>O=C1NS(=O)(=O)C2=C1C=CC=C2 |c:6,9,11|</t>
  </si>
  <si>
    <t>it results from a subsequent degradation  from one of sulfonyl urea hydrolysis products</t>
  </si>
  <si>
    <t>COC(=O)C1=CC=CC=C1S(N)(=O)=O</t>
  </si>
  <si>
    <t>IN D7556</t>
  </si>
  <si>
    <t>IN-D5803</t>
  </si>
  <si>
    <t>IN-D5803. only observed at 50deg; at higher temp its all IN 00581</t>
  </si>
  <si>
    <t>IN 00581. it results from a subsequent degradation  from one of sulfonyl urea hydrolysis products (IN-D5803); only observed at higher temps for pH9</t>
  </si>
  <si>
    <t>IN 00581. it results from a subsequent degradation  from one of sulfonyl urea hydrolysis products(IN-D5803); only observed at higher temps for pH7</t>
  </si>
  <si>
    <t>no ester hydrolysis product observed</t>
  </si>
  <si>
    <t>CN(C)C(=O)C1=CC=CC=C1NS(O)(=O)=O</t>
  </si>
  <si>
    <t>N-[2-(dimethylcarbamoyl)phenyl]sulfamic acid</t>
  </si>
  <si>
    <t>CN(C)C(=O)C1=CC=CC=C1NS(N)(=O)=O</t>
  </si>
  <si>
    <t>N,N-dimethyl-2-(sulfamoylamino)benzamide</t>
  </si>
  <si>
    <t xml:space="preserve">H1 (major product). it’s the deaminated degradation product of N,N-dimethyl-2-(sulfamoylamino)benzamide i.e. H2 </t>
  </si>
  <si>
    <t>2-amino-N,N-dimethylbenzamide</t>
  </si>
  <si>
    <t>CN(C)C(=O)C1=CC=CC=C1N</t>
  </si>
  <si>
    <t>H4. Minor Product. Degradation product of H2</t>
  </si>
  <si>
    <t>EPA MRID Number 46219015 (also EPA MRID Number 46219016 as a supporting/confirmatory source)</t>
  </si>
  <si>
    <t xml:space="preserve">H1.major product. it’s the deaminated degradation product of N,N-dimethyl-2-(sulfamoylamino)benzamide i.e. H2 </t>
  </si>
  <si>
    <t>H4. major Product. Degradation product of H2</t>
  </si>
  <si>
    <t>COC1=CC(OC)=NC(N)=N1</t>
  </si>
  <si>
    <t>4,6-dimethoxypyrimidin-2-amine</t>
  </si>
  <si>
    <t>COC(=O)C1=CC=CC=C1CS(N)(=O)=O</t>
  </si>
  <si>
    <t>methyl 2-(sulfamoylmethyl)benzoate</t>
  </si>
  <si>
    <t>IN-J290. Sulfonyl urea hydrolysis</t>
  </si>
  <si>
    <t>IN-N5297. Sulfonyl urea hydrolysis</t>
  </si>
  <si>
    <t>IN-J290. Sulfonyl urea hydrolysis. Bensulfuron at pH7 was stable for a 30 day period</t>
  </si>
  <si>
    <t>IN-N5297. Sulfonyl urea hydrolysis.  Bensulfuron at pH7 was stable for a 30 day period</t>
  </si>
  <si>
    <t>COC1=CC(OC)=NC(NC(=O)NS(=O)(=O)CC2=CC=CC=C2C(O)=O)=N1</t>
  </si>
  <si>
    <t>2-({[(4,6-dimethoxypyrimidin-2-yl)carbamoyl]aminosulfonyl}methyl)benzoic acid</t>
  </si>
  <si>
    <t>IN-R9419. Carboxylic acid hydrolysis product; major. Sulfonyl urea hydrolysis products are minor products</t>
  </si>
  <si>
    <t>CCOC(=O)c(:c:c1ccccc1:o):[c](O)=O</t>
  </si>
  <si>
    <t>(2E)-2-(ethoxycarbonyl)-3-(2-hydroxyphenyl)prop-2-enoic acid</t>
  </si>
  <si>
    <t>lactone hydrolysis product. No carboxylic ester hydrolysis products reported with NaOH as base</t>
  </si>
  <si>
    <t>hydantoic acid</t>
  </si>
  <si>
    <t>C(C(=O)O)NC(=O)N</t>
  </si>
  <si>
    <t>in alkaline solutions of pH 8.3 to 12, iprodione yields quantitatively and irreversibly the corresponding hydantoic acid. This product is a daughter degradation product from imide hydrolysis</t>
  </si>
  <si>
    <t>Product SMILES</t>
  </si>
  <si>
    <t>Notes</t>
  </si>
  <si>
    <t>NC(=O)CNC(=O)C1=CN=CC=C1C(F)(F)F</t>
  </si>
  <si>
    <t>2-{[4-(trifluoromethyl)pyridin-3-yl]formamido}acetamide</t>
  </si>
  <si>
    <t>Nitrile hydrolysis is the main route followed by sequential amide hydrolysis</t>
  </si>
  <si>
    <t>CCCCN(CCCC)S(=O)(=O)N(C)C(=O)Oc1cccc2CC(C)(C)Oc12</t>
  </si>
  <si>
    <t>2,2-dimethyl-3H-1-benzofuran-7-yl N-(dibutylsulfamoyl)-N-methylcarbamate</t>
  </si>
  <si>
    <t>This is the only major metabolite reported by demelo paper and by umetsu</t>
  </si>
  <si>
    <t>minor product reported by umetsu  at pH 3 and pH 5</t>
  </si>
  <si>
    <t>2,2-dimethyl-3H-1-benzofuran-7-yl N-[({[(2,2-dimethyl-3H-1-benzofuran-7-yl)oxy]carbonyl}(methyl)amino)disulfanyl]-N-methylcarbamate</t>
  </si>
  <si>
    <t>CN(SSN(C)C(=O)Oc1cccc2CC(C)(C)Oc12)C(=O)Oc1cccc2CC(C)(C)Oc12</t>
  </si>
  <si>
    <t>minor product reported by umetsu  at pH 3, 5, 7 and 9.</t>
  </si>
  <si>
    <t>dibutylamine</t>
  </si>
  <si>
    <t>CCCCNCCCC</t>
  </si>
  <si>
    <t xml:space="preserve">reported by EFSA 2004. </t>
  </si>
  <si>
    <t>NC1=CC(Cl)=CC(Cl)=C1</t>
  </si>
  <si>
    <t>3,5-dichloroaniline</t>
  </si>
  <si>
    <t>2nd Gen product (carbamate hydrolysis)</t>
  </si>
  <si>
    <t>COC1=CC(OC)=NC(=N1)N1C(=O)NC(=O)C2=C1N=C(C=C2)C(F)(F)F</t>
  </si>
  <si>
    <t>1-(4,6-dimethoxypyrimidin-2-yl)-7-(trifluoromethyl)-3H-pyrido[2,3-d]pyrimidine-2,4-dione</t>
  </si>
  <si>
    <t>. It is a product formed by ester hydrolysis followed by ring contraction. Such ring contraction reactions are unfrequently observed in addition to our typical sulfonyl urea pathway and other papers have reported this as well (Zheng, Wei, Yates, Scott, and Papiernik, Sharon .J. Agric. Food Chem. 2008, 56, 7367–7372)</t>
  </si>
  <si>
    <t>It is a product formed by ester hydrolysis followed by ring contraction. Such ring contraction reactions are unfrequently observed in addition to our typical sulfonyl urea pathway and other papers have reported this as well (Zheng, Wei, Yates, Scott, and Papiernik, Sharon .J. Agric. Food Chem. 2008, 56, 7367–7372)</t>
  </si>
  <si>
    <t>COC(=O)C1=C(N=C(C=C1)C(F)(F)F)S(N)(=O)=O</t>
  </si>
  <si>
    <t>methyl 2-sulfamoyl-6-(trifluoromethyl)pyridine-3-carboxylate</t>
  </si>
  <si>
    <t>COC(=O)C1=C(N=C(C=C1)C(F)(F)F)N(C(N)=O)C1=NC(OC)=CC(OC)=N1</t>
  </si>
  <si>
    <t>methyl 2-[1-(4,6-dimethoxypyrimidin-2-yl)carbamoylamino]-6-(trifluoromethyl)pyridine-3-carboxylate</t>
  </si>
  <si>
    <t>O=C(Oc2cccc1c2OC(C1)(C)C)NC</t>
  </si>
  <si>
    <t>Major product. N-S clevage. Predicted. There were other minor products reported by this reference, howeevr, they were unsuccessful in isolating/analyzing them.</t>
  </si>
  <si>
    <t>methomyl oxime</t>
  </si>
  <si>
    <t>CNC(=O)O\N=C(/C)SC</t>
  </si>
  <si>
    <t>CS\C(C)=N/O</t>
  </si>
  <si>
    <t xml:space="preserve">N-S cleavage product. Predicted. ~18% formed after 30 days </t>
  </si>
  <si>
    <t>methomyl hydrolysis product (carbamate); predicted but as a 2nd Gen.~76% formed.</t>
  </si>
  <si>
    <t>&lt; 3</t>
  </si>
  <si>
    <t>2-ethyl-hexyl hydrogen phthalate</t>
  </si>
  <si>
    <t>CCCCC(CC)COC(=O)C1=CC=CC=C1C(O)=O</t>
  </si>
  <si>
    <t>2-ethylhexyl alcohol</t>
  </si>
  <si>
    <t>CCCCC(CC)CO</t>
  </si>
  <si>
    <t>fenpropathrin acid</t>
  </si>
  <si>
    <t>OC(C#N)C1=CC(OC2=CC=CC=C2)=CC=C1</t>
  </si>
  <si>
    <t>chlorobenzilate acid</t>
  </si>
  <si>
    <t>OC([C-]=O)(C1=CC=C(Cl)C=C1)C1=CC=C(Cl)C=C1</t>
  </si>
  <si>
    <t>c1cc(c(cc1Cl)C(=O)O)Cl</t>
  </si>
  <si>
    <t>Propaquizafop acid</t>
  </si>
  <si>
    <t>CC(C(=O)O)Oc1ccc(cc1)Oc2cnc3cc(ccc3n2)Cl</t>
  </si>
  <si>
    <t>Trinexapac-acid</t>
  </si>
  <si>
    <t>C1CC1C(=C2C(=O)CC(CC2=O)C(=O)O)O</t>
  </si>
  <si>
    <t>Not identified</t>
  </si>
  <si>
    <t>CC(C(=O)O)Oc1ccc(cc1)Oc2ccc(cc2Cl)Cl</t>
  </si>
  <si>
    <t>Fluroxypyr acid</t>
  </si>
  <si>
    <t>C(C(=O)O)Oc1c(c(c(c(n1)F)Cl)N)Cl</t>
  </si>
  <si>
    <t>Kresoxim-methyl, BF-490-1</t>
  </si>
  <si>
    <t>Cc1ccccc1OCc2ccccc2/C(+n/OC)/C(=O)O</t>
  </si>
  <si>
    <t>Valifenalate-acid</t>
  </si>
  <si>
    <t>CC(C)OC(=O)N[C@@H](C(C)C)C(=O)NC(CC(O)=O)c1ccc(Cl)cc1</t>
  </si>
  <si>
    <t>ester, amide, carbamate, chloride</t>
  </si>
  <si>
    <t>carbonate,lactam, ether</t>
  </si>
  <si>
    <t>HPVsummary (link broken when accessed on 01/21/16, alternate toxnet document provided which indirectly verifies the same rate)</t>
  </si>
  <si>
    <t>degradation products not reported</t>
  </si>
  <si>
    <t>4-cyclohexene-1,2-dicarboximide</t>
  </si>
  <si>
    <t>C1C=CCC2C1C(=O)NC2=O</t>
  </si>
  <si>
    <t>N-S cleavage product</t>
  </si>
  <si>
    <t>acid halide, carboxylic ester</t>
  </si>
  <si>
    <t>acid halide</t>
  </si>
  <si>
    <t>no product distribution reported</t>
  </si>
  <si>
    <t>Spirotetramat-enol</t>
  </si>
  <si>
    <t>CO[C@H]1CC[C@]2(CC1)NC(=O)C(=C2O)C1=C(C)C=CC(C)=C1</t>
  </si>
  <si>
    <t>carbonate hydrolysis product</t>
  </si>
  <si>
    <t>detailed product study not performed; isolated products included sulfonyl urea hydrolysis products</t>
  </si>
  <si>
    <t xml:space="preserve">Ring contraction product observed at basic pH; </t>
  </si>
  <si>
    <t>sulphonamide</t>
  </si>
  <si>
    <t>N,N-dimethyl-2-sulfamoylpyridine-3-carboxamide</t>
  </si>
  <si>
    <t>COC1=NNC(=O)N1C</t>
  </si>
  <si>
    <t>5-methoxy-4-methyl-2H-1,2,4-triazol-3-one</t>
  </si>
  <si>
    <t>COC(=O)C1=CSC(C)=C1S(N)(=O)=O</t>
  </si>
  <si>
    <t>methyl 5-methyl-4-sulfamoylthiophene-3-carboxylate</t>
  </si>
  <si>
    <t>4-(3-methoxy-4-methyl-5-oxo-1,2,4-triazole-1-carbonylaminosulfonyl)-5-methylthiophene-3-carboxylic acid</t>
  </si>
  <si>
    <t>COC1=NN(C(=O)NS(=O)(=O)C2=C(C)SC=C2C(O)=O)C(=O)N1C</t>
  </si>
  <si>
    <t>ester hydrolysis product (detected at &lt;5% at 50 degC at pH 7 and 9.)</t>
  </si>
  <si>
    <t>sulfonyl urea products</t>
  </si>
  <si>
    <t>PUBLIC RELEASE SUMMARY on the Evaluation of the New Active Foramsulfuron in the Product Tribute Turf Herbicide APVMA Product Number 63240</t>
  </si>
  <si>
    <t>EFSA Foramsulfuron Report 2001</t>
  </si>
  <si>
    <t>carboxylic acid hydrolysis products</t>
  </si>
  <si>
    <t>CC(C)OC(=O)N[C@@H](C(C)C)C(=O)NC(CC(O)=O)C1=CC=C(Cl)C=C1</t>
  </si>
  <si>
    <t>carboxylic acid ester hydrolysis</t>
  </si>
  <si>
    <t>sulfonyl urea hydrolysis as well as bridge contraction products just like in case of halosulfuron</t>
  </si>
  <si>
    <t>1.1 Nucleophilic substitution (no adjacent X)</t>
  </si>
  <si>
    <t>1.2 Nucleophilic substitution (Vicinal X)</t>
  </si>
  <si>
    <t>1.3 Nucleophilic substitution (Geminal X)</t>
  </si>
  <si>
    <t>Fluorides (excluded from libraries)</t>
  </si>
  <si>
    <t>Sulfonylurea Hydrolysis: Ring Contraction (occurs when a pyrimindine ring is present (anecdotal confirm with zheng paper))</t>
  </si>
  <si>
    <t>Chloro</t>
  </si>
  <si>
    <t>Bromo</t>
  </si>
  <si>
    <t>Iodo</t>
  </si>
  <si>
    <t>according to Zheng paper; no sulfonyl urea hydrolsis products observed at basic pH</t>
  </si>
  <si>
    <t>Acid Halide Hydrolysis: another mechanism</t>
  </si>
  <si>
    <t>Column Label</t>
  </si>
  <si>
    <t>Column Heading</t>
  </si>
  <si>
    <t>A</t>
  </si>
  <si>
    <t>B</t>
  </si>
  <si>
    <t>C</t>
  </si>
  <si>
    <t>D</t>
  </si>
  <si>
    <t>E</t>
  </si>
  <si>
    <t>F</t>
  </si>
  <si>
    <t>G</t>
  </si>
  <si>
    <t>H</t>
  </si>
  <si>
    <t>I</t>
  </si>
  <si>
    <t>J</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</si>
  <si>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</si>
  <si>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</si>
  <si>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</si>
  <si>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</si>
  <si>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</si>
  <si>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</si>
  <si>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</si>
  <si>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</si>
  <si>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</si>
  <si>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</si>
  <si>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</si>
  <si>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</si>
  <si>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</si>
  <si>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</si>
  <si>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</si>
  <si>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</si>
  <si>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</si>
  <si>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</si>
  <si>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</si>
  <si>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</si>
  <si>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</si>
  <si>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</si>
  <si>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</si>
  <si>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</si>
  <si>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</si>
  <si>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</si>
  <si>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</si>
  <si>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</si>
  <si>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</si>
  <si>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</si>
  <si>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</si>
  <si>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</si>
  <si>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</si>
  <si>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</si>
  <si>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</si>
  <si>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</si>
  <si>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</si>
  <si>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</si>
  <si>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</si>
  <si>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</si>
  <si>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</si>
  <si>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</si>
  <si>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</si>
  <si>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</si>
  <si>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</si>
  <si>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Description</t>
  </si>
  <si>
    <t>Example number</t>
  </si>
  <si>
    <t>Measurement Temperature</t>
  </si>
  <si>
    <t>First-order Rate Constant</t>
  </si>
  <si>
    <t>Second-order Rate Constant</t>
  </si>
  <si>
    <t>Rate Constant Units</t>
  </si>
  <si>
    <t>Degradation Rate</t>
  </si>
  <si>
    <t>Products at pH 5</t>
  </si>
  <si>
    <t>Products at pH 7</t>
  </si>
  <si>
    <t>Products at pH 9</t>
  </si>
  <si>
    <t>Overall Product(s)</t>
  </si>
  <si>
    <t>Molecule name</t>
  </si>
  <si>
    <t>Names of functional groups that are hydrolyzable (Blank if the molecule contains only one functional group subject to hydrolysis)</t>
  </si>
  <si>
    <t>Citation for source of rate constant data</t>
  </si>
  <si>
    <t>Reported measurement temperature in degrees C</t>
  </si>
  <si>
    <t>Reported measurement temperature in Kelvin</t>
  </si>
  <si>
    <t>Nitrile Hydrolysis</t>
  </si>
  <si>
    <t>Imide Hydrolysis</t>
  </si>
  <si>
    <t>Lactone Hydrolysis</t>
  </si>
  <si>
    <t>Negative logarithm of the equilibrium constant for ionization of water, corrected for temperature</t>
  </si>
  <si>
    <t>Calculation</t>
  </si>
  <si>
    <t>Van't Hoff equation</t>
  </si>
  <si>
    <t>Reported pH for measurements under acidic conditions</t>
  </si>
  <si>
    <t>Reported half-life in days for measurements under acidic conditions</t>
  </si>
  <si>
    <t>Reported rate constant (may be first-order or second-order) for measurements under acidic conditions</t>
  </si>
  <si>
    <t>Units for reported rate constant in column M</t>
  </si>
  <si>
    <t>Reported pH for measurements under near-neutral conditions</t>
  </si>
  <si>
    <t>Reported half-life in days for measurements at near-neutral pH</t>
  </si>
  <si>
    <t>Units for reported rate constant in column AB</t>
  </si>
  <si>
    <t>Reported first-order rate constant in sec^-1 (calculated from value in column AB)</t>
  </si>
  <si>
    <t>Reported pH for measurements under basic conditions</t>
  </si>
  <si>
    <t>Reported half-life in days for measurements under basic conditions</t>
  </si>
  <si>
    <t>Reported rate constant (may be first-order or second-order) for measurements under basic conditions</t>
  </si>
  <si>
    <t>Units for reported rate constant in column AO</t>
  </si>
  <si>
    <t xml:space="preserve">0.005M NaOH; rates reported as 10^3 kobs </t>
  </si>
  <si>
    <t>.01M NaOH; rates reported as 10^3 kobs</t>
  </si>
  <si>
    <t>.02M NaOH; rates reported as 10^3 kobs</t>
  </si>
  <si>
    <t>0.03M NaOH; rates reported as 10^3 kobs</t>
  </si>
  <si>
    <t>Reported first-order rate constant for measurements at near-neutral pH</t>
  </si>
  <si>
    <t>SMILES strings of reported products at low pH</t>
  </si>
  <si>
    <t>Reported products at low pH</t>
  </si>
  <si>
    <t>Reported products at near-neutral pH</t>
  </si>
  <si>
    <t>SMILES strings of reported products at near-neutral pH</t>
  </si>
  <si>
    <t>Reported products at high pH</t>
  </si>
  <si>
    <t>SMILES strings of reported products at high pH</t>
  </si>
  <si>
    <t>Reported products at unspecified pH</t>
  </si>
  <si>
    <t>SMILES strings of reported products at unspecified pH</t>
  </si>
  <si>
    <t>Mean reported half-life at pH 5 (in column Q) for a given molecule</t>
  </si>
  <si>
    <t>Median reported half-life at pH 5 (in column Q) for a given molucule</t>
  </si>
  <si>
    <t>Standard deviation of half-lives at pH 5 (in column Q) for a molecule</t>
  </si>
  <si>
    <t>Mean reported half-life at pH 7 (in column AE) for a given molecule</t>
  </si>
  <si>
    <t>Median reported half-life at pH 7 (in column AE) for a given molucule</t>
  </si>
  <si>
    <t>Standard deviation of half-lives at pH 7 (in column AE) for a molecule</t>
  </si>
  <si>
    <t>Mean reported half-life at pH 9 (in column AS) for a given molecule</t>
  </si>
  <si>
    <t>Median reported half-life at pH 9 (in column AS) for a given molucule</t>
  </si>
  <si>
    <t>Standard deviation of at pH 9 half-lives (in column AS) for a molecule</t>
  </si>
  <si>
    <t>Reported second-order rate constant, corrected to a temperature of 25 degC (calculated from value in column P)</t>
  </si>
  <si>
    <t>Arrhenius equation</t>
  </si>
  <si>
    <t>Reported first-order rate constant at pH 5, corrected to a temperature of 25 degC (calculated from value in column S)</t>
  </si>
  <si>
    <t>k_2*10^-5</t>
  </si>
  <si>
    <t>ln(2)/(k_1*86400)</t>
  </si>
  <si>
    <t>Reported half-life at pH 5, corrected to a temperature of 25 degC (calculated from value in column R)</t>
  </si>
  <si>
    <t>Reported first-order rate constant at pH 7, corrected to a temperature of 25 degC (calculated from value in column AD)</t>
  </si>
  <si>
    <t>Reported half-life at pH 7, corrected to a temperature of 25 degC (calculated from value in column AF)</t>
  </si>
  <si>
    <t>Reported second-order rate constant, corrected to a temperature of 25 degC (calculated from value in column AR)</t>
  </si>
  <si>
    <t>Reported first-order rate constant at pH 9, corrected to a temperature of 25 degC (calculated from value in column AU)</t>
  </si>
  <si>
    <t>Reported half-life at pH 9, corrected to a temperature of 25 degC (calculated from value in column AT)</t>
  </si>
  <si>
    <t>k_2*10^(9-14)</t>
  </si>
  <si>
    <t>pH &amp; Units Conversion</t>
  </si>
  <si>
    <t>Reported first-order rate constant at pH 5 in sec^-1 (calculated from value in column M)</t>
  </si>
  <si>
    <t>Reported second-order rate constant at pH 5 in M^-1 sec^-1 (calculated from value in column M)</t>
  </si>
  <si>
    <r>
      <t>If paper reports k</t>
    </r>
    <r>
      <rPr>
        <vertAlign val="subscript"/>
        <sz val="11"/>
        <color rgb="FFFF0000"/>
        <rFont val="Calibri"/>
        <family val="2"/>
        <scheme val="minor"/>
      </rPr>
      <t>obs_1</t>
    </r>
    <r>
      <rPr>
        <sz val="11"/>
        <color rgb="FFFF0000"/>
        <rFont val="Calibri"/>
        <family val="2"/>
        <scheme val="minor"/>
      </rPr>
      <t>,</t>
    </r>
  </si>
  <si>
    <r>
      <t>If paper reports k</t>
    </r>
    <r>
      <rPr>
        <vertAlign val="subscript"/>
        <sz val="11"/>
        <color rgb="FFFF0000"/>
        <rFont val="Calibri"/>
        <family val="2"/>
        <scheme val="minor"/>
      </rPr>
      <t>obs_2</t>
    </r>
    <r>
      <rPr>
        <sz val="11"/>
        <color rgb="FFFF0000"/>
        <rFont val="Calibri"/>
        <family val="2"/>
        <scheme val="minor"/>
      </rPr>
      <t>,</t>
    </r>
  </si>
  <si>
    <r>
      <t>k_2 = k</t>
    </r>
    <r>
      <rPr>
        <vertAlign val="subscript"/>
        <sz val="11"/>
        <color rgb="FFFF0000"/>
        <rFont val="Calibri"/>
        <family val="2"/>
        <scheme val="minor"/>
      </rPr>
      <t>obs_2</t>
    </r>
  </si>
  <si>
    <r>
      <t>k_1 = k</t>
    </r>
    <r>
      <rPr>
        <vertAlign val="subscript"/>
        <sz val="11"/>
        <color rgb="FFFF0000"/>
        <rFont val="Calibri"/>
        <family val="2"/>
        <scheme val="minor"/>
      </rPr>
      <t>obs_1</t>
    </r>
    <r>
      <rPr>
        <sz val="11"/>
        <color rgb="FFFF0000"/>
        <rFont val="Calibri"/>
        <family val="2"/>
        <scheme val="minor"/>
      </rPr>
      <t>*10</t>
    </r>
    <r>
      <rPr>
        <vertAlign val="superscript"/>
        <sz val="11"/>
        <color rgb="FFFF0000"/>
        <rFont val="Calibri"/>
        <family val="2"/>
        <scheme val="minor"/>
      </rPr>
      <t>(pH-5)</t>
    </r>
  </si>
  <si>
    <r>
      <t>k_1 = k</t>
    </r>
    <r>
      <rPr>
        <vertAlign val="subscript"/>
        <sz val="11"/>
        <color rgb="FFFF0000"/>
        <rFont val="Calibri"/>
        <family val="2"/>
        <scheme val="minor"/>
      </rPr>
      <t>obs_2</t>
    </r>
    <r>
      <rPr>
        <sz val="11"/>
        <color rgb="FFFF0000"/>
        <rFont val="Calibri"/>
        <family val="2"/>
        <scheme val="minor"/>
      </rPr>
      <t>*10</t>
    </r>
    <r>
      <rPr>
        <vertAlign val="superscript"/>
        <sz val="11"/>
        <color rgb="FFFF0000"/>
        <rFont val="Calibri"/>
        <family val="2"/>
        <scheme val="minor"/>
      </rPr>
      <t>-5</t>
    </r>
  </si>
  <si>
    <r>
      <t>k_2 = k_1*10</t>
    </r>
    <r>
      <rPr>
        <vertAlign val="superscript"/>
        <sz val="11"/>
        <color rgb="FFFF0000"/>
        <rFont val="Calibri"/>
        <family val="2"/>
        <scheme val="minor"/>
      </rPr>
      <t>5</t>
    </r>
    <r>
      <rPr>
        <sz val="11"/>
        <color rgb="FFFF0000"/>
        <rFont val="Calibri"/>
        <family val="2"/>
        <scheme val="minor"/>
      </rPr>
      <t xml:space="preserve"> = k</t>
    </r>
    <r>
      <rPr>
        <vertAlign val="subscript"/>
        <sz val="11"/>
        <color rgb="FFFF0000"/>
        <rFont val="Calibri"/>
        <family val="2"/>
        <scheme val="minor"/>
      </rPr>
      <t>obs_1</t>
    </r>
    <r>
      <rPr>
        <sz val="11"/>
        <color rgb="FFFF0000"/>
        <rFont val="Calibri"/>
        <family val="2"/>
        <scheme val="minor"/>
      </rPr>
      <t>*10</t>
    </r>
    <r>
      <rPr>
        <vertAlign val="superscript"/>
        <sz val="11"/>
        <color rgb="FFFF0000"/>
        <rFont val="Calibri"/>
        <family val="2"/>
        <scheme val="minor"/>
      </rPr>
      <t>pH</t>
    </r>
  </si>
  <si>
    <r>
      <t>k_1 = k</t>
    </r>
    <r>
      <rPr>
        <vertAlign val="subscript"/>
        <sz val="11"/>
        <color rgb="FFFF0000"/>
        <rFont val="Calibri"/>
        <family val="2"/>
        <scheme val="minor"/>
      </rPr>
      <t>obs_2</t>
    </r>
    <r>
      <rPr>
        <sz val="11"/>
        <color rgb="FFFF0000"/>
        <rFont val="Calibri"/>
        <family val="2"/>
        <scheme val="minor"/>
      </rPr>
      <t>*10</t>
    </r>
    <r>
      <rPr>
        <vertAlign val="superscript"/>
        <sz val="11"/>
        <color rgb="FFFF0000"/>
        <rFont val="Calibri"/>
        <family val="2"/>
        <scheme val="minor"/>
      </rPr>
      <t>(9-pKw)</t>
    </r>
  </si>
  <si>
    <r>
      <t>k_1 = k</t>
    </r>
    <r>
      <rPr>
        <vertAlign val="subscript"/>
        <sz val="11"/>
        <color rgb="FFFF0000"/>
        <rFont val="Calibri"/>
        <family val="2"/>
        <scheme val="minor"/>
      </rPr>
      <t>obs_1</t>
    </r>
    <r>
      <rPr>
        <sz val="11"/>
        <color rgb="FFFF0000"/>
        <rFont val="Calibri"/>
        <family val="2"/>
        <scheme val="minor"/>
      </rPr>
      <t>*10</t>
    </r>
    <r>
      <rPr>
        <vertAlign val="superscript"/>
        <sz val="11"/>
        <color rgb="FFFF0000"/>
        <rFont val="Calibri"/>
        <family val="2"/>
        <scheme val="minor"/>
      </rPr>
      <t>(9-pH)</t>
    </r>
  </si>
  <si>
    <r>
      <t>k_2 = k</t>
    </r>
    <r>
      <rPr>
        <vertAlign val="subscript"/>
        <sz val="11"/>
        <color rgb="FFFF0000"/>
        <rFont val="Calibri"/>
        <family val="2"/>
        <scheme val="minor"/>
      </rPr>
      <t>obs_1</t>
    </r>
    <r>
      <rPr>
        <sz val="11"/>
        <color rgb="FFFF0000"/>
        <rFont val="Calibri"/>
        <family val="2"/>
        <scheme val="minor"/>
      </rPr>
      <t>*10</t>
    </r>
    <r>
      <rPr>
        <vertAlign val="superscript"/>
        <sz val="11"/>
        <color rgb="FFFF0000"/>
        <rFont val="Calibri"/>
        <family val="2"/>
        <scheme val="minor"/>
      </rPr>
      <t>(pKw-pH)</t>
    </r>
  </si>
  <si>
    <t>Reported first-order rate constant at pH 9 in sec^-1 (calculated from value in column AO)</t>
  </si>
  <si>
    <t>Reported second-order rate constant at pH 9 in M^-1 sec^-1 (calculated from value in column AO)</t>
  </si>
  <si>
    <t>hour-1</t>
  </si>
  <si>
    <t>hr-1</t>
  </si>
  <si>
    <t>&gt;454</t>
  </si>
  <si>
    <t>IPCS, Enivornmental Health Criteria 178, 1996</t>
  </si>
  <si>
    <t>Aldicarb</t>
  </si>
  <si>
    <t>O=C(O\N=C\C(SC)(C)C)NC</t>
  </si>
  <si>
    <t>h</t>
  </si>
  <si>
    <t>h^-1</t>
  </si>
  <si>
    <t>piperidin‐2‐one</t>
  </si>
  <si>
    <t>Ea values taken from Bunton C.A. and Fendler J.H. J. Org. Chem., 1965, 30 (5), 1365–1371</t>
  </si>
  <si>
    <t>Metsulfuron-methyl EFSA</t>
  </si>
  <si>
    <t>activation energy at 50 deg C from Robertson, R.E. et. al Can. J. Chem. 37, 803, 1959.</t>
  </si>
  <si>
    <t>activation energy from Fells and Moelwyn-Hughes, J. Chem. Soc. 398, 1959</t>
  </si>
  <si>
    <t>Glew and Moelwyn-Hughes (1952) Proc. Royal Soc. of London. Ser. A, Mathematical &amp; Physical Sciences, Vol. 211, No. 1105, pp. 254-265</t>
  </si>
  <si>
    <t>&lt; 4.7E-10</t>
  </si>
  <si>
    <t>Becker A.R. et al J. Am. Chem. Soc. 101, 19, 5679-5686, 1979</t>
  </si>
  <si>
    <t>Castoldi and Pizzingrilli (2000) unpublished study</t>
  </si>
  <si>
    <t xml:space="preserve">EFSA Orthosulfamuron &amp; EPA MRID #46219015 </t>
  </si>
  <si>
    <t>MRID 47305119: Walsh &amp; DiFrancesco (2007) unpublished study</t>
  </si>
  <si>
    <t>3-(m‐nitrophenyl)‐3‐methoxyphthalide</t>
  </si>
  <si>
    <t>IQ deviation</t>
  </si>
  <si>
    <t>outlier min</t>
  </si>
  <si>
    <t>outlier max</t>
  </si>
  <si>
    <t>Below is a summary of the standard data entry format used in the remaining tabs in the file</t>
  </si>
  <si>
    <t>Key</t>
  </si>
  <si>
    <t>CC(OC(=O)NC1=CC=CC=C1)C(O)=O</t>
  </si>
  <si>
    <t>H2 (minor product). sulfonyl urea hydrolysis product</t>
  </si>
  <si>
    <t>H2 (minor product). sulfonyl urea hydrolysis product.</t>
  </si>
  <si>
    <t>IN-L5296. Fig 8.4.4a. sulfonyl urea product.</t>
  </si>
  <si>
    <t>IN-D5803. major product as reported by Venzon 1985 in B8.4.1. Sulfonyl urea product.</t>
  </si>
  <si>
    <t xml:space="preserve">IN-R9803.  Fig 8.4.4a, distribution% not reported; Venzon 1985 . Ester hydrolysis product. </t>
  </si>
  <si>
    <t>bridge contraction product</t>
  </si>
  <si>
    <t>Major product. N-S clevage. There were other minor products reported by this reference, howeevr, they were unsuccessful in isolating/analyzing them.</t>
  </si>
  <si>
    <t xml:space="preserve">N-S cleavage product. ~36% formed after 30 days </t>
  </si>
  <si>
    <t>methomyl hydrolysis product (carbamate); predicted as a 2nd Gen. minor product</t>
  </si>
  <si>
    <t>Major product. N-S clevage. There were other minor products reported by this reference, however, they were unsuccessful in isolating/analyzing them.</t>
  </si>
  <si>
    <t xml:space="preserve">N-S cleavage product.  ~20% formed after 30 days </t>
  </si>
  <si>
    <t>Ea spreadsheet is HydrolysisActivationEnergy_est6b05412.xlsx</t>
  </si>
  <si>
    <t>Activation energy (no shading if value reported in source; pink shading if average value is taken from Ea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</si>
</sst>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00"/>
    <numFmt numFmtId="165" formatCode="0.000"/>
    <numFmt numFmtId="166" formatCode="0.00000"/>
    <numFmt numFmtId="167" formatCode="0.0"/>
    <numFmt numFmtId="168" formatCode="0.000000"/>
    <numFmt numFmtId="169" formatCode="0.0000000"/>
    <numFmt numFmtId="170" formatCode="0.0E+00"/>
  </numFmts>
  <fonts count="22" x14ac:knownFonts="1">
    <font>
      <sz val="11"/>
      <color theme="1"/>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10"/>
      <color rgb="FFFF0000"/>
      <name val="Calibri"/>
      <family val="2"/>
      <scheme val="minor"/>
    </font>
    <font>
      <sz val="9"/>
      <color theme="1"/>
      <name val="Calibri"/>
      <family val="2"/>
      <scheme val="minor"/>
    </font>
    <font>
      <sz val="10"/>
      <color theme="1"/>
      <name val="Calibri"/>
      <family val="2"/>
      <scheme val="minor"/>
    </font>
    <font>
      <b/>
      <sz val="10"/>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rgb="FF3F3F76"/>
      <name val="Calibri"/>
      <family val="2"/>
      <scheme val="minor"/>
    </font>
    <font>
      <b/>
      <sz val="11"/>
      <name val="Calibri"/>
      <family val="2"/>
      <scheme val="minor"/>
    </font>
    <font>
      <u/>
      <sz val="11"/>
      <color theme="10"/>
      <name val="Calibri"/>
      <family val="2"/>
    </font>
    <font>
      <i/>
      <sz val="11"/>
      <color theme="1"/>
      <name val="Calibri"/>
      <family val="2"/>
      <scheme val="minor"/>
    </font>
    <font>
      <sz val="11"/>
      <color rgb="FF9C0006"/>
      <name val="Calibri"/>
      <family val="2"/>
      <scheme val="minor"/>
    </font>
    <font>
      <vertAlign val="subscript"/>
      <sz val="11"/>
      <color rgb="FFFF0000"/>
      <name val="Calibri"/>
      <family val="2"/>
      <scheme val="minor"/>
    </font>
    <font>
      <vertAlign val="superscript"/>
      <sz val="11"/>
      <color rgb="FFFF0000"/>
      <name val="Calibri"/>
      <family val="2"/>
      <scheme val="minor"/>
    </font>
    <font>
      <strike/>
      <sz val="11"/>
      <color theme="1"/>
      <name val="Calibri"/>
      <family val="2"/>
      <scheme val="minor"/>
    </font>
    <font>
      <strike/>
      <sz val="11"/>
      <name val="Calibri"/>
      <family val="2"/>
      <scheme val="minor"/>
    </font>
    <font>
      <strike/>
      <sz val="10"/>
      <color theme="1"/>
      <name val="Calibri"/>
      <family val="2"/>
      <scheme val="minor"/>
    </font>
    <font>
      <sz val="12"/>
      <name val="Calibri"/>
      <family val="2"/>
      <scheme val="minor"/>
    </font>
  </fonts>
  <fills count="20">
    <fill>
      <patternFill patternType="none"/>
    </fill>
    <fill>
      <patternFill patternType="gray125"/>
    </fill>
    <fill>
      <patternFill patternType="solid">
        <fgColor rgb="FFFFFFCC"/>
      </patternFill>
    </fill>
    <fill>
      <patternFill patternType="solid">
        <fgColor rgb="FFFFCC99"/>
      </patternFill>
    </fill>
    <fill>
      <patternFill patternType="solid">
        <fgColor theme="5"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C7CE"/>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D8D2E4"/>
        <bgColor indexed="64"/>
      </patternFill>
    </fill>
    <fill>
      <patternFill patternType="solid">
        <fgColor theme="0"/>
        <bgColor indexed="64"/>
      </patternFill>
    </fill>
    <fill>
      <patternFill patternType="solid">
        <fgColor theme="5" tint="0.39997558519241921"/>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thick">
        <color auto="1"/>
      </bottom>
      <diagonal/>
    </border>
    <border>
      <left/>
      <right/>
      <top style="medium">
        <color auto="1"/>
      </top>
      <bottom/>
      <diagonal/>
    </border>
    <border>
      <left/>
      <right/>
      <top style="thin">
        <color auto="1"/>
      </top>
      <bottom/>
      <diagonal/>
    </border>
    <border>
      <left style="thin">
        <color rgb="FFB2B2B2"/>
      </left>
      <right style="thin">
        <color rgb="FFB2B2B2"/>
      </right>
      <top style="medium">
        <color auto="1"/>
      </top>
      <bottom style="thin">
        <color rgb="FFB2B2B2"/>
      </bottom>
      <diagonal/>
    </border>
    <border>
      <left style="thin">
        <color rgb="FFB2B2B2"/>
      </left>
      <right style="thin">
        <color rgb="FFB2B2B2"/>
      </right>
      <top style="thin">
        <color auto="1"/>
      </top>
      <bottom style="thin">
        <color rgb="FFB2B2B2"/>
      </bottom>
      <diagonal/>
    </border>
    <border>
      <left style="thin">
        <color rgb="FFB2B2B2"/>
      </left>
      <right style="thin">
        <color rgb="FFB2B2B2"/>
      </right>
      <top style="thin">
        <color rgb="FFB2B2B2"/>
      </top>
      <bottom/>
      <diagonal/>
    </border>
    <border>
      <left/>
      <right/>
      <top/>
      <bottom style="thin">
        <color indexed="64"/>
      </bottom>
      <diagonal/>
    </border>
    <border>
      <left/>
      <right/>
      <top style="medium">
        <color auto="1"/>
      </top>
      <bottom style="medium">
        <color auto="1"/>
      </bottom>
      <diagonal/>
    </border>
    <border>
      <left/>
      <right/>
      <top/>
      <bottom style="medium">
        <color auto="1"/>
      </bottom>
      <diagonal/>
    </border>
    <border>
      <left style="thin">
        <color rgb="FFB2B2B2"/>
      </left>
      <right style="thin">
        <color rgb="FFB2B2B2"/>
      </right>
      <top/>
      <bottom style="thin">
        <color rgb="FFB2B2B2"/>
      </bottom>
      <diagonal/>
    </border>
    <border>
      <left/>
      <right/>
      <top style="thick">
        <color auto="1"/>
      </top>
      <bottom/>
      <diagonal/>
    </border>
    <border>
      <left/>
      <right/>
      <top style="medium">
        <color auto="1"/>
      </top>
      <bottom style="thick">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8">
    <xf numFmtId="0" fontId="0" fillId="0" borderId="0"/>
    <xf numFmtId="0" fontId="8" fillId="2" borderId="1" applyNumberFormat="0" applyFont="0" applyAlignment="0" applyProtection="0"/>
    <xf numFmtId="0" fontId="11" fillId="3" borderId="2" applyNumberForma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13" fillId="0" borderId="0" applyNumberFormat="0" applyFill="0" applyBorder="0" applyAlignment="0" applyProtection="0">
      <alignment vertical="top"/>
      <protection locked="0"/>
    </xf>
    <xf numFmtId="0" fontId="15" fillId="9" borderId="0" applyNumberFormat="0" applyBorder="0" applyAlignment="0" applyProtection="0"/>
  </cellStyleXfs>
  <cellXfs count="922">
    <xf numFmtId="0" fontId="0" fillId="0" borderId="0" xfId="0"/>
    <xf numFmtId="0" fontId="2" fillId="0" borderId="0" xfId="0" applyFont="1"/>
    <xf numFmtId="0" fontId="1" fillId="0" borderId="0" xfId="0" applyFont="1" applyAlignment="1">
      <alignment vertical="center"/>
    </xf>
    <xf numFmtId="0" fontId="0" fillId="0" borderId="0" xfId="0" applyAlignment="1">
      <alignment horizontal="center"/>
    </xf>
    <xf numFmtId="0" fontId="0" fillId="0" borderId="0" xfId="0" applyFont="1"/>
    <xf numFmtId="0" fontId="0" fillId="0" borderId="0" xfId="0" applyFill="1"/>
    <xf numFmtId="0" fontId="0" fillId="8" borderId="0" xfId="0" applyFill="1"/>
    <xf numFmtId="0" fontId="0" fillId="0" borderId="3" xfId="0" applyBorder="1"/>
    <xf numFmtId="0" fontId="0" fillId="0" borderId="4" xfId="0" applyBorder="1"/>
    <xf numFmtId="0" fontId="0" fillId="0" borderId="5" xfId="0" applyBorder="1"/>
    <xf numFmtId="0" fontId="0" fillId="0" borderId="0" xfId="0" applyBorder="1"/>
    <xf numFmtId="0" fontId="0" fillId="0" borderId="5" xfId="0" applyFont="1" applyBorder="1"/>
    <xf numFmtId="0" fontId="0" fillId="0" borderId="4" xfId="0" applyFont="1" applyBorder="1"/>
    <xf numFmtId="0" fontId="0" fillId="11" borderId="0" xfId="0" applyFill="1"/>
    <xf numFmtId="0" fontId="0" fillId="0" borderId="9" xfId="0" applyBorder="1"/>
    <xf numFmtId="0" fontId="0" fillId="0" borderId="10" xfId="0" applyBorder="1"/>
    <xf numFmtId="0" fontId="0" fillId="0" borderId="11" xfId="0" applyBorder="1"/>
    <xf numFmtId="0" fontId="0" fillId="8" borderId="11" xfId="0" applyFill="1" applyBorder="1"/>
    <xf numFmtId="0" fontId="0" fillId="8" borderId="10" xfId="0" applyFill="1" applyBorder="1"/>
    <xf numFmtId="0" fontId="0" fillId="0" borderId="0" xfId="0" applyFont="1" applyBorder="1"/>
    <xf numFmtId="0" fontId="0" fillId="0" borderId="11" xfId="0" applyFont="1" applyBorder="1"/>
    <xf numFmtId="0" fontId="0" fillId="0" borderId="11" xfId="0" applyFill="1" applyBorder="1"/>
    <xf numFmtId="0" fontId="0" fillId="0" borderId="10" xfId="0" applyFill="1" applyBorder="1"/>
    <xf numFmtId="0" fontId="0" fillId="0" borderId="13" xfId="0" applyBorder="1"/>
    <xf numFmtId="0" fontId="0" fillId="0" borderId="14" xfId="0" applyBorder="1"/>
    <xf numFmtId="0" fontId="2" fillId="0" borderId="4" xfId="0" applyFont="1" applyBorder="1"/>
    <xf numFmtId="0" fontId="2" fillId="11" borderId="3" xfId="0" applyFont="1" applyFill="1" applyBorder="1"/>
    <xf numFmtId="0" fontId="0" fillId="11" borderId="13" xfId="0" applyFill="1" applyBorder="1"/>
    <xf numFmtId="0" fontId="0" fillId="15" borderId="0" xfId="0" applyFill="1" applyAlignment="1" applyProtection="1">
      <alignment vertical="center" wrapText="1"/>
      <protection locked="0"/>
    </xf>
    <xf numFmtId="0" fontId="0" fillId="11" borderId="0" xfId="0" applyFill="1" applyProtection="1">
      <protection locked="0"/>
    </xf>
    <xf numFmtId="0" fontId="2" fillId="11" borderId="0" xfId="0" applyFont="1" applyFill="1" applyProtection="1">
      <protection locked="0"/>
    </xf>
    <xf numFmtId="0" fontId="0" fillId="0" borderId="0" xfId="0" applyProtection="1">
      <protection locked="0"/>
    </xf>
    <xf numFmtId="0" fontId="0" fillId="14" borderId="0" xfId="0" applyFill="1" applyProtection="1">
      <protection locked="0"/>
    </xf>
    <xf numFmtId="0" fontId="0" fillId="0" borderId="0" xfId="0" applyAlignment="1" applyProtection="1">
      <alignment horizontal="center"/>
      <protection locked="0"/>
    </xf>
    <xf numFmtId="0" fontId="0" fillId="0" borderId="0" xfId="0" applyFont="1" applyAlignment="1" applyProtection="1">
      <alignment vertical="center"/>
      <protection locked="0"/>
    </xf>
    <xf numFmtId="0" fontId="0" fillId="14" borderId="0" xfId="0" applyFont="1" applyFill="1" applyAlignment="1" applyProtection="1">
      <alignment vertical="center"/>
      <protection locked="0"/>
    </xf>
    <xf numFmtId="0" fontId="0" fillId="0" borderId="4" xfId="0" applyBorder="1" applyAlignment="1" applyProtection="1">
      <alignment horizontal="center"/>
      <protection locked="0"/>
    </xf>
    <xf numFmtId="0" fontId="0" fillId="0" borderId="4" xfId="0" applyBorder="1" applyProtection="1">
      <protection locked="0"/>
    </xf>
    <xf numFmtId="0" fontId="0" fillId="14" borderId="4" xfId="0" applyFill="1" applyBorder="1" applyProtection="1">
      <protection locked="0"/>
    </xf>
    <xf numFmtId="0" fontId="0" fillId="0" borderId="4" xfId="0" applyFill="1" applyBorder="1" applyProtection="1">
      <protection locked="0"/>
    </xf>
    <xf numFmtId="0" fontId="0" fillId="0" borderId="0" xfId="0" applyFill="1" applyProtection="1">
      <protection locked="0"/>
    </xf>
    <xf numFmtId="0" fontId="0" fillId="0" borderId="5" xfId="0" applyBorder="1" applyAlignment="1" applyProtection="1">
      <alignment horizontal="center"/>
      <protection locked="0"/>
    </xf>
    <xf numFmtId="0" fontId="0" fillId="0" borderId="5" xfId="0" applyBorder="1" applyProtection="1">
      <protection locked="0"/>
    </xf>
    <xf numFmtId="0" fontId="0" fillId="14" borderId="5" xfId="0" applyFill="1" applyBorder="1" applyProtection="1">
      <protection locked="0"/>
    </xf>
    <xf numFmtId="0" fontId="0" fillId="0" borderId="5" xfId="0" applyFill="1" applyBorder="1" applyProtection="1">
      <protection locked="0"/>
    </xf>
    <xf numFmtId="0" fontId="10" fillId="0" borderId="4" xfId="2" applyFont="1" applyFill="1" applyBorder="1" applyProtection="1">
      <protection locked="0"/>
    </xf>
    <xf numFmtId="0" fontId="10" fillId="14" borderId="4" xfId="2" applyFont="1" applyFill="1" applyBorder="1" applyProtection="1">
      <protection locked="0"/>
    </xf>
    <xf numFmtId="0" fontId="10" fillId="0" borderId="0" xfId="0" applyFont="1" applyFill="1" applyBorder="1" applyProtection="1">
      <protection locked="0"/>
    </xf>
    <xf numFmtId="0" fontId="10" fillId="14" borderId="0" xfId="0" applyFont="1" applyFill="1" applyBorder="1" applyProtection="1">
      <protection locked="0"/>
    </xf>
    <xf numFmtId="0" fontId="0" fillId="0" borderId="0" xfId="0" applyBorder="1" applyAlignment="1" applyProtection="1">
      <alignment horizontal="center"/>
      <protection locked="0"/>
    </xf>
    <xf numFmtId="0" fontId="0" fillId="0" borderId="0" xfId="0" applyBorder="1" applyProtection="1">
      <protection locked="0"/>
    </xf>
    <xf numFmtId="0" fontId="0" fillId="14" borderId="0" xfId="0" applyFill="1" applyBorder="1" applyProtection="1">
      <protection locked="0"/>
    </xf>
    <xf numFmtId="0" fontId="0" fillId="0" borderId="3" xfId="0" applyBorder="1" applyAlignment="1" applyProtection="1">
      <alignment horizontal="center"/>
      <protection locked="0"/>
    </xf>
    <xf numFmtId="0" fontId="0" fillId="11" borderId="3" xfId="0" applyFill="1" applyBorder="1" applyProtection="1">
      <protection locked="0"/>
    </xf>
    <xf numFmtId="0" fontId="0" fillId="0" borderId="3" xfId="0" applyBorder="1" applyProtection="1">
      <protection locked="0"/>
    </xf>
    <xf numFmtId="0" fontId="0" fillId="14" borderId="3" xfId="0" applyFill="1" applyBorder="1" applyProtection="1">
      <protection locked="0"/>
    </xf>
    <xf numFmtId="0" fontId="0" fillId="0" borderId="4" xfId="0" applyFont="1" applyBorder="1" applyProtection="1">
      <protection locked="0"/>
    </xf>
    <xf numFmtId="0" fontId="0" fillId="0" borderId="0" xfId="0" applyAlignment="1" applyProtection="1">
      <alignment vertical="center"/>
      <protection locked="0"/>
    </xf>
    <xf numFmtId="0" fontId="0" fillId="0" borderId="11" xfId="0" applyBorder="1" applyAlignment="1" applyProtection="1">
      <alignment horizontal="center"/>
      <protection locked="0"/>
    </xf>
    <xf numFmtId="0" fontId="0" fillId="11" borderId="11" xfId="0" applyFill="1" applyBorder="1" applyProtection="1">
      <protection locked="0"/>
    </xf>
    <xf numFmtId="0" fontId="0" fillId="0" borderId="11" xfId="0" applyBorder="1" applyProtection="1">
      <protection locked="0"/>
    </xf>
    <xf numFmtId="0" fontId="0" fillId="14" borderId="11" xfId="0" applyFill="1" applyBorder="1" applyProtection="1">
      <protection locked="0"/>
    </xf>
    <xf numFmtId="0" fontId="0" fillId="0" borderId="10" xfId="0" applyBorder="1" applyAlignment="1" applyProtection="1">
      <alignment horizontal="center"/>
      <protection locked="0"/>
    </xf>
    <xf numFmtId="0" fontId="0" fillId="0" borderId="10" xfId="0" applyBorder="1" applyProtection="1">
      <protection locked="0"/>
    </xf>
    <xf numFmtId="0" fontId="0" fillId="14" borderId="10" xfId="0" applyFill="1" applyBorder="1" applyProtection="1">
      <protection locked="0"/>
    </xf>
    <xf numFmtId="0" fontId="0" fillId="0" borderId="10" xfId="0" applyFill="1" applyBorder="1" applyProtection="1">
      <protection locked="0"/>
    </xf>
    <xf numFmtId="0" fontId="2" fillId="11" borderId="3" xfId="0" applyFont="1" applyFill="1" applyBorder="1" applyAlignment="1" applyProtection="1">
      <alignment horizontal="center"/>
      <protection locked="0"/>
    </xf>
    <xf numFmtId="0" fontId="2" fillId="11" borderId="3" xfId="0" applyFont="1" applyFill="1" applyBorder="1" applyProtection="1">
      <protection locked="0"/>
    </xf>
    <xf numFmtId="0" fontId="0" fillId="11" borderId="13" xfId="0" applyFill="1" applyBorder="1" applyAlignment="1" applyProtection="1">
      <alignment horizontal="center"/>
      <protection locked="0"/>
    </xf>
    <xf numFmtId="0" fontId="2" fillId="11" borderId="13" xfId="0" applyFont="1" applyFill="1" applyBorder="1" applyProtection="1">
      <protection locked="0"/>
    </xf>
    <xf numFmtId="0" fontId="0" fillId="11" borderId="13" xfId="0" applyFill="1" applyBorder="1" applyProtection="1">
      <protection locked="0"/>
    </xf>
    <xf numFmtId="0" fontId="0" fillId="0" borderId="0" xfId="0" applyFill="1" applyAlignment="1" applyProtection="1">
      <alignment horizontal="center"/>
      <protection locked="0"/>
    </xf>
    <xf numFmtId="0" fontId="2" fillId="0" borderId="0" xfId="0" applyFont="1" applyFill="1" applyProtection="1">
      <protection locked="0"/>
    </xf>
    <xf numFmtId="0" fontId="0" fillId="0" borderId="4" xfId="0" applyBorder="1" applyAlignment="1" applyProtection="1">
      <alignment vertical="center"/>
      <protection locked="0"/>
    </xf>
    <xf numFmtId="0" fontId="0" fillId="0" borderId="4" xfId="0" applyFont="1" applyBorder="1" applyAlignment="1" applyProtection="1">
      <alignment wrapText="1"/>
      <protection locked="0"/>
    </xf>
    <xf numFmtId="0" fontId="0" fillId="11" borderId="0" xfId="0" applyFill="1" applyBorder="1" applyProtection="1">
      <protection locked="0"/>
    </xf>
    <xf numFmtId="0" fontId="0" fillId="0" borderId="14" xfId="0" applyBorder="1" applyAlignment="1" applyProtection="1">
      <alignment horizontal="center"/>
      <protection locked="0"/>
    </xf>
    <xf numFmtId="0" fontId="0" fillId="0" borderId="14" xfId="0" applyBorder="1" applyProtection="1">
      <protection locked="0"/>
    </xf>
    <xf numFmtId="0" fontId="0" fillId="14" borderId="14" xfId="0" applyFill="1" applyBorder="1" applyProtection="1">
      <protection locked="0"/>
    </xf>
    <xf numFmtId="0" fontId="0" fillId="0" borderId="13" xfId="0" applyBorder="1" applyAlignment="1" applyProtection="1">
      <alignment horizontal="center"/>
      <protection locked="0"/>
    </xf>
    <xf numFmtId="0" fontId="0" fillId="0" borderId="13" xfId="0" applyBorder="1" applyProtection="1">
      <protection locked="0"/>
    </xf>
    <xf numFmtId="0" fontId="0" fillId="14" borderId="13" xfId="0" applyFill="1" applyBorder="1" applyProtection="1">
      <protection locked="0"/>
    </xf>
    <xf numFmtId="0" fontId="0" fillId="11" borderId="0" xfId="0" applyFill="1" applyAlignment="1" applyProtection="1">
      <alignment horizontal="center"/>
      <protection locked="0"/>
    </xf>
    <xf numFmtId="0" fontId="10" fillId="0" borderId="5" xfId="2" applyFont="1" applyFill="1" applyBorder="1" applyProtection="1">
      <protection locked="0"/>
    </xf>
    <xf numFmtId="0" fontId="10" fillId="14" borderId="5" xfId="2" applyFont="1" applyFill="1" applyBorder="1" applyProtection="1">
      <protection locked="0"/>
    </xf>
    <xf numFmtId="0" fontId="0" fillId="8" borderId="0" xfId="0" applyFill="1" applyProtection="1">
      <protection locked="0"/>
    </xf>
    <xf numFmtId="11" fontId="8" fillId="8" borderId="0" xfId="4" applyNumberFormat="1" applyFill="1" applyProtection="1">
      <protection locked="0"/>
    </xf>
    <xf numFmtId="0" fontId="8" fillId="8" borderId="0" xfId="4" applyFill="1" applyProtection="1">
      <protection locked="0"/>
    </xf>
    <xf numFmtId="0" fontId="8" fillId="0" borderId="4" xfId="3" applyFill="1" applyBorder="1" applyProtection="1">
      <protection locked="0"/>
    </xf>
    <xf numFmtId="11" fontId="8" fillId="8" borderId="4" xfId="4" applyNumberFormat="1" applyFill="1" applyBorder="1" applyProtection="1">
      <protection locked="0"/>
    </xf>
    <xf numFmtId="0" fontId="8" fillId="8" borderId="4" xfId="4" applyFill="1" applyBorder="1" applyProtection="1">
      <protection locked="0"/>
    </xf>
    <xf numFmtId="0" fontId="8" fillId="0" borderId="0" xfId="3" applyFill="1" applyProtection="1">
      <protection locked="0"/>
    </xf>
    <xf numFmtId="0" fontId="8" fillId="4" borderId="0" xfId="3" applyProtection="1">
      <protection locked="0"/>
    </xf>
    <xf numFmtId="0" fontId="8" fillId="4" borderId="5" xfId="3" applyBorder="1" applyProtection="1">
      <protection locked="0"/>
    </xf>
    <xf numFmtId="11" fontId="8" fillId="8" borderId="5" xfId="4" applyNumberFormat="1" applyFill="1" applyBorder="1" applyProtection="1">
      <protection locked="0"/>
    </xf>
    <xf numFmtId="0" fontId="8" fillId="8" borderId="5" xfId="4" applyFill="1" applyBorder="1" applyProtection="1">
      <protection locked="0"/>
    </xf>
    <xf numFmtId="0" fontId="8" fillId="4" borderId="4" xfId="3" applyBorder="1" applyProtection="1">
      <protection locked="0"/>
    </xf>
    <xf numFmtId="0" fontId="8" fillId="0" borderId="0" xfId="3" applyFill="1" applyBorder="1" applyProtection="1">
      <protection locked="0"/>
    </xf>
    <xf numFmtId="11" fontId="8" fillId="8" borderId="0" xfId="4" applyNumberFormat="1" applyFill="1" applyBorder="1" applyProtection="1">
      <protection locked="0"/>
    </xf>
    <xf numFmtId="0" fontId="8" fillId="8" borderId="0" xfId="4" applyFill="1" applyBorder="1" applyProtection="1">
      <protection locked="0"/>
    </xf>
    <xf numFmtId="0" fontId="8" fillId="0" borderId="3" xfId="3" applyFill="1" applyBorder="1" applyProtection="1">
      <protection locked="0"/>
    </xf>
    <xf numFmtId="11" fontId="8" fillId="8" borderId="3" xfId="4" applyNumberFormat="1" applyFill="1" applyBorder="1" applyProtection="1">
      <protection locked="0"/>
    </xf>
    <xf numFmtId="0" fontId="8" fillId="8" borderId="3" xfId="4" applyFill="1" applyBorder="1" applyProtection="1">
      <protection locked="0"/>
    </xf>
    <xf numFmtId="11" fontId="0" fillId="0" borderId="0" xfId="0" applyNumberFormat="1" applyProtection="1">
      <protection locked="0"/>
    </xf>
    <xf numFmtId="0" fontId="0" fillId="8" borderId="11" xfId="0" applyFill="1" applyBorder="1" applyProtection="1">
      <protection locked="0"/>
    </xf>
    <xf numFmtId="0" fontId="8" fillId="4" borderId="10" xfId="3" applyBorder="1" applyProtection="1">
      <protection locked="0"/>
    </xf>
    <xf numFmtId="11" fontId="8" fillId="8" borderId="10" xfId="4" applyNumberFormat="1" applyFill="1" applyBorder="1" applyProtection="1">
      <protection locked="0"/>
    </xf>
    <xf numFmtId="0" fontId="8" fillId="8" borderId="10" xfId="4" applyFill="1" applyBorder="1" applyProtection="1">
      <protection locked="0"/>
    </xf>
    <xf numFmtId="0" fontId="2" fillId="0" borderId="0" xfId="0" applyFont="1" applyProtection="1">
      <protection locked="0"/>
    </xf>
    <xf numFmtId="2" fontId="0" fillId="0" borderId="4" xfId="0" applyNumberFormat="1" applyBorder="1" applyProtection="1">
      <protection locked="0"/>
    </xf>
    <xf numFmtId="0" fontId="8" fillId="4" borderId="0" xfId="3" applyBorder="1" applyProtection="1">
      <protection locked="0"/>
    </xf>
    <xf numFmtId="0" fontId="8" fillId="4" borderId="14" xfId="3" applyBorder="1" applyProtection="1">
      <protection locked="0"/>
    </xf>
    <xf numFmtId="11" fontId="8" fillId="8" borderId="14" xfId="4" applyNumberFormat="1" applyFill="1" applyBorder="1" applyProtection="1">
      <protection locked="0"/>
    </xf>
    <xf numFmtId="0" fontId="8" fillId="8" borderId="14" xfId="4" applyFill="1" applyBorder="1" applyProtection="1">
      <protection locked="0"/>
    </xf>
    <xf numFmtId="0" fontId="0" fillId="8" borderId="0" xfId="0" applyFill="1" applyBorder="1" applyProtection="1">
      <protection locked="0"/>
    </xf>
    <xf numFmtId="0" fontId="0" fillId="0" borderId="0" xfId="0" applyFont="1" applyProtection="1">
      <protection locked="0"/>
    </xf>
    <xf numFmtId="0" fontId="0" fillId="8" borderId="13" xfId="0" applyFill="1" applyBorder="1" applyProtection="1">
      <protection locked="0"/>
    </xf>
    <xf numFmtId="0" fontId="0" fillId="10" borderId="0" xfId="0" applyFill="1" applyProtection="1">
      <protection locked="0"/>
    </xf>
    <xf numFmtId="11" fontId="0" fillId="10" borderId="0" xfId="0" applyNumberFormat="1" applyFill="1" applyProtection="1">
      <protection locked="0"/>
    </xf>
    <xf numFmtId="11" fontId="0" fillId="0" borderId="0" xfId="0" applyNumberFormat="1" applyFill="1" applyProtection="1">
      <protection locked="0"/>
    </xf>
    <xf numFmtId="11" fontId="0" fillId="10" borderId="4" xfId="0" applyNumberFormat="1" applyFill="1" applyBorder="1" applyProtection="1">
      <protection locked="0"/>
    </xf>
    <xf numFmtId="11" fontId="0" fillId="0" borderId="4" xfId="0" applyNumberFormat="1" applyFill="1" applyBorder="1" applyProtection="1">
      <protection locked="0"/>
    </xf>
    <xf numFmtId="11" fontId="0" fillId="0" borderId="4" xfId="0" applyNumberFormat="1" applyBorder="1" applyProtection="1">
      <protection locked="0"/>
    </xf>
    <xf numFmtId="11" fontId="10" fillId="0" borderId="0" xfId="0" applyNumberFormat="1" applyFont="1" applyFill="1" applyProtection="1">
      <protection locked="0"/>
    </xf>
    <xf numFmtId="11" fontId="0" fillId="10" borderId="5" xfId="0" applyNumberFormat="1" applyFill="1" applyBorder="1" applyProtection="1">
      <protection locked="0"/>
    </xf>
    <xf numFmtId="11" fontId="0" fillId="0" borderId="5" xfId="0" applyNumberFormat="1" applyFill="1" applyBorder="1" applyProtection="1">
      <protection locked="0"/>
    </xf>
    <xf numFmtId="11" fontId="0" fillId="0" borderId="5" xfId="0" applyNumberFormat="1" applyBorder="1" applyProtection="1">
      <protection locked="0"/>
    </xf>
    <xf numFmtId="164" fontId="8" fillId="8" borderId="4" xfId="4" applyNumberFormat="1" applyFill="1" applyBorder="1" applyProtection="1">
      <protection locked="0"/>
    </xf>
    <xf numFmtId="164" fontId="8" fillId="8" borderId="0" xfId="4" applyNumberFormat="1" applyFill="1" applyProtection="1">
      <protection locked="0"/>
    </xf>
    <xf numFmtId="2" fontId="0" fillId="0" borderId="0" xfId="0" applyNumberFormat="1" applyProtection="1">
      <protection locked="0"/>
    </xf>
    <xf numFmtId="11" fontId="10" fillId="0" borderId="0" xfId="0" applyNumberFormat="1" applyFont="1" applyProtection="1">
      <protection locked="0"/>
    </xf>
    <xf numFmtId="0" fontId="10" fillId="0" borderId="0" xfId="0" applyFont="1" applyProtection="1">
      <protection locked="0"/>
    </xf>
    <xf numFmtId="11" fontId="1" fillId="0" borderId="0" xfId="0" applyNumberFormat="1" applyFont="1" applyProtection="1">
      <protection locked="0"/>
    </xf>
    <xf numFmtId="11" fontId="0" fillId="10" borderId="0" xfId="0" applyNumberFormat="1" applyFill="1" applyBorder="1" applyProtection="1">
      <protection locked="0"/>
    </xf>
    <xf numFmtId="11" fontId="0" fillId="0" borderId="0" xfId="0" applyNumberFormat="1" applyFill="1" applyBorder="1" applyProtection="1">
      <protection locked="0"/>
    </xf>
    <xf numFmtId="11" fontId="0" fillId="10" borderId="3" xfId="0" applyNumberFormat="1" applyFill="1" applyBorder="1" applyProtection="1">
      <protection locked="0"/>
    </xf>
    <xf numFmtId="11" fontId="0" fillId="0" borderId="3" xfId="0" applyNumberFormat="1" applyFill="1" applyBorder="1" applyProtection="1">
      <protection locked="0"/>
    </xf>
    <xf numFmtId="0" fontId="0" fillId="10" borderId="11" xfId="0" applyFill="1" applyBorder="1" applyProtection="1">
      <protection locked="0"/>
    </xf>
    <xf numFmtId="0" fontId="0" fillId="0" borderId="11" xfId="0" applyFill="1" applyBorder="1" applyProtection="1">
      <protection locked="0"/>
    </xf>
    <xf numFmtId="11" fontId="0" fillId="10" borderId="10" xfId="0" applyNumberFormat="1" applyFill="1" applyBorder="1" applyProtection="1">
      <protection locked="0"/>
    </xf>
    <xf numFmtId="11" fontId="0" fillId="0" borderId="10" xfId="0" applyNumberFormat="1" applyFill="1" applyBorder="1" applyProtection="1">
      <protection locked="0"/>
    </xf>
    <xf numFmtId="11" fontId="0" fillId="0" borderId="10" xfId="0" applyNumberFormat="1" applyBorder="1" applyProtection="1">
      <protection locked="0"/>
    </xf>
    <xf numFmtId="2" fontId="2" fillId="0" borderId="0" xfId="0" applyNumberFormat="1" applyFont="1" applyProtection="1">
      <protection locked="0"/>
    </xf>
    <xf numFmtId="2" fontId="2" fillId="0" borderId="0" xfId="0" applyNumberFormat="1" applyFont="1" applyFill="1" applyProtection="1">
      <protection locked="0"/>
    </xf>
    <xf numFmtId="1" fontId="2" fillId="0" borderId="0" xfId="0" applyNumberFormat="1" applyFont="1" applyProtection="1">
      <protection locked="0"/>
    </xf>
    <xf numFmtId="2" fontId="0" fillId="11" borderId="13" xfId="0" applyNumberFormat="1" applyFill="1" applyBorder="1" applyProtection="1">
      <protection locked="0"/>
    </xf>
    <xf numFmtId="2" fontId="0" fillId="0" borderId="0" xfId="0" applyNumberFormat="1" applyFill="1" applyProtection="1">
      <protection locked="0"/>
    </xf>
    <xf numFmtId="11" fontId="0" fillId="0" borderId="0" xfId="0" applyNumberFormat="1" applyBorder="1" applyProtection="1">
      <protection locked="0"/>
    </xf>
    <xf numFmtId="11" fontId="0" fillId="10" borderId="14" xfId="0" applyNumberFormat="1" applyFill="1" applyBorder="1" applyProtection="1">
      <protection locked="0"/>
    </xf>
    <xf numFmtId="11" fontId="0" fillId="0" borderId="14" xfId="0" applyNumberFormat="1" applyFill="1" applyBorder="1" applyProtection="1">
      <protection locked="0"/>
    </xf>
    <xf numFmtId="0" fontId="0" fillId="10" borderId="0" xfId="0" applyFill="1" applyBorder="1" applyProtection="1">
      <protection locked="0"/>
    </xf>
    <xf numFmtId="0" fontId="0" fillId="0" borderId="0" xfId="0" applyFill="1" applyBorder="1" applyProtection="1">
      <protection locked="0"/>
    </xf>
    <xf numFmtId="2" fontId="0" fillId="0" borderId="0" xfId="0" applyNumberFormat="1" applyFont="1" applyProtection="1">
      <protection locked="0"/>
    </xf>
    <xf numFmtId="2" fontId="0" fillId="0" borderId="0" xfId="0" applyNumberFormat="1" applyFont="1" applyFill="1" applyProtection="1">
      <protection locked="0"/>
    </xf>
    <xf numFmtId="0" fontId="0" fillId="10" borderId="13" xfId="0" applyFill="1" applyBorder="1" applyProtection="1">
      <protection locked="0"/>
    </xf>
    <xf numFmtId="0" fontId="0" fillId="0" borderId="13" xfId="0" applyFill="1" applyBorder="1" applyProtection="1">
      <protection locked="0"/>
    </xf>
    <xf numFmtId="0" fontId="0" fillId="10" borderId="0" xfId="0" applyNumberFormat="1" applyFill="1" applyProtection="1">
      <protection locked="0"/>
    </xf>
    <xf numFmtId="0" fontId="0" fillId="0" borderId="0" xfId="0" applyNumberFormat="1" applyFill="1" applyProtection="1">
      <protection locked="0"/>
    </xf>
    <xf numFmtId="0" fontId="0" fillId="10" borderId="4" xfId="0" applyNumberFormat="1" applyFill="1" applyBorder="1" applyProtection="1">
      <protection locked="0"/>
    </xf>
    <xf numFmtId="0" fontId="0" fillId="0" borderId="4" xfId="0" applyNumberFormat="1" applyFill="1" applyBorder="1" applyProtection="1">
      <protection locked="0"/>
    </xf>
    <xf numFmtId="0" fontId="0" fillId="10" borderId="5" xfId="0" applyNumberFormat="1" applyFill="1" applyBorder="1" applyProtection="1">
      <protection locked="0"/>
    </xf>
    <xf numFmtId="0" fontId="0" fillId="0" borderId="5" xfId="0" applyNumberFormat="1" applyFill="1" applyBorder="1" applyProtection="1">
      <protection locked="0"/>
    </xf>
    <xf numFmtId="166" fontId="0" fillId="10" borderId="4" xfId="0" applyNumberFormat="1" applyFill="1" applyBorder="1" applyProtection="1">
      <protection locked="0"/>
    </xf>
    <xf numFmtId="2" fontId="0" fillId="10" borderId="4" xfId="0" applyNumberFormat="1" applyFill="1" applyBorder="1" applyProtection="1">
      <protection locked="0"/>
    </xf>
    <xf numFmtId="0" fontId="0" fillId="10" borderId="0" xfId="0" applyNumberFormat="1" applyFill="1" applyBorder="1" applyProtection="1">
      <protection locked="0"/>
    </xf>
    <xf numFmtId="0" fontId="0" fillId="0" borderId="0" xfId="0" applyNumberFormat="1" applyFill="1" applyBorder="1" applyProtection="1">
      <protection locked="0"/>
    </xf>
    <xf numFmtId="0" fontId="0" fillId="10" borderId="3" xfId="0" applyNumberFormat="1" applyFill="1" applyBorder="1" applyProtection="1">
      <protection locked="0"/>
    </xf>
    <xf numFmtId="0" fontId="0" fillId="0" borderId="3" xfId="0" applyNumberFormat="1" applyFill="1" applyBorder="1" applyProtection="1">
      <protection locked="0"/>
    </xf>
    <xf numFmtId="0" fontId="0" fillId="10" borderId="11" xfId="0" applyNumberFormat="1" applyFill="1" applyBorder="1" applyProtection="1">
      <protection locked="0"/>
    </xf>
    <xf numFmtId="0" fontId="0" fillId="0" borderId="11" xfId="0" applyNumberFormat="1" applyFill="1" applyBorder="1" applyProtection="1">
      <protection locked="0"/>
    </xf>
    <xf numFmtId="2" fontId="0" fillId="10" borderId="0" xfId="0" applyNumberFormat="1" applyFill="1" applyProtection="1">
      <protection locked="0"/>
    </xf>
    <xf numFmtId="0" fontId="0" fillId="10" borderId="10" xfId="0" applyNumberFormat="1" applyFill="1" applyBorder="1" applyProtection="1">
      <protection locked="0"/>
    </xf>
    <xf numFmtId="0" fontId="0" fillId="0" borderId="10" xfId="0" applyNumberFormat="1" applyFill="1" applyBorder="1" applyProtection="1">
      <protection locked="0"/>
    </xf>
    <xf numFmtId="0" fontId="0" fillId="0" borderId="0" xfId="0" applyNumberFormat="1" applyFont="1" applyProtection="1">
      <protection locked="0"/>
    </xf>
    <xf numFmtId="0" fontId="0" fillId="0" borderId="0" xfId="0" applyNumberFormat="1" applyFont="1" applyFill="1" applyProtection="1">
      <protection locked="0"/>
    </xf>
    <xf numFmtId="0" fontId="0" fillId="0" borderId="0" xfId="0" applyNumberFormat="1" applyProtection="1">
      <protection locked="0"/>
    </xf>
    <xf numFmtId="0" fontId="2" fillId="0" borderId="0" xfId="0" applyNumberFormat="1" applyFont="1" applyProtection="1">
      <protection locked="0"/>
    </xf>
    <xf numFmtId="164" fontId="2" fillId="0" borderId="0" xfId="0" applyNumberFormat="1" applyFont="1" applyProtection="1">
      <protection locked="0"/>
    </xf>
    <xf numFmtId="0" fontId="2" fillId="11" borderId="3" xfId="0" applyNumberFormat="1" applyFont="1" applyFill="1" applyBorder="1" applyProtection="1">
      <protection locked="0"/>
    </xf>
    <xf numFmtId="0" fontId="0" fillId="11" borderId="13" xfId="0" applyNumberFormat="1" applyFill="1" applyBorder="1" applyProtection="1">
      <protection locked="0"/>
    </xf>
    <xf numFmtId="0" fontId="0" fillId="10" borderId="14" xfId="0" applyNumberFormat="1" applyFill="1" applyBorder="1" applyProtection="1">
      <protection locked="0"/>
    </xf>
    <xf numFmtId="0" fontId="0" fillId="0" borderId="14" xfId="0" applyNumberFormat="1" applyFill="1" applyBorder="1" applyProtection="1">
      <protection locked="0"/>
    </xf>
    <xf numFmtId="0" fontId="0" fillId="10" borderId="13" xfId="0" applyNumberFormat="1" applyFill="1" applyBorder="1" applyProtection="1">
      <protection locked="0"/>
    </xf>
    <xf numFmtId="0" fontId="0" fillId="0" borderId="13" xfId="0" applyNumberFormat="1" applyFill="1" applyBorder="1" applyProtection="1">
      <protection locked="0"/>
    </xf>
    <xf numFmtId="0" fontId="0" fillId="11" borderId="0" xfId="0" applyNumberFormat="1" applyFill="1" applyProtection="1">
      <protection locked="0"/>
    </xf>
    <xf numFmtId="0" fontId="0" fillId="15" borderId="0" xfId="0" applyFill="1" applyProtection="1">
      <protection locked="0"/>
    </xf>
    <xf numFmtId="0" fontId="0" fillId="15" borderId="4" xfId="0" applyFill="1" applyBorder="1" applyProtection="1">
      <protection locked="0"/>
    </xf>
    <xf numFmtId="0" fontId="0" fillId="15" borderId="5" xfId="0" applyFill="1" applyBorder="1" applyProtection="1">
      <protection locked="0"/>
    </xf>
    <xf numFmtId="0" fontId="0" fillId="15" borderId="0" xfId="0" applyFill="1" applyBorder="1" applyProtection="1">
      <protection locked="0"/>
    </xf>
    <xf numFmtId="0" fontId="0" fillId="15" borderId="3" xfId="0" applyFill="1" applyBorder="1" applyProtection="1">
      <protection locked="0"/>
    </xf>
    <xf numFmtId="0" fontId="0" fillId="15" borderId="11" xfId="0" applyFill="1" applyBorder="1" applyProtection="1">
      <protection locked="0"/>
    </xf>
    <xf numFmtId="0" fontId="0" fillId="15" borderId="10" xfId="0" applyFill="1" applyBorder="1" applyProtection="1">
      <protection locked="0"/>
    </xf>
    <xf numFmtId="0" fontId="0" fillId="15" borderId="0" xfId="0" applyFont="1" applyFill="1" applyProtection="1">
      <protection locked="0"/>
    </xf>
    <xf numFmtId="0" fontId="0" fillId="15" borderId="13" xfId="0" applyFill="1" applyBorder="1" applyProtection="1">
      <protection locked="0"/>
    </xf>
    <xf numFmtId="0" fontId="0" fillId="15" borderId="14" xfId="0" applyFill="1" applyBorder="1" applyProtection="1">
      <protection locked="0"/>
    </xf>
    <xf numFmtId="0" fontId="0" fillId="0" borderId="15" xfId="0" applyBorder="1" applyAlignment="1">
      <alignment horizontal="center" vertical="center"/>
    </xf>
    <xf numFmtId="0" fontId="0" fillId="0" borderId="16" xfId="0" applyBorder="1" applyAlignment="1">
      <alignment vertical="center"/>
    </xf>
    <xf numFmtId="0" fontId="0" fillId="0" borderId="16" xfId="0" applyBorder="1" applyAlignment="1">
      <alignment vertical="center" wrapText="1"/>
    </xf>
    <xf numFmtId="0" fontId="0" fillId="7" borderId="15" xfId="0" applyFill="1" applyBorder="1" applyAlignment="1">
      <alignment horizontal="center" vertical="center"/>
    </xf>
    <xf numFmtId="0" fontId="0" fillId="7" borderId="16" xfId="0" applyFill="1" applyBorder="1" applyAlignment="1">
      <alignment vertical="center"/>
    </xf>
    <xf numFmtId="0" fontId="0" fillId="7" borderId="16" xfId="0" applyFill="1" applyBorder="1" applyAlignment="1">
      <alignment wrapText="1"/>
    </xf>
    <xf numFmtId="0" fontId="0" fillId="0" borderId="18" xfId="0" applyBorder="1" applyAlignment="1">
      <alignment horizontal="center" vertical="center"/>
    </xf>
    <xf numFmtId="0" fontId="0" fillId="0" borderId="19" xfId="0" applyBorder="1" applyAlignment="1">
      <alignment vertical="center"/>
    </xf>
    <xf numFmtId="0" fontId="2" fillId="0" borderId="21" xfId="0" applyFont="1" applyBorder="1" applyAlignment="1">
      <alignment vertical="center" wrapText="1"/>
    </xf>
    <xf numFmtId="0" fontId="2" fillId="0" borderId="22" xfId="0" applyFont="1" applyBorder="1" applyAlignment="1">
      <alignment vertical="center"/>
    </xf>
    <xf numFmtId="0" fontId="2" fillId="0" borderId="23" xfId="0" applyFont="1" applyBorder="1" applyAlignment="1">
      <alignment vertical="center"/>
    </xf>
    <xf numFmtId="0" fontId="0" fillId="7" borderId="16" xfId="0" applyFill="1" applyBorder="1" applyAlignment="1">
      <alignment vertical="center" wrapText="1"/>
    </xf>
    <xf numFmtId="11" fontId="2" fillId="0" borderId="0" xfId="0" applyNumberFormat="1" applyFont="1" applyProtection="1">
      <protection locked="0"/>
    </xf>
    <xf numFmtId="0" fontId="0" fillId="7" borderId="0" xfId="0" applyFill="1" applyProtection="1"/>
    <xf numFmtId="11" fontId="0" fillId="7" borderId="0" xfId="0" applyNumberFormat="1" applyFill="1" applyProtection="1"/>
    <xf numFmtId="11" fontId="2" fillId="7" borderId="0" xfId="0" applyNumberFormat="1" applyFont="1" applyFill="1" applyProtection="1"/>
    <xf numFmtId="0" fontId="2" fillId="7" borderId="0" xfId="0" applyFont="1" applyFill="1" applyProtection="1"/>
    <xf numFmtId="11" fontId="2" fillId="7" borderId="0" xfId="0" applyNumberFormat="1" applyFont="1" applyFill="1" applyAlignment="1" applyProtection="1">
      <alignment wrapText="1"/>
    </xf>
    <xf numFmtId="0" fontId="0" fillId="11" borderId="0" xfId="0" applyFill="1" applyProtection="1"/>
    <xf numFmtId="0" fontId="0" fillId="7" borderId="4" xfId="0" applyFill="1" applyBorder="1" applyProtection="1"/>
    <xf numFmtId="11" fontId="0" fillId="7" borderId="4" xfId="0" applyNumberFormat="1" applyFill="1" applyBorder="1" applyProtection="1"/>
    <xf numFmtId="0" fontId="0" fillId="7" borderId="5" xfId="0" applyFill="1" applyBorder="1" applyProtection="1"/>
    <xf numFmtId="11" fontId="0" fillId="7" borderId="5" xfId="0" applyNumberFormat="1" applyFill="1" applyBorder="1" applyProtection="1"/>
    <xf numFmtId="2" fontId="0" fillId="7" borderId="4" xfId="0" applyNumberFormat="1" applyFill="1" applyBorder="1" applyProtection="1"/>
    <xf numFmtId="2" fontId="0" fillId="7" borderId="0" xfId="0" applyNumberFormat="1" applyFill="1" applyProtection="1"/>
    <xf numFmtId="164" fontId="0" fillId="7" borderId="0" xfId="0" applyNumberFormat="1" applyFill="1" applyProtection="1"/>
    <xf numFmtId="0" fontId="0" fillId="7" borderId="0" xfId="0" applyFill="1" applyBorder="1" applyProtection="1"/>
    <xf numFmtId="11" fontId="0" fillId="7" borderId="0" xfId="0" applyNumberFormat="1" applyFill="1" applyBorder="1" applyProtection="1"/>
    <xf numFmtId="0" fontId="0" fillId="7" borderId="3" xfId="0" applyFill="1" applyBorder="1" applyProtection="1"/>
    <xf numFmtId="11" fontId="0" fillId="7" borderId="3" xfId="0" applyNumberFormat="1" applyFill="1" applyBorder="1" applyProtection="1"/>
    <xf numFmtId="0" fontId="0" fillId="7" borderId="11" xfId="0" applyFill="1" applyBorder="1" applyProtection="1"/>
    <xf numFmtId="0" fontId="0" fillId="7" borderId="10" xfId="0" applyFill="1" applyBorder="1" applyProtection="1"/>
    <xf numFmtId="11" fontId="0" fillId="7" borderId="10" xfId="0" applyNumberFormat="1" applyFill="1" applyBorder="1" applyProtection="1"/>
    <xf numFmtId="11" fontId="2" fillId="0" borderId="0" xfId="0" applyNumberFormat="1" applyFont="1" applyProtection="1"/>
    <xf numFmtId="0" fontId="2" fillId="0" borderId="0" xfId="0" applyFont="1" applyProtection="1"/>
    <xf numFmtId="0" fontId="2" fillId="11" borderId="3" xfId="0" applyFont="1" applyFill="1" applyBorder="1" applyProtection="1"/>
    <xf numFmtId="0" fontId="0" fillId="11" borderId="13" xfId="0" applyFill="1" applyBorder="1" applyProtection="1"/>
    <xf numFmtId="0" fontId="0" fillId="0" borderId="0" xfId="0" applyFill="1" applyProtection="1"/>
    <xf numFmtId="0" fontId="0" fillId="7" borderId="14" xfId="0" applyFill="1" applyBorder="1" applyProtection="1"/>
    <xf numFmtId="11" fontId="0" fillId="7" borderId="14" xfId="0" applyNumberFormat="1" applyFill="1" applyBorder="1" applyProtection="1"/>
    <xf numFmtId="11" fontId="0" fillId="0" borderId="0" xfId="0" applyNumberFormat="1" applyFont="1" applyProtection="1"/>
    <xf numFmtId="0" fontId="0" fillId="0" borderId="0" xfId="0" applyFont="1" applyProtection="1"/>
    <xf numFmtId="11" fontId="0" fillId="0" borderId="0" xfId="0" applyNumberFormat="1" applyProtection="1"/>
    <xf numFmtId="0" fontId="0" fillId="0" borderId="0" xfId="0" applyProtection="1"/>
    <xf numFmtId="0" fontId="0" fillId="7" borderId="13" xfId="0" applyFill="1" applyBorder="1" applyProtection="1"/>
    <xf numFmtId="165" fontId="2" fillId="0" borderId="0" xfId="0" applyNumberFormat="1" applyFont="1" applyProtection="1">
      <protection locked="0"/>
    </xf>
    <xf numFmtId="0" fontId="12" fillId="11" borderId="0" xfId="0" applyFont="1" applyFill="1" applyProtection="1">
      <protection locked="0"/>
    </xf>
    <xf numFmtId="0" fontId="0" fillId="0" borderId="0" xfId="0" applyAlignment="1" applyProtection="1">
      <alignment horizontal="center" vertical="center"/>
      <protection locked="0"/>
    </xf>
    <xf numFmtId="0" fontId="0" fillId="0" borderId="9" xfId="0" applyBorder="1" applyProtection="1">
      <protection locked="0"/>
    </xf>
    <xf numFmtId="0" fontId="0" fillId="14" borderId="9" xfId="0" applyFill="1" applyBorder="1" applyProtection="1">
      <protection locked="0"/>
    </xf>
    <xf numFmtId="0" fontId="8" fillId="11" borderId="0" xfId="3" applyFill="1" applyProtection="1">
      <protection locked="0"/>
    </xf>
    <xf numFmtId="0" fontId="8" fillId="11" borderId="0" xfId="4" applyFill="1" applyProtection="1">
      <protection locked="0"/>
    </xf>
    <xf numFmtId="0" fontId="8" fillId="5" borderId="0" xfId="4" applyProtection="1">
      <protection locked="0"/>
    </xf>
    <xf numFmtId="0" fontId="8" fillId="5" borderId="4" xfId="4" applyBorder="1" applyProtection="1">
      <protection locked="0"/>
    </xf>
    <xf numFmtId="11" fontId="8" fillId="5" borderId="4" xfId="4" applyNumberFormat="1" applyBorder="1" applyProtection="1">
      <protection locked="0"/>
    </xf>
    <xf numFmtId="11" fontId="8" fillId="5" borderId="0" xfId="4" applyNumberFormat="1" applyProtection="1">
      <protection locked="0"/>
    </xf>
    <xf numFmtId="0" fontId="8" fillId="4" borderId="9" xfId="3" applyBorder="1" applyProtection="1">
      <protection locked="0"/>
    </xf>
    <xf numFmtId="0" fontId="8" fillId="5" borderId="9" xfId="4" applyBorder="1" applyProtection="1">
      <protection locked="0"/>
    </xf>
    <xf numFmtId="11" fontId="0" fillId="11" borderId="0" xfId="0" applyNumberFormat="1" applyFill="1" applyProtection="1">
      <protection locked="0"/>
    </xf>
    <xf numFmtId="0" fontId="0" fillId="10" borderId="4" xfId="0" applyFill="1" applyBorder="1" applyProtection="1">
      <protection locked="0"/>
    </xf>
    <xf numFmtId="0" fontId="0" fillId="10" borderId="9" xfId="0" applyFill="1" applyBorder="1" applyProtection="1">
      <protection locked="0"/>
    </xf>
    <xf numFmtId="0" fontId="0" fillId="0" borderId="9" xfId="0" applyFill="1" applyBorder="1" applyProtection="1">
      <protection locked="0"/>
    </xf>
    <xf numFmtId="11" fontId="0" fillId="0" borderId="9" xfId="0" applyNumberFormat="1" applyBorder="1" applyProtection="1">
      <protection locked="0"/>
    </xf>
    <xf numFmtId="11" fontId="8" fillId="11" borderId="0" xfId="4" applyNumberFormat="1" applyFill="1" applyProtection="1">
      <protection locked="0"/>
    </xf>
    <xf numFmtId="11" fontId="8" fillId="0" borderId="4" xfId="4" applyNumberFormat="1" applyFill="1" applyBorder="1" applyProtection="1">
      <protection locked="0"/>
    </xf>
    <xf numFmtId="11" fontId="0" fillId="8" borderId="4" xfId="0" applyNumberFormat="1" applyFill="1" applyBorder="1" applyProtection="1">
      <protection locked="0"/>
    </xf>
    <xf numFmtId="11" fontId="8" fillId="0" borderId="0" xfId="4" applyNumberFormat="1" applyFill="1" applyProtection="1">
      <protection locked="0"/>
    </xf>
    <xf numFmtId="11" fontId="0" fillId="8" borderId="0" xfId="0" applyNumberFormat="1" applyFill="1" applyProtection="1">
      <protection locked="0"/>
    </xf>
    <xf numFmtId="0" fontId="0" fillId="10" borderId="9" xfId="0" applyNumberFormat="1" applyFill="1" applyBorder="1" applyProtection="1">
      <protection locked="0"/>
    </xf>
    <xf numFmtId="0" fontId="0" fillId="0" borderId="9" xfId="0" applyNumberFormat="1" applyFill="1" applyBorder="1" applyProtection="1">
      <protection locked="0"/>
    </xf>
    <xf numFmtId="11" fontId="8" fillId="5" borderId="9" xfId="4" applyNumberFormat="1" applyBorder="1" applyProtection="1">
      <protection locked="0"/>
    </xf>
    <xf numFmtId="11" fontId="0" fillId="10" borderId="9" xfId="0" applyNumberFormat="1" applyFill="1" applyBorder="1" applyProtection="1">
      <protection locked="0"/>
    </xf>
    <xf numFmtId="0" fontId="0" fillId="15" borderId="9" xfId="0" applyFill="1" applyBorder="1" applyProtection="1">
      <protection locked="0"/>
    </xf>
    <xf numFmtId="0" fontId="0" fillId="0" borderId="0" xfId="0" applyFont="1" applyAlignment="1" applyProtection="1">
      <alignment vertical="top" wrapText="1"/>
      <protection locked="0"/>
    </xf>
    <xf numFmtId="0" fontId="0" fillId="0" borderId="0" xfId="0" applyAlignment="1" applyProtection="1">
      <alignment vertical="center" wrapText="1"/>
      <protection locked="0"/>
    </xf>
    <xf numFmtId="0" fontId="3" fillId="0" borderId="0" xfId="0" applyFont="1" applyAlignment="1" applyProtection="1">
      <alignment vertical="top" wrapText="1"/>
      <protection locked="0"/>
    </xf>
    <xf numFmtId="0" fontId="1" fillId="0" borderId="0" xfId="0" applyFont="1" applyAlignment="1" applyProtection="1">
      <alignment vertical="center"/>
      <protection locked="0"/>
    </xf>
    <xf numFmtId="0" fontId="9" fillId="0" borderId="4" xfId="0" applyFont="1" applyBorder="1" applyProtection="1">
      <protection locked="0"/>
    </xf>
    <xf numFmtId="166" fontId="2" fillId="0" borderId="0" xfId="0" applyNumberFormat="1" applyFont="1" applyProtection="1">
      <protection locked="0"/>
    </xf>
    <xf numFmtId="165" fontId="0" fillId="10" borderId="0" xfId="0" applyNumberFormat="1" applyFill="1" applyProtection="1">
      <protection locked="0"/>
    </xf>
    <xf numFmtId="165" fontId="0" fillId="10" borderId="4" xfId="0" applyNumberFormat="1" applyFill="1" applyBorder="1" applyProtection="1">
      <protection locked="0"/>
    </xf>
    <xf numFmtId="165" fontId="0" fillId="0" borderId="4" xfId="0" applyNumberFormat="1" applyFill="1" applyBorder="1" applyProtection="1">
      <protection locked="0"/>
    </xf>
    <xf numFmtId="0" fontId="0" fillId="0" borderId="0" xfId="4" applyFont="1" applyFill="1" applyProtection="1">
      <protection locked="0"/>
    </xf>
    <xf numFmtId="0" fontId="0" fillId="0" borderId="4" xfId="4" applyFont="1" applyFill="1" applyBorder="1" applyProtection="1">
      <protection locked="0"/>
    </xf>
    <xf numFmtId="0" fontId="0" fillId="4" borderId="0" xfId="3" applyFont="1" applyProtection="1">
      <protection locked="0"/>
    </xf>
    <xf numFmtId="11" fontId="0" fillId="5" borderId="0" xfId="4" applyNumberFormat="1" applyFont="1" applyProtection="1">
      <protection locked="0"/>
    </xf>
    <xf numFmtId="0" fontId="0" fillId="4" borderId="4" xfId="3" applyFont="1" applyBorder="1" applyProtection="1">
      <protection locked="0"/>
    </xf>
    <xf numFmtId="11" fontId="0" fillId="5" borderId="4" xfId="4" applyNumberFormat="1" applyFont="1" applyBorder="1" applyProtection="1">
      <protection locked="0"/>
    </xf>
    <xf numFmtId="11" fontId="0" fillId="0" borderId="0" xfId="0" applyNumberFormat="1" applyFont="1" applyProtection="1">
      <protection locked="0"/>
    </xf>
    <xf numFmtId="0" fontId="0" fillId="4" borderId="5" xfId="3" applyFont="1" applyBorder="1" applyProtection="1">
      <protection locked="0"/>
    </xf>
    <xf numFmtId="0" fontId="0" fillId="0" borderId="5" xfId="0" applyFont="1" applyBorder="1" applyProtection="1">
      <protection locked="0"/>
    </xf>
    <xf numFmtId="0" fontId="0" fillId="2" borderId="7" xfId="1" applyFont="1" applyBorder="1" applyProtection="1">
      <protection locked="0"/>
    </xf>
    <xf numFmtId="11" fontId="0" fillId="5" borderId="5" xfId="4" applyNumberFormat="1" applyFont="1" applyBorder="1" applyProtection="1">
      <protection locked="0"/>
    </xf>
    <xf numFmtId="11" fontId="0" fillId="0" borderId="4" xfId="0" applyNumberFormat="1" applyFont="1" applyBorder="1" applyProtection="1">
      <protection locked="0"/>
    </xf>
    <xf numFmtId="2" fontId="0" fillId="0" borderId="5" xfId="0" applyNumberFormat="1" applyFont="1" applyBorder="1" applyProtection="1">
      <protection locked="0"/>
    </xf>
    <xf numFmtId="0" fontId="0" fillId="5" borderId="0" xfId="4" applyFont="1" applyProtection="1">
      <protection locked="0"/>
    </xf>
    <xf numFmtId="0" fontId="0" fillId="5" borderId="5" xfId="4" applyFont="1" applyBorder="1" applyProtection="1">
      <protection locked="0"/>
    </xf>
    <xf numFmtId="0" fontId="0" fillId="10" borderId="0" xfId="0" applyNumberFormat="1" applyFont="1" applyFill="1" applyProtection="1">
      <protection locked="0"/>
    </xf>
    <xf numFmtId="0" fontId="0" fillId="10" borderId="4" xfId="0" applyNumberFormat="1" applyFont="1" applyFill="1" applyBorder="1" applyProtection="1">
      <protection locked="0"/>
    </xf>
    <xf numFmtId="0" fontId="0" fillId="0" borderId="4" xfId="0" applyNumberFormat="1" applyFont="1" applyFill="1" applyBorder="1" applyProtection="1">
      <protection locked="0"/>
    </xf>
    <xf numFmtId="1" fontId="0" fillId="10" borderId="4" xfId="0" applyNumberFormat="1" applyFont="1" applyFill="1" applyBorder="1" applyProtection="1">
      <protection locked="0"/>
    </xf>
    <xf numFmtId="0" fontId="0" fillId="10" borderId="5" xfId="0" applyNumberFormat="1" applyFont="1" applyFill="1" applyBorder="1" applyProtection="1">
      <protection locked="0"/>
    </xf>
    <xf numFmtId="0" fontId="0" fillId="0" borderId="5" xfId="0" applyNumberFormat="1" applyFont="1" applyFill="1" applyBorder="1" applyProtection="1">
      <protection locked="0"/>
    </xf>
    <xf numFmtId="11" fontId="0" fillId="0" borderId="5" xfId="0" applyNumberFormat="1" applyFont="1" applyBorder="1" applyProtection="1">
      <protection locked="0"/>
    </xf>
    <xf numFmtId="1" fontId="0" fillId="10" borderId="5" xfId="0" applyNumberFormat="1" applyFont="1" applyFill="1" applyBorder="1" applyProtection="1">
      <protection locked="0"/>
    </xf>
    <xf numFmtId="11" fontId="0" fillId="10" borderId="4" xfId="0" applyNumberFormat="1" applyFont="1" applyFill="1" applyBorder="1" applyProtection="1">
      <protection locked="0"/>
    </xf>
    <xf numFmtId="11" fontId="0" fillId="0" borderId="4" xfId="0" applyNumberFormat="1" applyFont="1" applyFill="1" applyBorder="1" applyProtection="1">
      <protection locked="0"/>
    </xf>
    <xf numFmtId="11" fontId="0" fillId="10" borderId="0" xfId="0" applyNumberFormat="1" applyFont="1" applyFill="1" applyProtection="1">
      <protection locked="0"/>
    </xf>
    <xf numFmtId="11" fontId="0" fillId="0" borderId="0" xfId="0" applyNumberFormat="1" applyFont="1" applyFill="1" applyProtection="1">
      <protection locked="0"/>
    </xf>
    <xf numFmtId="11" fontId="0" fillId="10" borderId="5" xfId="0" applyNumberFormat="1" applyFont="1" applyFill="1" applyBorder="1" applyProtection="1">
      <protection locked="0"/>
    </xf>
    <xf numFmtId="11" fontId="0" fillId="0" borderId="5" xfId="0" applyNumberFormat="1" applyFont="1" applyFill="1" applyBorder="1" applyProtection="1">
      <protection locked="0"/>
    </xf>
    <xf numFmtId="0" fontId="0" fillId="10" borderId="0" xfId="0" applyFont="1" applyFill="1" applyProtection="1">
      <protection locked="0"/>
    </xf>
    <xf numFmtId="0" fontId="0" fillId="0" borderId="0" xfId="0" applyFont="1" applyFill="1" applyProtection="1">
      <protection locked="0"/>
    </xf>
    <xf numFmtId="2" fontId="0" fillId="10" borderId="5" xfId="0" applyNumberFormat="1" applyFont="1" applyFill="1" applyBorder="1" applyProtection="1">
      <protection locked="0"/>
    </xf>
    <xf numFmtId="0" fontId="0" fillId="10" borderId="5" xfId="0" applyFont="1" applyFill="1" applyBorder="1" applyProtection="1">
      <protection locked="0"/>
    </xf>
    <xf numFmtId="0" fontId="0" fillId="0" borderId="5" xfId="0" applyFont="1" applyFill="1" applyBorder="1" applyProtection="1">
      <protection locked="0"/>
    </xf>
    <xf numFmtId="2" fontId="0" fillId="10" borderId="4" xfId="0" applyNumberFormat="1" applyFont="1" applyFill="1" applyBorder="1" applyProtection="1">
      <protection locked="0"/>
    </xf>
    <xf numFmtId="0" fontId="0" fillId="5" borderId="4" xfId="4" applyFont="1" applyBorder="1" applyProtection="1">
      <protection locked="0"/>
    </xf>
    <xf numFmtId="2" fontId="0" fillId="10" borderId="0" xfId="0" applyNumberFormat="1" applyFont="1" applyFill="1" applyProtection="1">
      <protection locked="0"/>
    </xf>
    <xf numFmtId="0" fontId="0" fillId="14" borderId="0" xfId="0" applyFont="1" applyFill="1" applyProtection="1">
      <protection locked="0"/>
    </xf>
    <xf numFmtId="0" fontId="0" fillId="15" borderId="4" xfId="0" applyFont="1" applyFill="1" applyBorder="1" applyProtection="1">
      <protection locked="0"/>
    </xf>
    <xf numFmtId="0" fontId="0" fillId="14" borderId="4" xfId="0" applyFont="1" applyFill="1" applyBorder="1" applyProtection="1">
      <protection locked="0"/>
    </xf>
    <xf numFmtId="0" fontId="0" fillId="15" borderId="5" xfId="0" applyFont="1" applyFill="1" applyBorder="1" applyProtection="1">
      <protection locked="0"/>
    </xf>
    <xf numFmtId="0" fontId="0" fillId="14" borderId="5" xfId="0" applyFont="1" applyFill="1" applyBorder="1" applyProtection="1">
      <protection locked="0"/>
    </xf>
    <xf numFmtId="0" fontId="2" fillId="15" borderId="0" xfId="0" applyFont="1" applyFill="1" applyProtection="1">
      <protection locked="0"/>
    </xf>
    <xf numFmtId="0" fontId="0" fillId="0" borderId="0" xfId="0" applyAlignment="1" applyProtection="1">
      <protection locked="0"/>
    </xf>
    <xf numFmtId="0" fontId="0" fillId="12" borderId="0" xfId="0" applyFill="1" applyProtection="1">
      <protection locked="0"/>
    </xf>
    <xf numFmtId="0" fontId="0" fillId="12" borderId="11" xfId="0" applyFill="1" applyBorder="1" applyProtection="1">
      <protection locked="0"/>
    </xf>
    <xf numFmtId="0" fontId="0" fillId="12" borderId="10" xfId="0" applyFill="1" applyBorder="1" applyProtection="1">
      <protection locked="0"/>
    </xf>
    <xf numFmtId="2" fontId="0" fillId="0" borderId="11" xfId="0" applyNumberFormat="1" applyBorder="1" applyProtection="1">
      <protection locked="0"/>
    </xf>
    <xf numFmtId="2" fontId="0" fillId="0" borderId="10" xfId="0" applyNumberFormat="1" applyBorder="1" applyProtection="1">
      <protection locked="0"/>
    </xf>
    <xf numFmtId="0" fontId="0" fillId="8" borderId="10" xfId="0" applyFill="1" applyBorder="1" applyProtection="1">
      <protection locked="0"/>
    </xf>
    <xf numFmtId="11" fontId="0" fillId="8" borderId="0" xfId="0" applyNumberFormat="1" applyFill="1" applyBorder="1" applyProtection="1">
      <protection locked="0"/>
    </xf>
    <xf numFmtId="11" fontId="0" fillId="8" borderId="11" xfId="0" applyNumberFormat="1" applyFill="1" applyBorder="1" applyProtection="1">
      <protection locked="0"/>
    </xf>
    <xf numFmtId="11" fontId="0" fillId="8" borderId="10" xfId="0" applyNumberFormat="1" applyFill="1" applyBorder="1" applyProtection="1">
      <protection locked="0"/>
    </xf>
    <xf numFmtId="11" fontId="0" fillId="0" borderId="11" xfId="0" applyNumberFormat="1" applyBorder="1" applyProtection="1">
      <protection locked="0"/>
    </xf>
    <xf numFmtId="0" fontId="0" fillId="11" borderId="10" xfId="0" applyFill="1" applyBorder="1" applyProtection="1">
      <protection locked="0"/>
    </xf>
    <xf numFmtId="11" fontId="0" fillId="11" borderId="11" xfId="0" applyNumberFormat="1" applyFill="1" applyBorder="1" applyProtection="1">
      <protection locked="0"/>
    </xf>
    <xf numFmtId="168" fontId="0" fillId="11" borderId="0" xfId="0" applyNumberFormat="1" applyFill="1" applyProtection="1">
      <protection locked="0"/>
    </xf>
    <xf numFmtId="11" fontId="0" fillId="11" borderId="10" xfId="0" applyNumberFormat="1" applyFill="1" applyBorder="1" applyProtection="1">
      <protection locked="0"/>
    </xf>
    <xf numFmtId="165" fontId="0" fillId="0" borderId="0" xfId="0" applyNumberFormat="1" applyProtection="1">
      <protection locked="0"/>
    </xf>
    <xf numFmtId="168" fontId="0" fillId="0" borderId="0" xfId="0" applyNumberFormat="1" applyProtection="1">
      <protection locked="0"/>
    </xf>
    <xf numFmtId="166" fontId="2" fillId="0" borderId="0" xfId="0" applyNumberFormat="1" applyFont="1" applyFill="1" applyProtection="1">
      <protection locked="0"/>
    </xf>
    <xf numFmtId="164" fontId="2" fillId="0" borderId="0" xfId="0" applyNumberFormat="1" applyFont="1" applyFill="1" applyProtection="1">
      <protection locked="0"/>
    </xf>
    <xf numFmtId="11" fontId="2" fillId="0" borderId="0" xfId="0" applyNumberFormat="1" applyFont="1" applyFill="1" applyProtection="1">
      <protection locked="0"/>
    </xf>
    <xf numFmtId="0" fontId="2" fillId="0" borderId="0" xfId="0" applyNumberFormat="1" applyFont="1" applyAlignment="1" applyProtection="1">
      <alignment horizontal="right"/>
      <protection locked="0"/>
    </xf>
    <xf numFmtId="0" fontId="8" fillId="0" borderId="11" xfId="3" applyFill="1" applyBorder="1" applyProtection="1">
      <protection locked="0"/>
    </xf>
    <xf numFmtId="0" fontId="8" fillId="0" borderId="10" xfId="3" applyFill="1" applyBorder="1" applyProtection="1">
      <protection locked="0"/>
    </xf>
    <xf numFmtId="2" fontId="0" fillId="11" borderId="0" xfId="0" applyNumberFormat="1" applyFont="1" applyFill="1" applyProtection="1">
      <protection locked="0"/>
    </xf>
    <xf numFmtId="0" fontId="0" fillId="8" borderId="0" xfId="0" applyFont="1" applyFill="1" applyProtection="1">
      <protection locked="0"/>
    </xf>
    <xf numFmtId="11" fontId="0" fillId="11" borderId="4" xfId="0" applyNumberFormat="1" applyFill="1" applyBorder="1" applyProtection="1">
      <protection locked="0"/>
    </xf>
    <xf numFmtId="11" fontId="0" fillId="0" borderId="11" xfId="0" applyNumberFormat="1" applyFill="1" applyBorder="1" applyProtection="1">
      <protection locked="0"/>
    </xf>
    <xf numFmtId="11" fontId="0" fillId="11" borderId="0" xfId="0" applyNumberFormat="1" applyFill="1" applyBorder="1" applyProtection="1">
      <protection locked="0"/>
    </xf>
    <xf numFmtId="0" fontId="0" fillId="0" borderId="0" xfId="0" applyFont="1" applyAlignment="1" applyProtection="1">
      <alignment horizontal="center" vertical="center"/>
      <protection locked="0"/>
    </xf>
    <xf numFmtId="0" fontId="0" fillId="0" borderId="0" xfId="0" applyFont="1" applyAlignment="1" applyProtection="1">
      <protection locked="0"/>
    </xf>
    <xf numFmtId="0" fontId="0" fillId="0" borderId="0" xfId="0" applyFont="1" applyAlignment="1" applyProtection="1">
      <alignment horizontal="center"/>
      <protection locked="0"/>
    </xf>
    <xf numFmtId="0" fontId="0" fillId="0" borderId="0" xfId="0" applyFont="1" applyAlignment="1" applyProtection="1">
      <alignment wrapText="1"/>
      <protection locked="0"/>
    </xf>
    <xf numFmtId="0" fontId="0" fillId="0" borderId="11" xfId="0" applyFont="1" applyBorder="1" applyAlignment="1" applyProtection="1">
      <alignment horizontal="center" vertical="center"/>
      <protection locked="0"/>
    </xf>
    <xf numFmtId="0" fontId="0" fillId="0" borderId="11" xfId="0" applyFont="1" applyBorder="1" applyAlignment="1" applyProtection="1">
      <alignment vertical="center"/>
      <protection locked="0"/>
    </xf>
    <xf numFmtId="0" fontId="0" fillId="0" borderId="11" xfId="0" applyFont="1" applyBorder="1" applyProtection="1">
      <protection locked="0"/>
    </xf>
    <xf numFmtId="0" fontId="0" fillId="14" borderId="11" xfId="0" applyFont="1" applyFill="1" applyBorder="1" applyProtection="1">
      <protection locked="0"/>
    </xf>
    <xf numFmtId="0" fontId="0" fillId="0" borderId="11" xfId="0" applyFont="1" applyBorder="1" applyAlignment="1" applyProtection="1">
      <alignment wrapText="1"/>
      <protection locked="0"/>
    </xf>
    <xf numFmtId="0" fontId="0" fillId="0" borderId="11" xfId="0" applyFont="1" applyBorder="1" applyAlignment="1" applyProtection="1">
      <alignment horizontal="center"/>
      <protection locked="0"/>
    </xf>
    <xf numFmtId="0" fontId="0" fillId="0" borderId="0" xfId="0" applyFont="1" applyBorder="1" applyAlignment="1" applyProtection="1">
      <alignment horizontal="center" vertical="center"/>
      <protection locked="0"/>
    </xf>
    <xf numFmtId="0" fontId="0" fillId="0" borderId="0" xfId="0" applyFont="1" applyBorder="1" applyAlignment="1" applyProtection="1">
      <alignment vertical="center"/>
      <protection locked="0"/>
    </xf>
    <xf numFmtId="0" fontId="0" fillId="0" borderId="0" xfId="0" applyFont="1" applyBorder="1" applyProtection="1">
      <protection locked="0"/>
    </xf>
    <xf numFmtId="0" fontId="0" fillId="14" borderId="0" xfId="0" applyFont="1" applyFill="1" applyBorder="1" applyProtection="1">
      <protection locked="0"/>
    </xf>
    <xf numFmtId="0" fontId="0" fillId="0" borderId="0" xfId="0" applyFont="1" applyBorder="1" applyAlignment="1" applyProtection="1">
      <protection locked="0"/>
    </xf>
    <xf numFmtId="0" fontId="0" fillId="0" borderId="0" xfId="0" applyFont="1" applyBorder="1" applyAlignment="1" applyProtection="1">
      <alignment horizontal="center"/>
      <protection locked="0"/>
    </xf>
    <xf numFmtId="0" fontId="0" fillId="2" borderId="12" xfId="1" applyFont="1" applyBorder="1" applyProtection="1">
      <protection locked="0"/>
    </xf>
    <xf numFmtId="0" fontId="0" fillId="2" borderId="8" xfId="1" applyFont="1" applyBorder="1" applyProtection="1">
      <protection locked="0"/>
    </xf>
    <xf numFmtId="0" fontId="0" fillId="0" borderId="4" xfId="0" applyFont="1" applyBorder="1" applyAlignment="1" applyProtection="1">
      <alignment horizontal="center" vertical="center"/>
      <protection locked="0"/>
    </xf>
    <xf numFmtId="0" fontId="0" fillId="0" borderId="4" xfId="0" applyFont="1" applyBorder="1" applyAlignment="1" applyProtection="1">
      <alignment vertical="center"/>
      <protection locked="0"/>
    </xf>
    <xf numFmtId="0" fontId="0" fillId="0" borderId="4" xfId="0" applyFont="1" applyBorder="1" applyAlignment="1" applyProtection="1">
      <protection locked="0"/>
    </xf>
    <xf numFmtId="0" fontId="0" fillId="14" borderId="4" xfId="0" applyFont="1" applyFill="1" applyBorder="1" applyAlignment="1" applyProtection="1">
      <protection locked="0"/>
    </xf>
    <xf numFmtId="0" fontId="0" fillId="0" borderId="4" xfId="0" applyFont="1" applyBorder="1" applyAlignment="1" applyProtection="1">
      <alignment horizontal="center"/>
      <protection locked="0"/>
    </xf>
    <xf numFmtId="0" fontId="0" fillId="14" borderId="0" xfId="0" applyFont="1" applyFill="1" applyAlignment="1" applyProtection="1">
      <alignment wrapText="1"/>
      <protection locked="0"/>
    </xf>
    <xf numFmtId="0" fontId="0" fillId="2" borderId="6" xfId="1" applyFont="1" applyBorder="1" applyProtection="1">
      <protection locked="0"/>
    </xf>
    <xf numFmtId="0" fontId="0" fillId="2" borderId="6" xfId="1" applyFont="1" applyBorder="1" applyAlignment="1" applyProtection="1">
      <alignment horizontal="center"/>
      <protection locked="0"/>
    </xf>
    <xf numFmtId="0" fontId="0" fillId="2" borderId="1" xfId="1" applyFont="1" applyProtection="1">
      <protection locked="0"/>
    </xf>
    <xf numFmtId="0" fontId="0" fillId="2" borderId="1" xfId="1" applyFont="1" applyAlignment="1" applyProtection="1">
      <alignment horizontal="center"/>
      <protection locked="0"/>
    </xf>
    <xf numFmtId="0" fontId="0" fillId="0" borderId="4" xfId="0" applyBorder="1" applyAlignment="1" applyProtection="1">
      <alignment horizontal="center" vertical="center"/>
      <protection locked="0"/>
    </xf>
    <xf numFmtId="0" fontId="6" fillId="0" borderId="4" xfId="0" applyFont="1" applyBorder="1" applyAlignment="1" applyProtection="1">
      <alignment wrapText="1"/>
      <protection locked="0"/>
    </xf>
    <xf numFmtId="0" fontId="2" fillId="14" borderId="0" xfId="0" applyFont="1" applyFill="1" applyProtection="1">
      <protection locked="0"/>
    </xf>
    <xf numFmtId="0" fontId="0" fillId="4" borderId="0" xfId="3" applyFont="1" applyAlignment="1" applyProtection="1">
      <alignment horizontal="center"/>
      <protection locked="0"/>
    </xf>
    <xf numFmtId="0" fontId="0" fillId="4" borderId="11" xfId="3" applyFont="1" applyBorder="1" applyAlignment="1" applyProtection="1">
      <alignment horizontal="center"/>
      <protection locked="0"/>
    </xf>
    <xf numFmtId="0" fontId="0" fillId="5" borderId="11" xfId="4" applyFont="1" applyBorder="1" applyProtection="1">
      <protection locked="0"/>
    </xf>
    <xf numFmtId="0" fontId="0" fillId="8" borderId="11" xfId="0" applyFont="1" applyFill="1" applyBorder="1" applyProtection="1">
      <protection locked="0"/>
    </xf>
    <xf numFmtId="0" fontId="0" fillId="4" borderId="0" xfId="3" applyFont="1" applyBorder="1" applyAlignment="1" applyProtection="1">
      <alignment horizontal="center"/>
      <protection locked="0"/>
    </xf>
    <xf numFmtId="11" fontId="0" fillId="5" borderId="0" xfId="4" applyNumberFormat="1" applyFont="1" applyBorder="1" applyProtection="1">
      <protection locked="0"/>
    </xf>
    <xf numFmtId="11" fontId="0" fillId="8" borderId="0" xfId="0" applyNumberFormat="1" applyFont="1" applyFill="1" applyBorder="1" applyProtection="1">
      <protection locked="0"/>
    </xf>
    <xf numFmtId="11" fontId="0" fillId="8" borderId="0" xfId="0" applyNumberFormat="1" applyFont="1" applyFill="1" applyProtection="1">
      <protection locked="0"/>
    </xf>
    <xf numFmtId="11" fontId="0" fillId="8" borderId="11" xfId="0" applyNumberFormat="1" applyFont="1" applyFill="1" applyBorder="1" applyProtection="1">
      <protection locked="0"/>
    </xf>
    <xf numFmtId="0" fontId="0" fillId="4" borderId="4" xfId="3" applyFont="1" applyBorder="1" applyAlignment="1" applyProtection="1">
      <alignment horizontal="center"/>
      <protection locked="0"/>
    </xf>
    <xf numFmtId="11" fontId="0" fillId="8" borderId="4" xfId="0" applyNumberFormat="1" applyFont="1" applyFill="1" applyBorder="1" applyProtection="1">
      <protection locked="0"/>
    </xf>
    <xf numFmtId="0" fontId="0" fillId="0" borderId="4" xfId="0" quotePrefix="1" applyFont="1" applyBorder="1" applyAlignment="1" applyProtection="1">
      <alignment horizontal="center"/>
      <protection locked="0"/>
    </xf>
    <xf numFmtId="0" fontId="0" fillId="0" borderId="0" xfId="0" quotePrefix="1" applyFont="1" applyAlignment="1" applyProtection="1">
      <alignment horizontal="center"/>
      <protection locked="0"/>
    </xf>
    <xf numFmtId="0" fontId="0" fillId="0" borderId="4" xfId="3" applyFont="1" applyFill="1" applyBorder="1" applyAlignment="1" applyProtection="1">
      <alignment horizontal="center"/>
      <protection locked="0"/>
    </xf>
    <xf numFmtId="11" fontId="0" fillId="0" borderId="4" xfId="0" applyNumberFormat="1" applyFont="1" applyBorder="1" applyAlignment="1" applyProtection="1">
      <alignment horizontal="center"/>
      <protection locked="0"/>
    </xf>
    <xf numFmtId="0" fontId="0" fillId="0" borderId="0" xfId="3" applyFont="1" applyFill="1" applyAlignment="1" applyProtection="1">
      <alignment horizontal="center"/>
      <protection locked="0"/>
    </xf>
    <xf numFmtId="11" fontId="0" fillId="0" borderId="0" xfId="0" applyNumberFormat="1" applyFont="1" applyAlignment="1" applyProtection="1">
      <alignment horizontal="center"/>
      <protection locked="0"/>
    </xf>
    <xf numFmtId="0" fontId="0" fillId="8" borderId="4" xfId="0" applyFont="1" applyFill="1" applyBorder="1" applyProtection="1">
      <protection locked="0"/>
    </xf>
    <xf numFmtId="0" fontId="8" fillId="4" borderId="11" xfId="3" applyBorder="1" applyProtection="1">
      <protection locked="0"/>
    </xf>
    <xf numFmtId="11" fontId="8" fillId="5" borderId="11" xfId="4" applyNumberFormat="1" applyBorder="1" applyProtection="1">
      <protection locked="0"/>
    </xf>
    <xf numFmtId="2" fontId="0" fillId="11" borderId="11" xfId="0" applyNumberFormat="1" applyFont="1" applyFill="1" applyBorder="1" applyProtection="1">
      <protection locked="0"/>
    </xf>
    <xf numFmtId="2" fontId="0" fillId="0" borderId="11" xfId="0" applyNumberFormat="1" applyFont="1" applyFill="1" applyBorder="1" applyProtection="1">
      <protection locked="0"/>
    </xf>
    <xf numFmtId="0" fontId="0" fillId="11" borderId="0" xfId="0" applyNumberFormat="1" applyFont="1" applyFill="1" applyBorder="1" applyProtection="1">
      <protection locked="0"/>
    </xf>
    <xf numFmtId="2" fontId="0" fillId="0" borderId="0" xfId="0" applyNumberFormat="1" applyFont="1" applyFill="1" applyBorder="1" applyProtection="1">
      <protection locked="0"/>
    </xf>
    <xf numFmtId="0" fontId="0" fillId="8" borderId="0" xfId="0" applyFont="1" applyFill="1" applyBorder="1" applyProtection="1">
      <protection locked="0"/>
    </xf>
    <xf numFmtId="2" fontId="0" fillId="11" borderId="0" xfId="0" applyNumberFormat="1" applyFont="1" applyFill="1" applyBorder="1" applyProtection="1">
      <protection locked="0"/>
    </xf>
    <xf numFmtId="0" fontId="0" fillId="2" borderId="12" xfId="1" applyFont="1" applyBorder="1" applyAlignment="1" applyProtection="1">
      <alignment horizontal="center"/>
      <protection locked="0"/>
    </xf>
    <xf numFmtId="0" fontId="0" fillId="2" borderId="8" xfId="1" applyFont="1" applyBorder="1" applyAlignment="1" applyProtection="1">
      <alignment horizontal="center"/>
      <protection locked="0"/>
    </xf>
    <xf numFmtId="2" fontId="0" fillId="11" borderId="4" xfId="0" applyNumberFormat="1" applyFont="1" applyFill="1" applyBorder="1" applyProtection="1">
      <protection locked="0"/>
    </xf>
    <xf numFmtId="2" fontId="0" fillId="0" borderId="4" xfId="0" applyNumberFormat="1" applyFont="1" applyFill="1" applyBorder="1" applyProtection="1">
      <protection locked="0"/>
    </xf>
    <xf numFmtId="0" fontId="10" fillId="0" borderId="4" xfId="0" applyFont="1" applyBorder="1" applyAlignment="1" applyProtection="1">
      <alignment horizontal="center"/>
      <protection locked="0"/>
    </xf>
    <xf numFmtId="2" fontId="0" fillId="11" borderId="4" xfId="0" applyNumberFormat="1" applyFill="1" applyBorder="1" applyProtection="1">
      <protection locked="0"/>
    </xf>
    <xf numFmtId="2" fontId="0" fillId="11" borderId="11" xfId="0" applyNumberFormat="1" applyFill="1" applyBorder="1" applyProtection="1">
      <protection locked="0"/>
    </xf>
    <xf numFmtId="2" fontId="0" fillId="11" borderId="0" xfId="0" applyNumberFormat="1" applyFill="1" applyProtection="1">
      <protection locked="0"/>
    </xf>
    <xf numFmtId="0" fontId="0" fillId="11" borderId="0" xfId="0" applyNumberFormat="1" applyFont="1" applyFill="1" applyProtection="1">
      <protection locked="0"/>
    </xf>
    <xf numFmtId="0" fontId="0" fillId="11" borderId="11" xfId="0" applyNumberFormat="1" applyFont="1" applyFill="1" applyBorder="1" applyProtection="1">
      <protection locked="0"/>
    </xf>
    <xf numFmtId="0" fontId="0" fillId="0" borderId="11" xfId="0" applyNumberFormat="1" applyFont="1" applyFill="1" applyBorder="1" applyProtection="1">
      <protection locked="0"/>
    </xf>
    <xf numFmtId="11" fontId="0" fillId="0" borderId="11" xfId="0" applyNumberFormat="1" applyFont="1" applyBorder="1" applyAlignment="1" applyProtection="1">
      <alignment horizontal="center"/>
      <protection locked="0"/>
    </xf>
    <xf numFmtId="0" fontId="0" fillId="0" borderId="0" xfId="0" applyNumberFormat="1" applyFont="1" applyFill="1" applyBorder="1" applyProtection="1">
      <protection locked="0"/>
    </xf>
    <xf numFmtId="11" fontId="1" fillId="8" borderId="0" xfId="0" applyNumberFormat="1" applyFont="1" applyFill="1" applyBorder="1" applyProtection="1">
      <protection locked="0"/>
    </xf>
    <xf numFmtId="11" fontId="1" fillId="8" borderId="0" xfId="0" applyNumberFormat="1" applyFont="1" applyFill="1" applyProtection="1">
      <protection locked="0"/>
    </xf>
    <xf numFmtId="0" fontId="0" fillId="11" borderId="4" xfId="0" applyNumberFormat="1" applyFont="1" applyFill="1" applyBorder="1" applyProtection="1">
      <protection locked="0"/>
    </xf>
    <xf numFmtId="1" fontId="0" fillId="11" borderId="4" xfId="0" applyNumberFormat="1" applyFont="1" applyFill="1" applyBorder="1" applyProtection="1">
      <protection locked="0"/>
    </xf>
    <xf numFmtId="0" fontId="0" fillId="0" borderId="0" xfId="0" applyFont="1" applyFill="1" applyBorder="1" applyAlignment="1" applyProtection="1">
      <alignment horizontal="left"/>
      <protection locked="0"/>
    </xf>
    <xf numFmtId="0" fontId="0" fillId="11" borderId="4" xfId="0" applyNumberFormat="1" applyFill="1" applyBorder="1" applyProtection="1">
      <protection locked="0"/>
    </xf>
    <xf numFmtId="0" fontId="0" fillId="11" borderId="11" xfId="0" applyNumberFormat="1" applyFill="1" applyBorder="1" applyProtection="1">
      <protection locked="0"/>
    </xf>
    <xf numFmtId="0" fontId="2" fillId="0" borderId="0" xfId="0" applyNumberFormat="1" applyFont="1" applyFill="1" applyProtection="1">
      <protection locked="0"/>
    </xf>
    <xf numFmtId="0" fontId="0" fillId="15" borderId="0" xfId="0" applyFont="1" applyFill="1" applyAlignment="1" applyProtection="1">
      <alignment horizontal="left"/>
      <protection locked="0"/>
    </xf>
    <xf numFmtId="0" fontId="0" fillId="15" borderId="11" xfId="0" applyFont="1" applyFill="1" applyBorder="1" applyAlignment="1" applyProtection="1">
      <alignment horizontal="left"/>
      <protection locked="0"/>
    </xf>
    <xf numFmtId="0" fontId="0" fillId="15" borderId="11" xfId="0" applyFont="1" applyFill="1" applyBorder="1" applyProtection="1">
      <protection locked="0"/>
    </xf>
    <xf numFmtId="0" fontId="0" fillId="15" borderId="0" xfId="0" applyFont="1" applyFill="1" applyBorder="1" applyAlignment="1" applyProtection="1">
      <alignment horizontal="left"/>
      <protection locked="0"/>
    </xf>
    <xf numFmtId="0" fontId="0" fillId="15" borderId="0" xfId="0" applyFont="1" applyFill="1" applyBorder="1" applyProtection="1">
      <protection locked="0"/>
    </xf>
    <xf numFmtId="0" fontId="0" fillId="15" borderId="0" xfId="0" applyFont="1" applyFill="1" applyAlignment="1" applyProtection="1">
      <alignment horizontal="center" wrapText="1"/>
      <protection locked="0"/>
    </xf>
    <xf numFmtId="0" fontId="0" fillId="15" borderId="11" xfId="0" applyFont="1" applyFill="1" applyBorder="1" applyAlignment="1" applyProtection="1">
      <alignment horizontal="center" wrapText="1"/>
      <protection locked="0"/>
    </xf>
    <xf numFmtId="0" fontId="0" fillId="15" borderId="4" xfId="0" applyFont="1" applyFill="1" applyBorder="1" applyAlignment="1" applyProtection="1">
      <alignment horizontal="left"/>
      <protection locked="0"/>
    </xf>
    <xf numFmtId="165" fontId="0" fillId="11" borderId="4" xfId="0" applyNumberFormat="1" applyFont="1" applyFill="1" applyBorder="1" applyProtection="1">
      <protection locked="0"/>
    </xf>
    <xf numFmtId="0" fontId="0" fillId="15" borderId="4" xfId="0" applyNumberFormat="1" applyFill="1" applyBorder="1" applyProtection="1">
      <protection locked="0"/>
    </xf>
    <xf numFmtId="0" fontId="0" fillId="15" borderId="11" xfId="0" applyNumberFormat="1" applyFill="1" applyBorder="1" applyProtection="1">
      <protection locked="0"/>
    </xf>
    <xf numFmtId="0" fontId="0" fillId="15" borderId="0" xfId="0" applyNumberFormat="1" applyFill="1" applyProtection="1">
      <protection locked="0"/>
    </xf>
    <xf numFmtId="0" fontId="0" fillId="14" borderId="0" xfId="0" applyFill="1" applyAlignment="1" applyProtection="1">
      <alignment vertical="center"/>
      <protection locked="0"/>
    </xf>
    <xf numFmtId="0" fontId="10" fillId="0" borderId="0" xfId="0" applyFont="1" applyAlignment="1" applyProtection="1">
      <alignment vertical="center" wrapText="1"/>
      <protection locked="0"/>
    </xf>
    <xf numFmtId="0" fontId="3" fillId="0" borderId="0" xfId="0" applyFont="1" applyAlignment="1" applyProtection="1">
      <alignment vertical="center"/>
      <protection locked="0"/>
    </xf>
    <xf numFmtId="0" fontId="3" fillId="14" borderId="0" xfId="0" applyFont="1" applyFill="1" applyAlignment="1" applyProtection="1">
      <alignment vertical="center"/>
      <protection locked="0"/>
    </xf>
    <xf numFmtId="0" fontId="3" fillId="0" borderId="0" xfId="0" applyFont="1" applyAlignment="1" applyProtection="1">
      <alignment wrapText="1"/>
      <protection locked="0"/>
    </xf>
    <xf numFmtId="0" fontId="4" fillId="0" borderId="0" xfId="0" applyFont="1" applyAlignment="1" applyProtection="1">
      <alignment vertical="center" wrapText="1"/>
      <protection locked="0"/>
    </xf>
    <xf numFmtId="0" fontId="4" fillId="0" borderId="4" xfId="0" applyFont="1" applyBorder="1" applyAlignment="1" applyProtection="1">
      <alignment vertical="center" wrapText="1"/>
      <protection locked="0"/>
    </xf>
    <xf numFmtId="0" fontId="0" fillId="0" borderId="5" xfId="0" applyBorder="1" applyAlignment="1" applyProtection="1">
      <alignment horizontal="center" vertical="center"/>
      <protection locked="0"/>
    </xf>
    <xf numFmtId="0" fontId="0" fillId="0" borderId="5" xfId="0" applyBorder="1" applyAlignment="1" applyProtection="1">
      <alignment vertical="center"/>
      <protection locked="0"/>
    </xf>
    <xf numFmtId="0" fontId="0" fillId="0" borderId="5" xfId="0" applyFont="1" applyBorder="1" applyAlignment="1" applyProtection="1">
      <alignment vertical="center"/>
      <protection locked="0"/>
    </xf>
    <xf numFmtId="0" fontId="0" fillId="0" borderId="5" xfId="0" applyFont="1" applyBorder="1" applyAlignment="1" applyProtection="1">
      <alignment wrapText="1"/>
      <protection locked="0"/>
    </xf>
    <xf numFmtId="0" fontId="10" fillId="0" borderId="5" xfId="0" applyFont="1" applyBorder="1" applyAlignment="1" applyProtection="1">
      <alignment vertical="center"/>
      <protection locked="0"/>
    </xf>
    <xf numFmtId="0" fontId="10" fillId="0" borderId="4" xfId="0" applyFont="1" applyBorder="1" applyAlignment="1" applyProtection="1">
      <alignment vertical="center"/>
      <protection locked="0"/>
    </xf>
    <xf numFmtId="0" fontId="10" fillId="0" borderId="0" xfId="0" applyFont="1" applyAlignment="1" applyProtection="1">
      <alignment vertical="center"/>
      <protection locked="0"/>
    </xf>
    <xf numFmtId="0" fontId="10" fillId="0" borderId="0" xfId="0" applyFont="1" applyBorder="1" applyAlignment="1" applyProtection="1">
      <alignment vertical="center"/>
      <protection locked="0"/>
    </xf>
    <xf numFmtId="0" fontId="8" fillId="0" borderId="5" xfId="3" applyFill="1" applyBorder="1" applyProtection="1">
      <protection locked="0"/>
    </xf>
    <xf numFmtId="0" fontId="0" fillId="10" borderId="5" xfId="0" applyFill="1" applyBorder="1" applyProtection="1">
      <protection locked="0"/>
    </xf>
    <xf numFmtId="11" fontId="0" fillId="8" borderId="5" xfId="0" applyNumberFormat="1" applyFill="1" applyBorder="1" applyProtection="1">
      <protection locked="0"/>
    </xf>
    <xf numFmtId="0" fontId="2" fillId="10" borderId="0" xfId="0" applyFont="1" applyFill="1" applyProtection="1">
      <protection locked="0"/>
    </xf>
    <xf numFmtId="11" fontId="2" fillId="0" borderId="0" xfId="0" applyNumberFormat="1" applyFont="1" applyFill="1" applyBorder="1" applyProtection="1">
      <protection locked="0"/>
    </xf>
    <xf numFmtId="164" fontId="0" fillId="11" borderId="4" xfId="0" applyNumberFormat="1" applyFill="1" applyBorder="1" applyProtection="1">
      <protection locked="0"/>
    </xf>
    <xf numFmtId="166" fontId="0" fillId="11" borderId="4" xfId="0" applyNumberFormat="1" applyFill="1" applyBorder="1" applyProtection="1">
      <protection locked="0"/>
    </xf>
    <xf numFmtId="166" fontId="0" fillId="0" borderId="4" xfId="0" applyNumberFormat="1" applyFill="1" applyBorder="1" applyProtection="1">
      <protection locked="0"/>
    </xf>
    <xf numFmtId="164" fontId="0" fillId="11" borderId="5" xfId="0" applyNumberFormat="1" applyFill="1" applyBorder="1" applyProtection="1">
      <protection locked="0"/>
    </xf>
    <xf numFmtId="166" fontId="0" fillId="11" borderId="5" xfId="0" applyNumberFormat="1" applyFill="1" applyBorder="1" applyProtection="1">
      <protection locked="0"/>
    </xf>
    <xf numFmtId="166" fontId="0" fillId="0" borderId="5" xfId="0" applyNumberFormat="1" applyFill="1" applyBorder="1" applyProtection="1">
      <protection locked="0"/>
    </xf>
    <xf numFmtId="0" fontId="0" fillId="8" borderId="5" xfId="0" applyFill="1" applyBorder="1" applyProtection="1">
      <protection locked="0"/>
    </xf>
    <xf numFmtId="0" fontId="0" fillId="8" borderId="4" xfId="0" applyFill="1" applyBorder="1" applyProtection="1">
      <protection locked="0"/>
    </xf>
    <xf numFmtId="164" fontId="0" fillId="0" borderId="4" xfId="0" applyNumberFormat="1" applyFill="1" applyBorder="1" applyProtection="1">
      <protection locked="0"/>
    </xf>
    <xf numFmtId="0" fontId="0" fillId="11" borderId="0" xfId="0" applyNumberFormat="1" applyFill="1" applyBorder="1" applyProtection="1">
      <protection locked="0"/>
    </xf>
    <xf numFmtId="165" fontId="0" fillId="11" borderId="4" xfId="0" applyNumberFormat="1" applyFill="1" applyBorder="1" applyProtection="1">
      <protection locked="0"/>
    </xf>
    <xf numFmtId="0" fontId="0" fillId="0" borderId="4" xfId="0" applyNumberFormat="1" applyBorder="1" applyProtection="1">
      <protection locked="0"/>
    </xf>
    <xf numFmtId="0" fontId="0" fillId="11" borderId="5" xfId="0" applyFill="1" applyBorder="1" applyProtection="1">
      <protection locked="0"/>
    </xf>
    <xf numFmtId="11" fontId="1" fillId="11" borderId="0" xfId="0" applyNumberFormat="1" applyFont="1" applyFill="1" applyProtection="1">
      <protection locked="0"/>
    </xf>
    <xf numFmtId="0" fontId="0" fillId="11" borderId="4" xfId="0" applyFill="1" applyBorder="1" applyProtection="1">
      <protection locked="0"/>
    </xf>
    <xf numFmtId="0" fontId="10" fillId="14" borderId="0" xfId="0" applyFont="1" applyFill="1" applyProtection="1">
      <protection locked="0"/>
    </xf>
    <xf numFmtId="0" fontId="2" fillId="0" borderId="0" xfId="0" applyFont="1" applyAlignment="1" applyProtection="1">
      <alignment horizontal="center" vertical="center"/>
      <protection locked="0"/>
    </xf>
    <xf numFmtId="2" fontId="0" fillId="11" borderId="5" xfId="0" applyNumberFormat="1" applyFill="1" applyBorder="1" applyProtection="1">
      <protection locked="0"/>
    </xf>
    <xf numFmtId="2" fontId="0" fillId="0" borderId="5" xfId="0" applyNumberFormat="1" applyFill="1" applyBorder="1" applyProtection="1">
      <protection locked="0"/>
    </xf>
    <xf numFmtId="2" fontId="0" fillId="0" borderId="4" xfId="0" applyNumberFormat="1" applyFill="1" applyBorder="1" applyProtection="1">
      <protection locked="0"/>
    </xf>
    <xf numFmtId="2" fontId="0" fillId="0" borderId="5" xfId="0" applyNumberFormat="1" applyBorder="1" applyProtection="1">
      <protection locked="0"/>
    </xf>
    <xf numFmtId="11" fontId="8" fillId="5" borderId="5" xfId="4" applyNumberFormat="1" applyBorder="1" applyProtection="1">
      <protection locked="0"/>
    </xf>
    <xf numFmtId="0" fontId="0" fillId="11" borderId="5" xfId="0" applyNumberFormat="1" applyFill="1" applyBorder="1" applyProtection="1">
      <protection locked="0"/>
    </xf>
    <xf numFmtId="0" fontId="0" fillId="0" borderId="5" xfId="0" applyNumberFormat="1" applyBorder="1" applyProtection="1">
      <protection locked="0"/>
    </xf>
    <xf numFmtId="0" fontId="8" fillId="5" borderId="5" xfId="4" applyBorder="1" applyProtection="1">
      <protection locked="0"/>
    </xf>
    <xf numFmtId="0" fontId="2" fillId="5" borderId="0" xfId="4" applyFont="1" applyProtection="1">
      <protection locked="0"/>
    </xf>
    <xf numFmtId="2" fontId="2" fillId="11" borderId="0" xfId="0" applyNumberFormat="1" applyFont="1" applyFill="1" applyProtection="1">
      <protection locked="0"/>
    </xf>
    <xf numFmtId="1" fontId="2" fillId="11" borderId="0" xfId="0" applyNumberFormat="1" applyFont="1" applyFill="1" applyProtection="1">
      <protection locked="0"/>
    </xf>
    <xf numFmtId="0" fontId="0" fillId="0" borderId="5" xfId="0" applyFont="1" applyBorder="1" applyAlignment="1" applyProtection="1">
      <alignment horizontal="center"/>
      <protection locked="0"/>
    </xf>
    <xf numFmtId="0" fontId="1" fillId="0" borderId="5" xfId="0" applyFont="1" applyBorder="1" applyAlignment="1" applyProtection="1">
      <alignment vertical="center"/>
      <protection locked="0"/>
    </xf>
    <xf numFmtId="0" fontId="2" fillId="0" borderId="4" xfId="0" applyFont="1" applyBorder="1" applyProtection="1">
      <protection locked="0"/>
    </xf>
    <xf numFmtId="0" fontId="0" fillId="0" borderId="0" xfId="3" applyFont="1" applyFill="1" applyProtection="1">
      <protection locked="0"/>
    </xf>
    <xf numFmtId="0" fontId="0" fillId="0" borderId="5" xfId="3" applyFont="1" applyFill="1" applyBorder="1" applyProtection="1">
      <protection locked="0"/>
    </xf>
    <xf numFmtId="11" fontId="2" fillId="5" borderId="4" xfId="4" applyNumberFormat="1" applyFont="1" applyBorder="1" applyProtection="1">
      <protection locked="0"/>
    </xf>
    <xf numFmtId="11" fontId="2" fillId="5" borderId="0" xfId="4" applyNumberFormat="1" applyFont="1" applyProtection="1">
      <protection locked="0"/>
    </xf>
    <xf numFmtId="2" fontId="0" fillId="11" borderId="5" xfId="0" applyNumberFormat="1" applyFont="1" applyFill="1" applyBorder="1" applyProtection="1">
      <protection locked="0"/>
    </xf>
    <xf numFmtId="2" fontId="0" fillId="0" borderId="5" xfId="0" applyNumberFormat="1" applyFont="1" applyFill="1" applyBorder="1" applyProtection="1">
      <protection locked="0"/>
    </xf>
    <xf numFmtId="2" fontId="2" fillId="11" borderId="4" xfId="0" applyNumberFormat="1" applyFont="1" applyFill="1" applyBorder="1" applyProtection="1">
      <protection locked="0"/>
    </xf>
    <xf numFmtId="2" fontId="2" fillId="0" borderId="4" xfId="0" applyNumberFormat="1" applyFont="1" applyFill="1" applyBorder="1" applyProtection="1">
      <protection locked="0"/>
    </xf>
    <xf numFmtId="0" fontId="2" fillId="5" borderId="4" xfId="4" applyFont="1" applyBorder="1" applyProtection="1">
      <protection locked="0"/>
    </xf>
    <xf numFmtId="0" fontId="0" fillId="11" borderId="5" xfId="0" applyNumberFormat="1" applyFont="1" applyFill="1" applyBorder="1" applyProtection="1">
      <protection locked="0"/>
    </xf>
    <xf numFmtId="165" fontId="0" fillId="0" borderId="0" xfId="0" applyNumberFormat="1" applyFont="1" applyProtection="1">
      <protection locked="0"/>
    </xf>
    <xf numFmtId="165" fontId="0" fillId="0" borderId="5" xfId="0" applyNumberFormat="1" applyFont="1" applyBorder="1" applyProtection="1">
      <protection locked="0"/>
    </xf>
    <xf numFmtId="165" fontId="0" fillId="11" borderId="5" xfId="0" applyNumberFormat="1" applyFont="1" applyFill="1" applyBorder="1" applyProtection="1">
      <protection locked="0"/>
    </xf>
    <xf numFmtId="164" fontId="0" fillId="0" borderId="5" xfId="0" applyNumberFormat="1" applyFont="1" applyBorder="1" applyProtection="1">
      <protection locked="0"/>
    </xf>
    <xf numFmtId="164" fontId="0" fillId="0" borderId="0" xfId="0" applyNumberFormat="1" applyFont="1" applyProtection="1">
      <protection locked="0"/>
    </xf>
    <xf numFmtId="1" fontId="0" fillId="11" borderId="5" xfId="0" applyNumberFormat="1" applyFont="1" applyFill="1" applyBorder="1" applyProtection="1">
      <protection locked="0"/>
    </xf>
    <xf numFmtId="0" fontId="2" fillId="11" borderId="4" xfId="0" applyNumberFormat="1" applyFont="1" applyFill="1" applyBorder="1" applyProtection="1">
      <protection locked="0"/>
    </xf>
    <xf numFmtId="0" fontId="2" fillId="11" borderId="0" xfId="0" applyNumberFormat="1" applyFont="1" applyFill="1" applyProtection="1">
      <protection locked="0"/>
    </xf>
    <xf numFmtId="2" fontId="0" fillId="15" borderId="0" xfId="0" applyNumberFormat="1" applyFont="1" applyFill="1" applyBorder="1" applyProtection="1">
      <protection locked="0"/>
    </xf>
    <xf numFmtId="164" fontId="0" fillId="11" borderId="5" xfId="0" applyNumberFormat="1" applyFont="1" applyFill="1" applyBorder="1" applyProtection="1">
      <protection locked="0"/>
    </xf>
    <xf numFmtId="166" fontId="0" fillId="11" borderId="5" xfId="0" applyNumberFormat="1" applyFont="1" applyFill="1" applyBorder="1" applyProtection="1">
      <protection locked="0"/>
    </xf>
    <xf numFmtId="0" fontId="2" fillId="15" borderId="4" xfId="0" applyFont="1" applyFill="1" applyBorder="1" applyProtection="1">
      <protection locked="0"/>
    </xf>
    <xf numFmtId="164" fontId="2" fillId="11" borderId="0" xfId="0" applyNumberFormat="1" applyFont="1" applyFill="1" applyProtection="1">
      <protection locked="0"/>
    </xf>
    <xf numFmtId="0" fontId="6" fillId="0" borderId="0" xfId="0" applyFont="1" applyProtection="1">
      <protection locked="0"/>
    </xf>
    <xf numFmtId="0" fontId="2" fillId="0" borderId="4" xfId="3" applyFont="1" applyFill="1" applyBorder="1" applyProtection="1">
      <protection locked="0"/>
    </xf>
    <xf numFmtId="0" fontId="2" fillId="0" borderId="4" xfId="0" applyFont="1" applyFill="1" applyBorder="1" applyProtection="1">
      <protection locked="0"/>
    </xf>
    <xf numFmtId="11" fontId="2" fillId="0" borderId="4" xfId="0" applyNumberFormat="1" applyFont="1" applyFill="1" applyBorder="1" applyProtection="1">
      <protection locked="0"/>
    </xf>
    <xf numFmtId="0" fontId="2" fillId="0" borderId="0" xfId="3" applyFont="1" applyFill="1" applyProtection="1">
      <protection locked="0"/>
    </xf>
    <xf numFmtId="0" fontId="2" fillId="0" borderId="4" xfId="0" applyNumberFormat="1" applyFont="1" applyFill="1" applyBorder="1" applyProtection="1">
      <protection locked="0"/>
    </xf>
    <xf numFmtId="0" fontId="0" fillId="0" borderId="0" xfId="0" applyFill="1" applyAlignment="1" applyProtection="1">
      <alignment vertical="center"/>
      <protection locked="0"/>
    </xf>
    <xf numFmtId="0" fontId="6" fillId="0" borderId="0" xfId="0" applyFont="1" applyAlignment="1" applyProtection="1">
      <alignment vertical="top" wrapText="1"/>
      <protection locked="0"/>
    </xf>
    <xf numFmtId="0" fontId="6" fillId="0" borderId="0" xfId="0" applyFont="1" applyAlignment="1" applyProtection="1">
      <alignment wrapText="1"/>
      <protection locked="0"/>
    </xf>
    <xf numFmtId="0" fontId="6" fillId="0" borderId="0" xfId="0" applyFont="1" applyAlignment="1" applyProtection="1">
      <protection locked="0"/>
    </xf>
    <xf numFmtId="0" fontId="0" fillId="0" borderId="3" xfId="0" applyBorder="1" applyAlignment="1" applyProtection="1">
      <alignment horizontal="center" vertical="center"/>
      <protection locked="0"/>
    </xf>
    <xf numFmtId="0" fontId="0" fillId="0" borderId="3" xfId="0" applyBorder="1" applyAlignment="1" applyProtection="1">
      <alignment vertical="center"/>
      <protection locked="0"/>
    </xf>
    <xf numFmtId="0" fontId="0" fillId="14" borderId="3" xfId="0" applyFill="1" applyBorder="1" applyAlignment="1" applyProtection="1">
      <alignment vertical="center"/>
      <protection locked="0"/>
    </xf>
    <xf numFmtId="0" fontId="6" fillId="0" borderId="3" xfId="0" applyFont="1" applyBorder="1" applyAlignment="1" applyProtection="1">
      <alignment wrapText="1"/>
      <protection locked="0"/>
    </xf>
    <xf numFmtId="0" fontId="6" fillId="0" borderId="0" xfId="0" applyFont="1" applyAlignment="1" applyProtection="1">
      <alignment vertical="center" wrapText="1"/>
      <protection locked="0"/>
    </xf>
    <xf numFmtId="0" fontId="0" fillId="14" borderId="4" xfId="0" applyFill="1" applyBorder="1" applyAlignment="1" applyProtection="1">
      <alignment vertical="center"/>
      <protection locked="0"/>
    </xf>
    <xf numFmtId="11" fontId="8" fillId="5" borderId="3" xfId="4" applyNumberFormat="1" applyBorder="1" applyProtection="1">
      <protection locked="0"/>
    </xf>
    <xf numFmtId="11" fontId="10" fillId="0" borderId="5" xfId="0" applyNumberFormat="1" applyFont="1" applyBorder="1" applyProtection="1">
      <protection locked="0"/>
    </xf>
    <xf numFmtId="2" fontId="8" fillId="4" borderId="0" xfId="3" applyNumberFormat="1" applyProtection="1">
      <protection locked="0"/>
    </xf>
    <xf numFmtId="11" fontId="8" fillId="5" borderId="0" xfId="4" applyNumberFormat="1" applyBorder="1" applyProtection="1">
      <protection locked="0"/>
    </xf>
    <xf numFmtId="0" fontId="8" fillId="5" borderId="0" xfId="4" applyBorder="1" applyProtection="1">
      <protection locked="0"/>
    </xf>
    <xf numFmtId="0" fontId="2" fillId="4" borderId="0" xfId="3" applyFont="1" applyProtection="1">
      <protection locked="0"/>
    </xf>
    <xf numFmtId="2" fontId="0" fillId="11" borderId="3" xfId="0" applyNumberFormat="1" applyFill="1" applyBorder="1" applyProtection="1">
      <protection locked="0"/>
    </xf>
    <xf numFmtId="0" fontId="0" fillId="0" borderId="0" xfId="0" applyFont="1" applyFill="1" applyBorder="1" applyProtection="1">
      <protection locked="0"/>
    </xf>
    <xf numFmtId="2" fontId="0" fillId="0" borderId="13" xfId="0" applyNumberFormat="1" applyFill="1" applyBorder="1" applyProtection="1">
      <protection locked="0"/>
    </xf>
    <xf numFmtId="2" fontId="0" fillId="0" borderId="13" xfId="0" applyNumberFormat="1" applyFont="1" applyFill="1" applyBorder="1" applyProtection="1">
      <protection locked="0"/>
    </xf>
    <xf numFmtId="2" fontId="0" fillId="0" borderId="9" xfId="0" applyNumberFormat="1" applyFont="1" applyFill="1" applyBorder="1" applyProtection="1">
      <protection locked="0"/>
    </xf>
    <xf numFmtId="2" fontId="0" fillId="11" borderId="0" xfId="0" applyNumberFormat="1" applyFill="1" applyBorder="1" applyProtection="1">
      <protection locked="0"/>
    </xf>
    <xf numFmtId="2" fontId="0" fillId="0" borderId="11" xfId="0" applyNumberFormat="1" applyFill="1" applyBorder="1" applyProtection="1">
      <protection locked="0"/>
    </xf>
    <xf numFmtId="0" fontId="0" fillId="11" borderId="3" xfId="0" applyNumberFormat="1" applyFill="1" applyBorder="1" applyProtection="1">
      <protection locked="0"/>
    </xf>
    <xf numFmtId="0" fontId="1" fillId="0" borderId="0" xfId="0" applyFont="1" applyAlignment="1"/>
    <xf numFmtId="0" fontId="1" fillId="0" borderId="0" xfId="0" applyFont="1" applyAlignment="1">
      <alignment vertical="center" wrapText="1"/>
    </xf>
    <xf numFmtId="0" fontId="0" fillId="15" borderId="0" xfId="0" applyFill="1" applyAlignment="1" applyProtection="1">
      <alignment horizontal="center" wrapText="1"/>
      <protection locked="0"/>
    </xf>
    <xf numFmtId="0" fontId="6" fillId="0" borderId="0" xfId="0" applyFont="1" applyAlignment="1" applyProtection="1">
      <alignment vertical="top"/>
      <protection locked="0"/>
    </xf>
    <xf numFmtId="0" fontId="0" fillId="0" borderId="0" xfId="0" applyBorder="1" applyAlignment="1" applyProtection="1">
      <alignment horizontal="center" vertical="center"/>
      <protection locked="0"/>
    </xf>
    <xf numFmtId="0" fontId="0" fillId="0" borderId="0" xfId="0" applyBorder="1" applyAlignment="1" applyProtection="1">
      <alignment vertical="center"/>
      <protection locked="0"/>
    </xf>
    <xf numFmtId="0" fontId="0" fillId="14" borderId="0" xfId="0" applyFill="1" applyBorder="1" applyAlignment="1" applyProtection="1">
      <alignment vertical="center"/>
      <protection locked="0"/>
    </xf>
    <xf numFmtId="0" fontId="6" fillId="0" borderId="0" xfId="0" applyFont="1" applyBorder="1" applyAlignment="1" applyProtection="1">
      <alignment wrapText="1"/>
      <protection locked="0"/>
    </xf>
    <xf numFmtId="2" fontId="0" fillId="0" borderId="0" xfId="0" applyNumberFormat="1" applyFill="1" applyBorder="1" applyProtection="1">
      <protection locked="0"/>
    </xf>
    <xf numFmtId="2" fontId="2" fillId="7" borderId="0" xfId="0" applyNumberFormat="1" applyFont="1" applyFill="1" applyProtection="1">
      <protection locked="0"/>
    </xf>
    <xf numFmtId="0" fontId="2" fillId="7" borderId="0" xfId="0" applyFont="1" applyFill="1" applyProtection="1">
      <protection locked="0"/>
    </xf>
    <xf numFmtId="11" fontId="2" fillId="8" borderId="4" xfId="0" applyNumberFormat="1" applyFont="1" applyFill="1" applyBorder="1" applyProtection="1">
      <protection locked="0"/>
    </xf>
    <xf numFmtId="11" fontId="2" fillId="8" borderId="0" xfId="0" applyNumberFormat="1" applyFont="1" applyFill="1" applyProtection="1">
      <protection locked="0"/>
    </xf>
    <xf numFmtId="0" fontId="2" fillId="8" borderId="4" xfId="0" applyFont="1" applyFill="1" applyBorder="1" applyProtection="1">
      <protection locked="0"/>
    </xf>
    <xf numFmtId="0" fontId="2" fillId="8" borderId="0" xfId="0" applyFont="1" applyFill="1" applyProtection="1">
      <protection locked="0"/>
    </xf>
    <xf numFmtId="0" fontId="1" fillId="0" borderId="0" xfId="0" applyFont="1" applyProtection="1">
      <protection locked="0"/>
    </xf>
    <xf numFmtId="0" fontId="2" fillId="0" borderId="0" xfId="0" applyFont="1" applyAlignment="1" applyProtection="1">
      <alignment horizontal="center"/>
      <protection locked="0"/>
    </xf>
    <xf numFmtId="164" fontId="0" fillId="0" borderId="0" xfId="0" applyNumberFormat="1" applyProtection="1">
      <protection locked="0"/>
    </xf>
    <xf numFmtId="165" fontId="0" fillId="11" borderId="0" xfId="0" applyNumberFormat="1" applyFill="1" applyProtection="1">
      <protection locked="0"/>
    </xf>
    <xf numFmtId="0" fontId="0" fillId="0" borderId="0" xfId="0" quotePrefix="1" applyProtection="1">
      <protection locked="0"/>
    </xf>
    <xf numFmtId="0" fontId="10" fillId="0" borderId="0" xfId="0" applyFont="1" applyFill="1" applyProtection="1">
      <protection locked="0"/>
    </xf>
    <xf numFmtId="11" fontId="10" fillId="8" borderId="0" xfId="0" applyNumberFormat="1" applyFont="1" applyFill="1" applyProtection="1">
      <protection locked="0"/>
    </xf>
    <xf numFmtId="11" fontId="2" fillId="11" borderId="0" xfId="0" applyNumberFormat="1" applyFont="1" applyFill="1" applyProtection="1">
      <protection locked="0"/>
    </xf>
    <xf numFmtId="11" fontId="0" fillId="15" borderId="0" xfId="0" applyNumberFormat="1" applyFill="1" applyProtection="1">
      <protection locked="0"/>
    </xf>
    <xf numFmtId="2" fontId="10" fillId="11" borderId="0" xfId="0" applyNumberFormat="1" applyFont="1" applyFill="1" applyProtection="1">
      <protection locked="0"/>
    </xf>
    <xf numFmtId="11" fontId="0" fillId="15" borderId="4" xfId="0" applyNumberFormat="1" applyFill="1" applyBorder="1" applyProtection="1">
      <protection locked="0"/>
    </xf>
    <xf numFmtId="0" fontId="0" fillId="0" borderId="0" xfId="0" applyAlignment="1" applyProtection="1">
      <alignment horizontal="right"/>
      <protection locked="0"/>
    </xf>
    <xf numFmtId="0" fontId="2" fillId="10" borderId="4" xfId="0" applyFont="1" applyFill="1" applyBorder="1" applyProtection="1">
      <protection locked="0"/>
    </xf>
    <xf numFmtId="165" fontId="2" fillId="10" borderId="4" xfId="0" applyNumberFormat="1" applyFont="1" applyFill="1" applyBorder="1" applyProtection="1">
      <protection locked="0"/>
    </xf>
    <xf numFmtId="165" fontId="2" fillId="10" borderId="0" xfId="0" applyNumberFormat="1" applyFont="1" applyFill="1" applyProtection="1">
      <protection locked="0"/>
    </xf>
    <xf numFmtId="0" fontId="13" fillId="0" borderId="4" xfId="6" applyBorder="1" applyAlignment="1" applyProtection="1">
      <alignment vertical="center"/>
      <protection locked="0"/>
    </xf>
    <xf numFmtId="0" fontId="13" fillId="0" borderId="0" xfId="6" applyAlignment="1" applyProtection="1">
      <alignment vertical="center"/>
      <protection locked="0"/>
    </xf>
    <xf numFmtId="11" fontId="1" fillId="5" borderId="0" xfId="4" applyNumberFormat="1" applyFont="1" applyProtection="1">
      <protection locked="0"/>
    </xf>
    <xf numFmtId="165" fontId="0" fillId="0" borderId="4" xfId="0" applyNumberFormat="1" applyBorder="1" applyProtection="1">
      <protection locked="0"/>
    </xf>
    <xf numFmtId="165" fontId="0" fillId="0" borderId="5" xfId="0" applyNumberFormat="1" applyBorder="1" applyProtection="1">
      <protection locked="0"/>
    </xf>
    <xf numFmtId="0" fontId="1" fillId="11" borderId="0" xfId="0" applyNumberFormat="1" applyFont="1" applyFill="1" applyProtection="1">
      <protection locked="0"/>
    </xf>
    <xf numFmtId="0" fontId="1" fillId="0" borderId="0" xfId="0" applyNumberFormat="1" applyFont="1" applyFill="1" applyProtection="1">
      <protection locked="0"/>
    </xf>
    <xf numFmtId="165" fontId="2" fillId="11" borderId="0" xfId="0" applyNumberFormat="1" applyFont="1" applyFill="1" applyProtection="1">
      <protection locked="0"/>
    </xf>
    <xf numFmtId="0" fontId="0" fillId="15" borderId="0" xfId="0" applyFont="1" applyFill="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 fillId="14" borderId="0" xfId="0" applyFont="1" applyFill="1" applyAlignment="1" applyProtection="1">
      <alignment horizontal="center"/>
      <protection locked="0"/>
    </xf>
    <xf numFmtId="0" fontId="0" fillId="7" borderId="0" xfId="0" applyFill="1" applyProtection="1">
      <protection locked="0"/>
    </xf>
    <xf numFmtId="0" fontId="7" fillId="0" borderId="0" xfId="0" applyFont="1" applyProtection="1">
      <protection locked="0"/>
    </xf>
    <xf numFmtId="0" fontId="0" fillId="7" borderId="0" xfId="0" applyFill="1" applyAlignment="1" applyProtection="1">
      <alignment horizontal="center"/>
      <protection locked="0"/>
    </xf>
    <xf numFmtId="11" fontId="0" fillId="7" borderId="0" xfId="0" applyNumberFormat="1" applyFill="1" applyProtection="1">
      <protection locked="0"/>
    </xf>
    <xf numFmtId="2" fontId="0" fillId="13" borderId="0" xfId="0" applyNumberFormat="1" applyFill="1" applyProtection="1">
      <protection locked="0"/>
    </xf>
    <xf numFmtId="11" fontId="2" fillId="8" borderId="0" xfId="4" applyNumberFormat="1" applyFont="1" applyFill="1" applyProtection="1">
      <protection locked="0"/>
    </xf>
    <xf numFmtId="0" fontId="2" fillId="8" borderId="0" xfId="4" applyFont="1" applyFill="1" applyProtection="1">
      <protection locked="0"/>
    </xf>
    <xf numFmtId="11" fontId="2" fillId="7" borderId="0" xfId="0" applyNumberFormat="1" applyFont="1" applyFill="1" applyProtection="1">
      <protection locked="0"/>
    </xf>
    <xf numFmtId="11" fontId="2" fillId="10" borderId="0" xfId="0" applyNumberFormat="1" applyFont="1" applyFill="1" applyProtection="1">
      <protection locked="0"/>
    </xf>
    <xf numFmtId="2" fontId="2" fillId="13" borderId="0" xfId="0" applyNumberFormat="1" applyFont="1" applyFill="1" applyProtection="1">
      <protection locked="0"/>
    </xf>
    <xf numFmtId="0" fontId="2" fillId="10" borderId="0" xfId="0" applyNumberFormat="1" applyFont="1" applyFill="1" applyProtection="1">
      <protection locked="0"/>
    </xf>
    <xf numFmtId="0" fontId="7" fillId="0" borderId="0" xfId="0" applyFont="1" applyAlignment="1" applyProtection="1">
      <alignment wrapText="1"/>
      <protection locked="0"/>
    </xf>
    <xf numFmtId="0" fontId="7" fillId="7" borderId="0" xfId="0" applyFont="1" applyFill="1" applyProtection="1">
      <protection locked="0"/>
    </xf>
    <xf numFmtId="0" fontId="2" fillId="0" borderId="0" xfId="0" applyFont="1" applyAlignment="1" applyProtection="1">
      <alignment wrapText="1"/>
      <protection locked="0"/>
    </xf>
    <xf numFmtId="11" fontId="2" fillId="8" borderId="0" xfId="4" applyNumberFormat="1" applyFont="1" applyFill="1" applyAlignment="1" applyProtection="1">
      <alignment wrapText="1"/>
      <protection locked="0"/>
    </xf>
    <xf numFmtId="11" fontId="2" fillId="7" borderId="0" xfId="0" applyNumberFormat="1" applyFont="1" applyFill="1" applyAlignment="1" applyProtection="1">
      <alignment wrapText="1"/>
      <protection locked="0"/>
    </xf>
    <xf numFmtId="2" fontId="2" fillId="13" borderId="0" xfId="0" applyNumberFormat="1" applyFont="1" applyFill="1" applyAlignment="1" applyProtection="1">
      <alignment wrapText="1"/>
      <protection locked="0"/>
    </xf>
    <xf numFmtId="2" fontId="2" fillId="15" borderId="0" xfId="0" applyNumberFormat="1" applyFont="1" applyFill="1" applyProtection="1">
      <protection locked="0"/>
    </xf>
    <xf numFmtId="0" fontId="8" fillId="4" borderId="0" xfId="3" applyAlignment="1" applyProtection="1">
      <alignment horizontal="center"/>
      <protection locked="0"/>
    </xf>
    <xf numFmtId="2" fontId="0" fillId="13" borderId="0" xfId="0" applyNumberFormat="1" applyFont="1" applyFill="1" applyProtection="1">
      <protection locked="0"/>
    </xf>
    <xf numFmtId="2" fontId="0" fillId="15" borderId="0" xfId="0" applyNumberFormat="1" applyFont="1" applyFill="1" applyProtection="1">
      <protection locked="0"/>
    </xf>
    <xf numFmtId="2" fontId="0" fillId="7" borderId="0" xfId="0" applyNumberFormat="1" applyFill="1" applyProtection="1">
      <protection locked="0"/>
    </xf>
    <xf numFmtId="0" fontId="0" fillId="7" borderId="4" xfId="0" applyFill="1" applyBorder="1" applyProtection="1">
      <protection locked="0"/>
    </xf>
    <xf numFmtId="2" fontId="0" fillId="7" borderId="4" xfId="0" applyNumberFormat="1" applyFill="1" applyBorder="1" applyProtection="1">
      <protection locked="0"/>
    </xf>
    <xf numFmtId="11" fontId="0" fillId="7" borderId="4" xfId="0" applyNumberFormat="1" applyFill="1" applyBorder="1" applyProtection="1">
      <protection locked="0"/>
    </xf>
    <xf numFmtId="11" fontId="8" fillId="8" borderId="0" xfId="4" applyNumberFormat="1" applyFill="1" applyProtection="1"/>
    <xf numFmtId="0" fontId="8" fillId="8" borderId="0" xfId="4" applyFill="1" applyProtection="1"/>
    <xf numFmtId="11" fontId="0" fillId="10" borderId="0" xfId="0" applyNumberFormat="1" applyFill="1" applyProtection="1"/>
    <xf numFmtId="2" fontId="0" fillId="13" borderId="0" xfId="0" applyNumberFormat="1" applyFill="1" applyProtection="1"/>
    <xf numFmtId="0" fontId="0" fillId="10" borderId="0" xfId="0" applyNumberFormat="1" applyFill="1" applyProtection="1"/>
    <xf numFmtId="0" fontId="0" fillId="15" borderId="0" xfId="0" applyFill="1" applyProtection="1"/>
    <xf numFmtId="0" fontId="0" fillId="14" borderId="0" xfId="0" applyFill="1" applyProtection="1"/>
    <xf numFmtId="11" fontId="2" fillId="8" borderId="0" xfId="4" applyNumberFormat="1" applyFont="1" applyFill="1" applyProtection="1"/>
    <xf numFmtId="0" fontId="2" fillId="8" borderId="0" xfId="4" applyFont="1" applyFill="1" applyProtection="1"/>
    <xf numFmtId="11" fontId="2" fillId="10" borderId="0" xfId="0" applyNumberFormat="1" applyFont="1" applyFill="1" applyProtection="1"/>
    <xf numFmtId="2" fontId="2" fillId="13" borderId="0" xfId="0" applyNumberFormat="1" applyFont="1" applyFill="1" applyProtection="1"/>
    <xf numFmtId="0" fontId="2" fillId="10" borderId="0" xfId="0" applyNumberFormat="1" applyFont="1" applyFill="1" applyProtection="1"/>
    <xf numFmtId="0" fontId="2" fillId="0" borderId="0" xfId="0" applyFont="1" applyAlignment="1" applyProtection="1">
      <alignment wrapText="1"/>
    </xf>
    <xf numFmtId="11" fontId="2" fillId="8" borderId="0" xfId="4" applyNumberFormat="1" applyFont="1" applyFill="1" applyAlignment="1" applyProtection="1">
      <alignment wrapText="1"/>
    </xf>
    <xf numFmtId="2" fontId="2" fillId="13" borderId="0" xfId="0" applyNumberFormat="1" applyFont="1" applyFill="1" applyAlignment="1" applyProtection="1">
      <alignment wrapText="1"/>
    </xf>
    <xf numFmtId="0" fontId="2" fillId="15" borderId="0" xfId="0" applyFont="1" applyFill="1" applyProtection="1"/>
    <xf numFmtId="2" fontId="2" fillId="15" borderId="0" xfId="0" applyNumberFormat="1" applyFont="1" applyFill="1" applyProtection="1"/>
    <xf numFmtId="0" fontId="2" fillId="14" borderId="0" xfId="0" applyFont="1" applyFill="1" applyProtection="1"/>
    <xf numFmtId="0" fontId="8" fillId="5" borderId="0" xfId="4" applyProtection="1"/>
    <xf numFmtId="0" fontId="0" fillId="10" borderId="0" xfId="0" applyFont="1" applyFill="1" applyProtection="1"/>
    <xf numFmtId="2" fontId="0" fillId="13" borderId="0" xfId="0" applyNumberFormat="1" applyFont="1" applyFill="1" applyProtection="1"/>
    <xf numFmtId="0" fontId="0" fillId="10" borderId="0" xfId="0" applyNumberFormat="1" applyFont="1" applyFill="1" applyProtection="1"/>
    <xf numFmtId="11" fontId="8" fillId="5" borderId="0" xfId="4" applyNumberFormat="1" applyProtection="1"/>
    <xf numFmtId="11" fontId="0" fillId="10" borderId="0" xfId="0" applyNumberFormat="1" applyFont="1" applyFill="1" applyProtection="1"/>
    <xf numFmtId="0" fontId="0" fillId="15" borderId="0" xfId="0" applyFont="1" applyFill="1" applyProtection="1"/>
    <xf numFmtId="2" fontId="0" fillId="15" borderId="0" xfId="0" applyNumberFormat="1" applyFont="1" applyFill="1" applyProtection="1"/>
    <xf numFmtId="0" fontId="7" fillId="0" borderId="0" xfId="0" applyFont="1" applyAlignment="1" applyProtection="1">
      <alignment wrapText="1"/>
    </xf>
    <xf numFmtId="0" fontId="7" fillId="7" borderId="0" xfId="0" applyFont="1" applyFill="1" applyProtection="1"/>
    <xf numFmtId="0" fontId="2" fillId="4" borderId="0" xfId="3" applyFont="1" applyProtection="1"/>
    <xf numFmtId="0" fontId="0" fillId="0" borderId="0" xfId="0" applyAlignment="1" applyProtection="1">
      <alignment horizontal="center"/>
    </xf>
    <xf numFmtId="0" fontId="8" fillId="4" borderId="0" xfId="3" applyAlignment="1" applyProtection="1">
      <alignment horizontal="center"/>
    </xf>
    <xf numFmtId="0" fontId="0" fillId="7" borderId="0" xfId="0" applyFill="1" applyAlignment="1" applyProtection="1">
      <alignment horizontal="center"/>
    </xf>
    <xf numFmtId="0" fontId="0" fillId="11" borderId="0" xfId="0" applyFill="1" applyAlignment="1" applyProtection="1">
      <alignment horizontal="center"/>
    </xf>
    <xf numFmtId="0" fontId="0" fillId="7" borderId="9" xfId="0" applyFill="1" applyBorder="1" applyProtection="1"/>
    <xf numFmtId="164" fontId="0" fillId="7" borderId="4" xfId="0" applyNumberFormat="1" applyFill="1" applyBorder="1" applyProtection="1"/>
    <xf numFmtId="2" fontId="0" fillId="11" borderId="0" xfId="0" applyNumberFormat="1" applyFill="1" applyProtection="1"/>
    <xf numFmtId="11" fontId="0" fillId="11" borderId="0" xfId="0" applyNumberFormat="1" applyFill="1" applyProtection="1"/>
    <xf numFmtId="165" fontId="0" fillId="7" borderId="4" xfId="0" applyNumberFormat="1" applyFill="1" applyBorder="1" applyProtection="1"/>
    <xf numFmtId="164" fontId="0" fillId="7" borderId="9" xfId="0" applyNumberFormat="1" applyFill="1" applyBorder="1" applyProtection="1"/>
    <xf numFmtId="11" fontId="0" fillId="7" borderId="9" xfId="0" applyNumberFormat="1" applyFill="1" applyBorder="1" applyProtection="1"/>
    <xf numFmtId="2" fontId="0" fillId="13" borderId="0" xfId="0" applyNumberFormat="1" applyFont="1" applyFill="1" applyAlignment="1" applyProtection="1">
      <alignment wrapText="1"/>
      <protection locked="0"/>
    </xf>
    <xf numFmtId="0" fontId="0" fillId="7" borderId="0" xfId="0" applyNumberFormat="1" applyFill="1" applyProtection="1">
      <protection locked="0"/>
    </xf>
    <xf numFmtId="0" fontId="0" fillId="7" borderId="4" xfId="0" applyNumberFormat="1" applyFill="1" applyBorder="1" applyProtection="1">
      <protection locked="0"/>
    </xf>
    <xf numFmtId="0" fontId="0" fillId="10" borderId="0" xfId="0" applyFill="1" applyProtection="1"/>
    <xf numFmtId="2" fontId="0" fillId="13" borderId="0" xfId="0" applyNumberFormat="1" applyFont="1" applyFill="1" applyAlignment="1" applyProtection="1">
      <alignment wrapText="1"/>
    </xf>
    <xf numFmtId="0" fontId="0" fillId="7" borderId="0" xfId="0" applyNumberFormat="1" applyFill="1" applyProtection="1"/>
    <xf numFmtId="0" fontId="0" fillId="7" borderId="4" xfId="0" applyNumberFormat="1" applyFill="1" applyBorder="1" applyProtection="1"/>
    <xf numFmtId="166" fontId="0" fillId="7" borderId="4" xfId="0" applyNumberFormat="1" applyFill="1" applyBorder="1" applyProtection="1"/>
    <xf numFmtId="166" fontId="0" fillId="7" borderId="0" xfId="0" applyNumberFormat="1" applyFill="1" applyProtection="1"/>
    <xf numFmtId="0" fontId="2" fillId="0" borderId="0" xfId="0" applyFont="1" applyAlignment="1" applyProtection="1">
      <protection locked="0"/>
    </xf>
    <xf numFmtId="0" fontId="8" fillId="5" borderId="0" xfId="4" applyFont="1" applyProtection="1">
      <protection locked="0"/>
    </xf>
    <xf numFmtId="0" fontId="0" fillId="7" borderId="0" xfId="0" applyFont="1" applyFill="1" applyProtection="1">
      <protection locked="0"/>
    </xf>
    <xf numFmtId="0" fontId="0" fillId="0" borderId="0" xfId="0" applyFont="1" applyAlignment="1" applyProtection="1">
      <alignment vertical="top"/>
      <protection locked="0"/>
    </xf>
    <xf numFmtId="11" fontId="0" fillId="7" borderId="0" xfId="0" applyNumberFormat="1" applyFont="1" applyFill="1" applyProtection="1">
      <protection locked="0"/>
    </xf>
    <xf numFmtId="0" fontId="0" fillId="0" borderId="5" xfId="0" applyFont="1" applyBorder="1" applyAlignment="1" applyProtection="1">
      <alignment horizontal="center" vertical="center"/>
      <protection locked="0"/>
    </xf>
    <xf numFmtId="0" fontId="10" fillId="0" borderId="5" xfId="0" applyFont="1" applyBorder="1" applyAlignment="1" applyProtection="1">
      <alignment wrapText="1"/>
      <protection locked="0"/>
    </xf>
    <xf numFmtId="0" fontId="10" fillId="0" borderId="0" xfId="0" applyFont="1" applyAlignment="1" applyProtection="1">
      <alignment wrapText="1"/>
      <protection locked="0"/>
    </xf>
    <xf numFmtId="2" fontId="0" fillId="7" borderId="0" xfId="0" applyNumberFormat="1" applyFont="1" applyFill="1" applyAlignment="1" applyProtection="1"/>
    <xf numFmtId="2" fontId="0" fillId="7" borderId="4" xfId="0" applyNumberFormat="1" applyFont="1" applyFill="1" applyBorder="1" applyAlignment="1" applyProtection="1"/>
    <xf numFmtId="2" fontId="0" fillId="7" borderId="5" xfId="0" applyNumberFormat="1" applyFont="1" applyFill="1" applyBorder="1" applyAlignment="1" applyProtection="1"/>
    <xf numFmtId="0" fontId="0" fillId="7" borderId="0" xfId="0" applyFont="1" applyFill="1" applyProtection="1"/>
    <xf numFmtId="0" fontId="0" fillId="7" borderId="0" xfId="0" applyNumberFormat="1" applyFont="1" applyFill="1" applyProtection="1"/>
    <xf numFmtId="11" fontId="0" fillId="7" borderId="0" xfId="0" applyNumberFormat="1" applyFont="1" applyFill="1" applyProtection="1"/>
    <xf numFmtId="167" fontId="0" fillId="7" borderId="0" xfId="0" applyNumberFormat="1" applyFont="1" applyFill="1" applyProtection="1"/>
    <xf numFmtId="0" fontId="0" fillId="7" borderId="4" xfId="0" applyNumberFormat="1" applyFont="1" applyFill="1" applyBorder="1" applyProtection="1"/>
    <xf numFmtId="11" fontId="0" fillId="7" borderId="4" xfId="0" applyNumberFormat="1" applyFont="1" applyFill="1" applyBorder="1" applyProtection="1"/>
    <xf numFmtId="2" fontId="10" fillId="7" borderId="0" xfId="0" applyNumberFormat="1" applyFont="1" applyFill="1" applyProtection="1"/>
    <xf numFmtId="1" fontId="10" fillId="7" borderId="0" xfId="0" applyNumberFormat="1" applyFont="1" applyFill="1" applyProtection="1"/>
    <xf numFmtId="167" fontId="10" fillId="7" borderId="0" xfId="0" applyNumberFormat="1" applyFont="1" applyFill="1" applyProtection="1"/>
    <xf numFmtId="0" fontId="0" fillId="7" borderId="5" xfId="0" applyNumberFormat="1" applyFont="1" applyFill="1" applyBorder="1" applyProtection="1"/>
    <xf numFmtId="11" fontId="0" fillId="7" borderId="5" xfId="0" applyNumberFormat="1" applyFont="1" applyFill="1" applyBorder="1" applyProtection="1"/>
    <xf numFmtId="1" fontId="10" fillId="7" borderId="4" xfId="0" applyNumberFormat="1" applyFont="1" applyFill="1" applyBorder="1" applyProtection="1"/>
    <xf numFmtId="0" fontId="0" fillId="7" borderId="5" xfId="0" applyFont="1" applyFill="1" applyBorder="1" applyProtection="1"/>
    <xf numFmtId="0" fontId="10" fillId="7" borderId="4" xfId="0" applyNumberFormat="1" applyFont="1" applyFill="1" applyBorder="1" applyProtection="1"/>
    <xf numFmtId="0" fontId="10" fillId="7" borderId="0" xfId="0" applyNumberFormat="1" applyFont="1" applyFill="1" applyProtection="1"/>
    <xf numFmtId="0" fontId="10" fillId="7" borderId="5" xfId="0" applyNumberFormat="1" applyFont="1" applyFill="1" applyBorder="1" applyProtection="1"/>
    <xf numFmtId="0" fontId="0" fillId="7" borderId="4" xfId="0" applyFont="1" applyFill="1" applyBorder="1" applyProtection="1"/>
    <xf numFmtId="0" fontId="0" fillId="7" borderId="5" xfId="0" applyFill="1" applyBorder="1" applyProtection="1">
      <protection locked="0"/>
    </xf>
    <xf numFmtId="0" fontId="0" fillId="7" borderId="11" xfId="0" applyFill="1" applyBorder="1" applyProtection="1">
      <protection locked="0"/>
    </xf>
    <xf numFmtId="0" fontId="0" fillId="0" borderId="0" xfId="0" applyFill="1" applyBorder="1" applyProtection="1"/>
    <xf numFmtId="2" fontId="0" fillId="7" borderId="5" xfId="0" applyNumberFormat="1" applyFill="1" applyBorder="1" applyProtection="1"/>
    <xf numFmtId="169" fontId="0" fillId="7" borderId="4" xfId="0" applyNumberFormat="1" applyFill="1" applyBorder="1" applyProtection="1"/>
    <xf numFmtId="2" fontId="0" fillId="7" borderId="0" xfId="0" applyNumberFormat="1" applyFill="1" applyBorder="1" applyProtection="1"/>
    <xf numFmtId="2" fontId="0" fillId="7" borderId="3" xfId="0" applyNumberFormat="1" applyFill="1" applyBorder="1" applyProtection="1"/>
    <xf numFmtId="2" fontId="0" fillId="7" borderId="10" xfId="0" applyNumberFormat="1" applyFill="1" applyBorder="1" applyProtection="1"/>
    <xf numFmtId="2" fontId="2" fillId="0" borderId="0" xfId="0" applyNumberFormat="1" applyFont="1" applyProtection="1"/>
    <xf numFmtId="0" fontId="2" fillId="0" borderId="0" xfId="0" applyNumberFormat="1" applyFont="1" applyProtection="1"/>
    <xf numFmtId="169" fontId="2" fillId="0" borderId="0" xfId="0" applyNumberFormat="1" applyFont="1" applyProtection="1"/>
    <xf numFmtId="2" fontId="0" fillId="7" borderId="14" xfId="0" applyNumberFormat="1" applyFill="1" applyBorder="1" applyProtection="1"/>
    <xf numFmtId="2" fontId="0" fillId="0" borderId="0" xfId="0" applyNumberFormat="1" applyFont="1" applyProtection="1"/>
    <xf numFmtId="2" fontId="0" fillId="0" borderId="0" xfId="0" applyNumberFormat="1" applyProtection="1"/>
    <xf numFmtId="0" fontId="0" fillId="0" borderId="0" xfId="0" applyNumberFormat="1" applyProtection="1"/>
    <xf numFmtId="1" fontId="0" fillId="7" borderId="5" xfId="0" applyNumberFormat="1" applyFill="1" applyBorder="1" applyProtection="1"/>
    <xf numFmtId="1" fontId="0" fillId="7" borderId="0" xfId="0" applyNumberFormat="1" applyFill="1" applyProtection="1"/>
    <xf numFmtId="164" fontId="0" fillId="0" borderId="0" xfId="0" applyNumberFormat="1" applyProtection="1"/>
    <xf numFmtId="165" fontId="0" fillId="0" borderId="0" xfId="0" applyNumberFormat="1" applyProtection="1"/>
    <xf numFmtId="0" fontId="0" fillId="0" borderId="0" xfId="0" applyNumberFormat="1" applyFont="1" applyProtection="1"/>
    <xf numFmtId="0" fontId="0" fillId="7" borderId="11" xfId="0" applyFill="1" applyBorder="1" applyAlignment="1" applyProtection="1">
      <alignment horizontal="center"/>
      <protection locked="0"/>
    </xf>
    <xf numFmtId="11" fontId="0" fillId="7" borderId="11" xfId="0" applyNumberFormat="1" applyFill="1" applyBorder="1" applyProtection="1">
      <protection locked="0"/>
    </xf>
    <xf numFmtId="0" fontId="0" fillId="7" borderId="0" xfId="0" applyFill="1" applyBorder="1" applyAlignment="1" applyProtection="1">
      <alignment horizontal="center"/>
    </xf>
    <xf numFmtId="0" fontId="0" fillId="7" borderId="11" xfId="0" applyFill="1" applyBorder="1" applyAlignment="1" applyProtection="1">
      <alignment horizontal="center"/>
    </xf>
    <xf numFmtId="0" fontId="0" fillId="7" borderId="10" xfId="0" applyFill="1" applyBorder="1" applyAlignment="1" applyProtection="1">
      <alignment horizontal="center"/>
    </xf>
    <xf numFmtId="2" fontId="0" fillId="7" borderId="11" xfId="0" applyNumberFormat="1" applyFill="1" applyBorder="1" applyProtection="1"/>
    <xf numFmtId="0" fontId="0" fillId="7" borderId="0" xfId="0" applyNumberFormat="1" applyFill="1" applyBorder="1" applyProtection="1"/>
    <xf numFmtId="0" fontId="0" fillId="7" borderId="11" xfId="0" applyNumberFormat="1" applyFill="1" applyBorder="1" applyProtection="1"/>
    <xf numFmtId="11" fontId="0" fillId="7" borderId="11" xfId="0" applyNumberFormat="1" applyFill="1" applyBorder="1" applyProtection="1"/>
    <xf numFmtId="0" fontId="0" fillId="7" borderId="10" xfId="0" applyNumberFormat="1" applyFill="1" applyBorder="1" applyProtection="1"/>
    <xf numFmtId="0" fontId="8" fillId="0" borderId="0" xfId="3" applyFill="1" applyAlignment="1" applyProtection="1">
      <alignment horizontal="center"/>
      <protection locked="0"/>
    </xf>
    <xf numFmtId="2" fontId="0" fillId="7" borderId="4" xfId="0" applyNumberFormat="1" applyFill="1" applyBorder="1" applyAlignment="1" applyProtection="1"/>
    <xf numFmtId="2" fontId="0" fillId="7" borderId="0" xfId="0" applyNumberFormat="1" applyFill="1" applyAlignment="1" applyProtection="1"/>
    <xf numFmtId="2" fontId="0" fillId="7" borderId="11" xfId="0" applyNumberFormat="1" applyFill="1" applyBorder="1" applyAlignment="1" applyProtection="1"/>
    <xf numFmtId="2" fontId="0" fillId="7" borderId="0" xfId="0" applyNumberFormat="1" applyFill="1" applyBorder="1" applyAlignment="1" applyProtection="1"/>
    <xf numFmtId="2" fontId="0" fillId="7" borderId="10" xfId="0" applyNumberFormat="1" applyFill="1" applyBorder="1" applyAlignment="1" applyProtection="1"/>
    <xf numFmtId="0" fontId="0" fillId="7" borderId="0" xfId="0" applyFont="1" applyFill="1" applyAlignment="1" applyProtection="1">
      <alignment horizontal="center"/>
      <protection locked="0"/>
    </xf>
    <xf numFmtId="0" fontId="10" fillId="7" borderId="0" xfId="0" applyFont="1" applyFill="1" applyProtection="1">
      <protection locked="0"/>
    </xf>
    <xf numFmtId="1" fontId="0" fillId="0" borderId="0" xfId="0" applyNumberFormat="1" applyFont="1" applyProtection="1">
      <protection locked="0"/>
    </xf>
    <xf numFmtId="2" fontId="0" fillId="7" borderId="0" xfId="0" applyNumberFormat="1" applyFont="1" applyFill="1" applyProtection="1"/>
    <xf numFmtId="2" fontId="0" fillId="7" borderId="11" xfId="0" applyNumberFormat="1" applyFont="1" applyFill="1" applyBorder="1" applyProtection="1"/>
    <xf numFmtId="2" fontId="0" fillId="7" borderId="0" xfId="0" applyNumberFormat="1" applyFont="1" applyFill="1" applyBorder="1" applyProtection="1"/>
    <xf numFmtId="2" fontId="0" fillId="7" borderId="4" xfId="0" applyNumberFormat="1" applyFont="1" applyFill="1" applyBorder="1" applyProtection="1"/>
    <xf numFmtId="0" fontId="0" fillId="7" borderId="11" xfId="0" applyFont="1" applyFill="1" applyBorder="1" applyProtection="1"/>
    <xf numFmtId="0" fontId="10" fillId="7" borderId="0" xfId="0" applyNumberFormat="1" applyFont="1" applyFill="1" applyBorder="1" applyProtection="1"/>
    <xf numFmtId="11" fontId="0" fillId="7" borderId="0" xfId="0" applyNumberFormat="1" applyFont="1" applyFill="1" applyBorder="1" applyProtection="1"/>
    <xf numFmtId="0" fontId="10" fillId="7" borderId="11" xfId="0" applyNumberFormat="1" applyFont="1" applyFill="1" applyBorder="1" applyProtection="1"/>
    <xf numFmtId="11" fontId="0" fillId="7" borderId="11" xfId="0" applyNumberFormat="1" applyFont="1" applyFill="1" applyBorder="1" applyProtection="1"/>
    <xf numFmtId="0" fontId="10" fillId="7" borderId="4" xfId="0" applyFont="1" applyFill="1" applyBorder="1" applyProtection="1"/>
    <xf numFmtId="0" fontId="10" fillId="7" borderId="11" xfId="0" applyFont="1" applyFill="1" applyBorder="1" applyProtection="1"/>
    <xf numFmtId="0" fontId="0" fillId="7" borderId="0" xfId="0" applyFont="1" applyFill="1" applyBorder="1" applyProtection="1"/>
    <xf numFmtId="2" fontId="1" fillId="7" borderId="0" xfId="0" applyNumberFormat="1" applyFont="1" applyFill="1" applyProtection="1"/>
    <xf numFmtId="2" fontId="1" fillId="7" borderId="11" xfId="0" applyNumberFormat="1" applyFont="1" applyFill="1" applyBorder="1" applyProtection="1"/>
    <xf numFmtId="2" fontId="1" fillId="7" borderId="0" xfId="0" applyNumberFormat="1" applyFont="1" applyFill="1" applyBorder="1" applyProtection="1"/>
    <xf numFmtId="0" fontId="0" fillId="7" borderId="0" xfId="0" applyFill="1" applyAlignment="1" applyProtection="1">
      <protection locked="0"/>
    </xf>
    <xf numFmtId="0" fontId="7" fillId="7" borderId="0" xfId="0" applyFont="1" applyFill="1" applyAlignment="1" applyProtection="1">
      <alignment horizontal="center"/>
      <protection locked="0"/>
    </xf>
    <xf numFmtId="0" fontId="7" fillId="7" borderId="0" xfId="0" applyFont="1" applyFill="1" applyAlignment="1" applyProtection="1">
      <protection locked="0"/>
    </xf>
    <xf numFmtId="0" fontId="0" fillId="7" borderId="5" xfId="0" applyNumberFormat="1" applyFill="1" applyBorder="1" applyProtection="1">
      <protection locked="0"/>
    </xf>
    <xf numFmtId="0" fontId="0" fillId="0" borderId="4" xfId="0" applyBorder="1" applyAlignment="1" applyProtection="1">
      <protection locked="0"/>
    </xf>
    <xf numFmtId="2" fontId="0" fillId="7" borderId="5" xfId="0" applyNumberFormat="1" applyFill="1" applyBorder="1" applyAlignment="1" applyProtection="1"/>
    <xf numFmtId="0" fontId="8" fillId="7" borderId="4" xfId="3" applyFill="1" applyBorder="1" applyProtection="1"/>
    <xf numFmtId="0" fontId="8" fillId="7" borderId="0" xfId="3" applyFill="1" applyProtection="1"/>
    <xf numFmtId="0" fontId="8" fillId="7" borderId="5" xfId="3" applyFill="1" applyBorder="1" applyProtection="1"/>
    <xf numFmtId="0" fontId="8" fillId="7" borderId="0" xfId="3" applyFill="1" applyBorder="1" applyProtection="1"/>
    <xf numFmtId="0" fontId="0" fillId="7" borderId="5" xfId="0" applyNumberFormat="1" applyFill="1" applyBorder="1" applyProtection="1"/>
    <xf numFmtId="0" fontId="1" fillId="7" borderId="0" xfId="0" applyNumberFormat="1" applyFont="1" applyFill="1" applyProtection="1"/>
    <xf numFmtId="11" fontId="1" fillId="7" borderId="0" xfId="0" applyNumberFormat="1" applyFont="1" applyFill="1" applyProtection="1"/>
    <xf numFmtId="0" fontId="0" fillId="0" borderId="5" xfId="0" applyBorder="1" applyAlignment="1" applyProtection="1">
      <protection locked="0"/>
    </xf>
    <xf numFmtId="0" fontId="2" fillId="7" borderId="0" xfId="0" applyNumberFormat="1" applyFont="1" applyFill="1" applyProtection="1">
      <protection locked="0"/>
    </xf>
    <xf numFmtId="0" fontId="0" fillId="0" borderId="0" xfId="0" applyAlignment="1" applyProtection="1"/>
    <xf numFmtId="0" fontId="1" fillId="0" borderId="0" xfId="0" applyFont="1" applyAlignment="1" applyProtection="1">
      <alignment wrapText="1"/>
      <protection locked="0"/>
    </xf>
    <xf numFmtId="0" fontId="2" fillId="7" borderId="4" xfId="0" applyFont="1" applyFill="1" applyBorder="1" applyProtection="1">
      <protection locked="0"/>
    </xf>
    <xf numFmtId="0" fontId="2" fillId="7" borderId="4" xfId="0" applyNumberFormat="1" applyFont="1" applyFill="1" applyBorder="1" applyProtection="1">
      <protection locked="0"/>
    </xf>
    <xf numFmtId="11" fontId="2" fillId="7" borderId="4" xfId="0" applyNumberFormat="1" applyFont="1" applyFill="1" applyBorder="1" applyProtection="1">
      <protection locked="0"/>
    </xf>
    <xf numFmtId="2" fontId="0" fillId="7" borderId="5" xfId="0" applyNumberFormat="1" applyFont="1" applyFill="1" applyBorder="1" applyProtection="1"/>
    <xf numFmtId="0" fontId="6" fillId="0" borderId="0" xfId="0" applyFont="1" applyAlignment="1" applyProtection="1">
      <alignment vertical="center"/>
      <protection locked="0"/>
    </xf>
    <xf numFmtId="2" fontId="2" fillId="0" borderId="4" xfId="0" applyNumberFormat="1" applyFont="1" applyFill="1" applyBorder="1" applyAlignment="1" applyProtection="1">
      <alignment horizontal="center"/>
      <protection locked="0"/>
    </xf>
    <xf numFmtId="2" fontId="2" fillId="0" borderId="0" xfId="0" applyNumberFormat="1" applyFont="1" applyFill="1" applyAlignment="1" applyProtection="1">
      <alignment horizontal="center"/>
      <protection locked="0"/>
    </xf>
    <xf numFmtId="0" fontId="1" fillId="7" borderId="0" xfId="0" applyFont="1" applyFill="1" applyProtection="1"/>
    <xf numFmtId="0" fontId="0" fillId="7" borderId="3" xfId="0" applyNumberFormat="1" applyFill="1" applyBorder="1" applyProtection="1"/>
    <xf numFmtId="0" fontId="0" fillId="0" borderId="11" xfId="0" applyBorder="1" applyProtection="1"/>
    <xf numFmtId="0" fontId="0" fillId="0" borderId="11" xfId="0" applyNumberFormat="1" applyBorder="1" applyProtection="1"/>
    <xf numFmtId="0" fontId="10" fillId="7" borderId="4" xfId="7" applyNumberFormat="1" applyFont="1" applyFill="1" applyBorder="1" applyProtection="1"/>
    <xf numFmtId="0" fontId="10" fillId="7" borderId="0" xfId="7" applyNumberFormat="1" applyFont="1" applyFill="1" applyProtection="1"/>
    <xf numFmtId="2" fontId="2" fillId="7" borderId="4" xfId="0" applyNumberFormat="1" applyFont="1" applyFill="1" applyBorder="1" applyProtection="1">
      <protection locked="0"/>
    </xf>
    <xf numFmtId="164" fontId="2" fillId="7" borderId="0" xfId="0" applyNumberFormat="1" applyFont="1" applyFill="1" applyProtection="1">
      <protection locked="0"/>
    </xf>
    <xf numFmtId="2" fontId="10" fillId="7" borderId="4" xfId="7" applyNumberFormat="1" applyFont="1" applyFill="1" applyBorder="1" applyProtection="1"/>
    <xf numFmtId="0" fontId="0" fillId="11" borderId="0" xfId="0" applyFont="1" applyFill="1" applyProtection="1">
      <protection locked="0"/>
    </xf>
    <xf numFmtId="0" fontId="5" fillId="0" borderId="0" xfId="0" applyFont="1" applyProtection="1">
      <protection locked="0"/>
    </xf>
    <xf numFmtId="0" fontId="0" fillId="0" borderId="0" xfId="0" applyNumberFormat="1" applyFill="1" applyProtection="1"/>
    <xf numFmtId="11" fontId="10" fillId="7" borderId="0" xfId="0" applyNumberFormat="1" applyFont="1" applyFill="1" applyProtection="1"/>
    <xf numFmtId="0" fontId="0" fillId="0" borderId="0" xfId="0" applyNumberFormat="1" applyAlignment="1" applyProtection="1">
      <protection locked="0"/>
    </xf>
    <xf numFmtId="0" fontId="2" fillId="0" borderId="4" xfId="0" applyNumberFormat="1" applyFont="1" applyBorder="1" applyAlignment="1" applyProtection="1">
      <protection locked="0"/>
    </xf>
    <xf numFmtId="0" fontId="2" fillId="0" borderId="4" xfId="0" applyNumberFormat="1" applyFont="1" applyBorder="1" applyProtection="1">
      <protection locked="0"/>
    </xf>
    <xf numFmtId="0" fontId="2" fillId="0" borderId="0" xfId="0" applyNumberFormat="1" applyFont="1" applyAlignment="1" applyProtection="1">
      <protection locked="0"/>
    </xf>
    <xf numFmtId="0" fontId="0" fillId="7" borderId="4" xfId="0" applyNumberFormat="1" applyFill="1" applyBorder="1" applyAlignment="1" applyProtection="1"/>
    <xf numFmtId="0" fontId="0" fillId="7" borderId="0" xfId="0" applyNumberFormat="1" applyFill="1" applyAlignment="1" applyProtection="1"/>
    <xf numFmtId="0" fontId="0" fillId="0" borderId="0" xfId="0" applyNumberFormat="1" applyAlignment="1" applyProtection="1"/>
    <xf numFmtId="0" fontId="8" fillId="5" borderId="0" xfId="4" applyNumberFormat="1" applyProtection="1">
      <protection locked="0"/>
    </xf>
    <xf numFmtId="0" fontId="8" fillId="5" borderId="5" xfId="4" applyNumberFormat="1" applyBorder="1" applyProtection="1">
      <protection locked="0"/>
    </xf>
    <xf numFmtId="0" fontId="8" fillId="5" borderId="4" xfId="4" applyNumberFormat="1" applyBorder="1" applyProtection="1">
      <protection locked="0"/>
    </xf>
    <xf numFmtId="0" fontId="2" fillId="5" borderId="0" xfId="4" applyNumberFormat="1" applyFont="1" applyProtection="1">
      <protection locked="0"/>
    </xf>
    <xf numFmtId="170" fontId="0" fillId="0" borderId="0" xfId="0" applyNumberFormat="1" applyProtection="1">
      <protection locked="0"/>
    </xf>
    <xf numFmtId="170" fontId="0" fillId="0" borderId="4" xfId="0" applyNumberFormat="1" applyBorder="1" applyProtection="1">
      <protection locked="0"/>
    </xf>
    <xf numFmtId="0" fontId="18" fillId="0" borderId="0" xfId="0" applyFont="1" applyAlignment="1" applyProtection="1">
      <alignment horizontal="center" vertical="center"/>
      <protection locked="0"/>
    </xf>
    <xf numFmtId="0" fontId="18" fillId="0" borderId="0" xfId="0" applyFont="1" applyAlignment="1" applyProtection="1">
      <alignment vertical="center"/>
      <protection locked="0"/>
    </xf>
    <xf numFmtId="0" fontId="18" fillId="0" borderId="0" xfId="0" applyFont="1" applyProtection="1">
      <protection locked="0"/>
    </xf>
    <xf numFmtId="0" fontId="18" fillId="14" borderId="0" xfId="0" applyFont="1" applyFill="1" applyProtection="1">
      <protection locked="0"/>
    </xf>
    <xf numFmtId="2" fontId="18" fillId="7" borderId="0" xfId="0" applyNumberFormat="1" applyFont="1" applyFill="1" applyAlignment="1" applyProtection="1"/>
    <xf numFmtId="0" fontId="18" fillId="4" borderId="0" xfId="3" applyFont="1" applyProtection="1">
      <protection locked="0"/>
    </xf>
    <xf numFmtId="11" fontId="18" fillId="0" borderId="0" xfId="0" applyNumberFormat="1" applyFont="1" applyProtection="1">
      <protection locked="0"/>
    </xf>
    <xf numFmtId="11" fontId="18" fillId="5" borderId="0" xfId="4" applyNumberFormat="1" applyFont="1" applyProtection="1">
      <protection locked="0"/>
    </xf>
    <xf numFmtId="0" fontId="18" fillId="7" borderId="0" xfId="0" applyNumberFormat="1" applyFont="1" applyFill="1" applyProtection="1"/>
    <xf numFmtId="11" fontId="18" fillId="7" borderId="0" xfId="0" applyNumberFormat="1" applyFont="1" applyFill="1" applyProtection="1"/>
    <xf numFmtId="0" fontId="18" fillId="10" borderId="0" xfId="0" applyNumberFormat="1" applyFont="1" applyFill="1" applyProtection="1">
      <protection locked="0"/>
    </xf>
    <xf numFmtId="0" fontId="18" fillId="0" borderId="0" xfId="0" applyNumberFormat="1" applyFont="1" applyFill="1" applyProtection="1">
      <protection locked="0"/>
    </xf>
    <xf numFmtId="0" fontId="19" fillId="7" borderId="0" xfId="0" applyNumberFormat="1" applyFont="1" applyFill="1" applyProtection="1"/>
    <xf numFmtId="0" fontId="18" fillId="15" borderId="0" xfId="0" applyFont="1" applyFill="1" applyProtection="1">
      <protection locked="0"/>
    </xf>
    <xf numFmtId="0" fontId="18" fillId="0" borderId="0" xfId="0" applyFont="1"/>
    <xf numFmtId="0" fontId="19" fillId="0" borderId="0" xfId="0" applyFont="1" applyProtection="1">
      <protection locked="0"/>
    </xf>
    <xf numFmtId="0" fontId="0" fillId="0" borderId="5" xfId="5" applyFont="1" applyFill="1" applyBorder="1" applyAlignment="1" applyProtection="1">
      <protection locked="0"/>
    </xf>
    <xf numFmtId="167" fontId="0" fillId="11" borderId="0" xfId="0" applyNumberFormat="1" applyFill="1" applyProtection="1">
      <protection locked="0"/>
    </xf>
    <xf numFmtId="0" fontId="20" fillId="0" borderId="0" xfId="0" applyFont="1" applyAlignment="1" applyProtection="1">
      <alignment vertical="center" wrapText="1"/>
      <protection locked="0"/>
    </xf>
    <xf numFmtId="2" fontId="18" fillId="11" borderId="0" xfId="0" applyNumberFormat="1" applyFont="1" applyFill="1" applyProtection="1">
      <protection locked="0"/>
    </xf>
    <xf numFmtId="2" fontId="18" fillId="0" borderId="0" xfId="0" applyNumberFormat="1" applyFont="1" applyFill="1" applyBorder="1" applyProtection="1">
      <protection locked="0"/>
    </xf>
    <xf numFmtId="0" fontId="21" fillId="0" borderId="0" xfId="0" applyFont="1" applyAlignment="1" applyProtection="1">
      <alignment vertical="center"/>
      <protection locked="0"/>
    </xf>
    <xf numFmtId="2" fontId="8" fillId="0" borderId="0" xfId="3" applyNumberFormat="1" applyFill="1" applyProtection="1">
      <protection locked="0"/>
    </xf>
    <xf numFmtId="2" fontId="0" fillId="16" borderId="4" xfId="0" applyNumberFormat="1" applyFill="1" applyBorder="1" applyProtection="1">
      <protection locked="0"/>
    </xf>
    <xf numFmtId="0" fontId="0" fillId="16" borderId="0" xfId="0" applyFill="1" applyProtection="1">
      <protection locked="0"/>
    </xf>
    <xf numFmtId="0" fontId="0" fillId="16" borderId="11" xfId="0" applyFill="1" applyBorder="1" applyProtection="1">
      <protection locked="0"/>
    </xf>
    <xf numFmtId="0" fontId="0" fillId="16" borderId="10" xfId="0" applyFill="1" applyBorder="1" applyProtection="1">
      <protection locked="0"/>
    </xf>
    <xf numFmtId="0" fontId="8" fillId="4" borderId="4" xfId="3" applyBorder="1" applyAlignment="1" applyProtection="1">
      <alignment horizontal="center"/>
      <protection locked="0"/>
    </xf>
    <xf numFmtId="164" fontId="0" fillId="11" borderId="0" xfId="0" applyNumberFormat="1" applyFill="1" applyBorder="1" applyProtection="1">
      <protection locked="0"/>
    </xf>
    <xf numFmtId="0" fontId="8" fillId="16" borderId="4" xfId="3" applyFill="1" applyBorder="1" applyProtection="1">
      <protection locked="0"/>
    </xf>
    <xf numFmtId="0" fontId="8" fillId="16" borderId="0" xfId="3" applyFill="1" applyProtection="1">
      <protection locked="0"/>
    </xf>
    <xf numFmtId="0" fontId="0" fillId="16" borderId="0" xfId="3" applyFont="1" applyFill="1" applyProtection="1">
      <protection locked="0"/>
    </xf>
    <xf numFmtId="0" fontId="0" fillId="16" borderId="5" xfId="3" applyFont="1" applyFill="1" applyBorder="1" applyProtection="1">
      <protection locked="0"/>
    </xf>
    <xf numFmtId="0" fontId="0" fillId="0" borderId="0" xfId="5" applyFont="1" applyFill="1" applyAlignment="1" applyProtection="1">
      <alignment wrapText="1"/>
      <protection locked="0"/>
    </xf>
    <xf numFmtId="0" fontId="0" fillId="0" borderId="0" xfId="0" applyFont="1" applyAlignment="1" applyProtection="1">
      <alignment vertical="center" wrapText="1"/>
      <protection locked="0"/>
    </xf>
    <xf numFmtId="11" fontId="0" fillId="11" borderId="0" xfId="0" applyNumberFormat="1" applyFont="1" applyFill="1" applyProtection="1">
      <protection locked="0"/>
    </xf>
    <xf numFmtId="0" fontId="8" fillId="16" borderId="5" xfId="3" applyFill="1" applyBorder="1" applyProtection="1">
      <protection locked="0"/>
    </xf>
    <xf numFmtId="2" fontId="8" fillId="0" borderId="4" xfId="3" applyNumberFormat="1" applyFill="1" applyBorder="1" applyProtection="1">
      <protection locked="0"/>
    </xf>
    <xf numFmtId="0" fontId="0" fillId="0" borderId="0" xfId="0" applyNumberFormat="1" applyBorder="1" applyProtection="1">
      <protection locked="0"/>
    </xf>
    <xf numFmtId="0" fontId="8" fillId="5" borderId="0" xfId="4" applyNumberFormat="1" applyBorder="1" applyProtection="1">
      <protection locked="0"/>
    </xf>
    <xf numFmtId="0" fontId="0" fillId="8" borderId="5" xfId="0" applyFill="1" applyBorder="1"/>
    <xf numFmtId="0" fontId="0" fillId="11" borderId="5" xfId="0" applyFill="1" applyBorder="1"/>
    <xf numFmtId="0" fontId="0" fillId="17" borderId="5" xfId="0" applyFill="1" applyBorder="1"/>
    <xf numFmtId="2" fontId="8" fillId="4" borderId="5" xfId="3" applyNumberFormat="1" applyBorder="1" applyProtection="1">
      <protection locked="0"/>
    </xf>
    <xf numFmtId="2" fontId="8" fillId="4" borderId="4" xfId="3" applyNumberFormat="1" applyBorder="1" applyProtection="1">
      <protection locked="0"/>
    </xf>
    <xf numFmtId="0" fontId="0" fillId="16" borderId="5" xfId="0" applyFill="1" applyBorder="1" applyProtection="1">
      <protection locked="0"/>
    </xf>
    <xf numFmtId="2" fontId="0" fillId="10" borderId="5" xfId="0" applyNumberFormat="1" applyFill="1" applyBorder="1" applyProtection="1">
      <protection locked="0"/>
    </xf>
    <xf numFmtId="169" fontId="0" fillId="10" borderId="4" xfId="0" applyNumberFormat="1" applyFill="1" applyBorder="1" applyProtection="1">
      <protection locked="0"/>
    </xf>
    <xf numFmtId="2" fontId="0" fillId="10" borderId="10" xfId="0" applyNumberFormat="1" applyFill="1" applyBorder="1" applyProtection="1">
      <protection locked="0"/>
    </xf>
    <xf numFmtId="166" fontId="0" fillId="0" borderId="0" xfId="0" applyNumberFormat="1" applyProtection="1">
      <protection locked="0"/>
    </xf>
    <xf numFmtId="11" fontId="10" fillId="8" borderId="4" xfId="0" applyNumberFormat="1" applyFont="1" applyFill="1" applyBorder="1" applyProtection="1">
      <protection locked="0"/>
    </xf>
    <xf numFmtId="0" fontId="10" fillId="8" borderId="0" xfId="0" applyFont="1" applyFill="1" applyProtection="1">
      <protection locked="0"/>
    </xf>
    <xf numFmtId="11" fontId="10" fillId="5" borderId="0" xfId="4" applyNumberFormat="1" applyFont="1" applyProtection="1">
      <protection locked="0"/>
    </xf>
    <xf numFmtId="11" fontId="10" fillId="5" borderId="5" xfId="4" applyNumberFormat="1" applyFont="1" applyBorder="1" applyProtection="1">
      <protection locked="0"/>
    </xf>
    <xf numFmtId="11" fontId="0" fillId="0" borderId="0" xfId="0" applyNumberFormat="1" applyFill="1" applyAlignment="1" applyProtection="1">
      <alignment horizontal="right"/>
      <protection locked="0"/>
    </xf>
    <xf numFmtId="11" fontId="4" fillId="0" borderId="0" xfId="0" applyNumberFormat="1" applyFont="1" applyFill="1" applyProtection="1">
      <protection locked="0"/>
    </xf>
    <xf numFmtId="0" fontId="12" fillId="0" borderId="0" xfId="0" applyFont="1" applyFill="1" applyProtection="1">
      <protection locked="0"/>
    </xf>
    <xf numFmtId="0" fontId="0" fillId="11" borderId="0" xfId="0" applyFill="1" applyBorder="1"/>
    <xf numFmtId="0" fontId="0" fillId="11" borderId="0" xfId="0" applyFont="1" applyFill="1"/>
    <xf numFmtId="0" fontId="0" fillId="11" borderId="5" xfId="0" applyFont="1" applyFill="1" applyBorder="1"/>
    <xf numFmtId="0" fontId="0" fillId="11" borderId="4" xfId="0" applyFont="1" applyFill="1" applyBorder="1" applyProtection="1">
      <protection locked="0"/>
    </xf>
    <xf numFmtId="0" fontId="0" fillId="10" borderId="0" xfId="0" applyFont="1" applyFill="1"/>
    <xf numFmtId="0" fontId="18" fillId="0" borderId="4" xfId="0" applyFont="1" applyBorder="1" applyProtection="1">
      <protection locked="0"/>
    </xf>
    <xf numFmtId="0" fontId="18" fillId="14" borderId="4" xfId="0" applyFont="1" applyFill="1" applyBorder="1" applyProtection="1">
      <protection locked="0"/>
    </xf>
    <xf numFmtId="2" fontId="18" fillId="7" borderId="4" xfId="0" applyNumberFormat="1" applyFont="1" applyFill="1" applyBorder="1" applyAlignment="1" applyProtection="1"/>
    <xf numFmtId="0" fontId="18" fillId="4" borderId="4" xfId="3" applyFont="1" applyBorder="1" applyProtection="1">
      <protection locked="0"/>
    </xf>
    <xf numFmtId="11" fontId="18" fillId="5" borderId="4" xfId="4" applyNumberFormat="1" applyFont="1" applyBorder="1" applyProtection="1">
      <protection locked="0"/>
    </xf>
    <xf numFmtId="0" fontId="18" fillId="7" borderId="4" xfId="0" applyNumberFormat="1" applyFont="1" applyFill="1" applyBorder="1" applyProtection="1"/>
    <xf numFmtId="11" fontId="18" fillId="7" borderId="4" xfId="0" applyNumberFormat="1" applyFont="1" applyFill="1" applyBorder="1" applyProtection="1"/>
    <xf numFmtId="2" fontId="18" fillId="11" borderId="4" xfId="0" applyNumberFormat="1" applyFont="1" applyFill="1" applyBorder="1" applyProtection="1">
      <protection locked="0"/>
    </xf>
    <xf numFmtId="2" fontId="18" fillId="0" borderId="4" xfId="0" applyNumberFormat="1" applyFont="1" applyFill="1" applyBorder="1" applyProtection="1">
      <protection locked="0"/>
    </xf>
    <xf numFmtId="0" fontId="18" fillId="11" borderId="4" xfId="0" applyNumberFormat="1" applyFont="1" applyFill="1" applyBorder="1" applyProtection="1">
      <protection locked="0"/>
    </xf>
    <xf numFmtId="0" fontId="18" fillId="0" borderId="4" xfId="0" applyNumberFormat="1" applyFont="1" applyFill="1" applyBorder="1" applyProtection="1">
      <protection locked="0"/>
    </xf>
    <xf numFmtId="0" fontId="19" fillId="7" borderId="4" xfId="7" applyNumberFormat="1" applyFont="1" applyFill="1" applyBorder="1" applyProtection="1"/>
    <xf numFmtId="0" fontId="18" fillId="11" borderId="4" xfId="0" applyFont="1" applyFill="1" applyBorder="1" applyProtection="1">
      <protection locked="0"/>
    </xf>
    <xf numFmtId="0" fontId="18" fillId="15" borderId="4" xfId="0" applyFont="1" applyFill="1" applyBorder="1" applyProtection="1">
      <protection locked="0"/>
    </xf>
    <xf numFmtId="0" fontId="18" fillId="0" borderId="4" xfId="0" applyFont="1" applyBorder="1"/>
    <xf numFmtId="0" fontId="18" fillId="0" borderId="5" xfId="0" applyFont="1" applyBorder="1" applyProtection="1">
      <protection locked="0"/>
    </xf>
    <xf numFmtId="0" fontId="18" fillId="14" borderId="5" xfId="0" applyFont="1" applyFill="1" applyBorder="1" applyProtection="1">
      <protection locked="0"/>
    </xf>
    <xf numFmtId="2" fontId="18" fillId="7" borderId="5" xfId="0" applyNumberFormat="1" applyFont="1" applyFill="1" applyBorder="1" applyAlignment="1" applyProtection="1"/>
    <xf numFmtId="0" fontId="18" fillId="4" borderId="5" xfId="3" applyFont="1" applyBorder="1" applyProtection="1">
      <protection locked="0"/>
    </xf>
    <xf numFmtId="11" fontId="18" fillId="5" borderId="5" xfId="4" applyNumberFormat="1" applyFont="1" applyBorder="1" applyProtection="1">
      <protection locked="0"/>
    </xf>
    <xf numFmtId="0" fontId="18" fillId="7" borderId="5" xfId="0" applyNumberFormat="1" applyFont="1" applyFill="1" applyBorder="1" applyProtection="1"/>
    <xf numFmtId="11" fontId="18" fillId="7" borderId="5" xfId="0" applyNumberFormat="1" applyFont="1" applyFill="1" applyBorder="1" applyProtection="1"/>
    <xf numFmtId="2" fontId="18" fillId="11" borderId="5" xfId="0" applyNumberFormat="1" applyFont="1" applyFill="1" applyBorder="1" applyProtection="1">
      <protection locked="0"/>
    </xf>
    <xf numFmtId="2" fontId="18" fillId="0" borderId="5" xfId="0" applyNumberFormat="1" applyFont="1" applyFill="1" applyBorder="1" applyProtection="1">
      <protection locked="0"/>
    </xf>
    <xf numFmtId="0" fontId="18" fillId="11" borderId="5" xfId="0" applyNumberFormat="1" applyFont="1" applyFill="1" applyBorder="1" applyProtection="1">
      <protection locked="0"/>
    </xf>
    <xf numFmtId="0" fontId="18" fillId="0" borderId="5" xfId="0" applyNumberFormat="1" applyFont="1" applyFill="1" applyBorder="1" applyProtection="1">
      <protection locked="0"/>
    </xf>
    <xf numFmtId="0" fontId="19" fillId="7" borderId="5" xfId="7" applyNumberFormat="1" applyFont="1" applyFill="1" applyBorder="1" applyProtection="1"/>
    <xf numFmtId="0" fontId="18" fillId="15" borderId="5" xfId="0" applyFont="1" applyFill="1" applyBorder="1" applyProtection="1">
      <protection locked="0"/>
    </xf>
    <xf numFmtId="0" fontId="18" fillId="0" borderId="5" xfId="0" applyFont="1" applyBorder="1"/>
    <xf numFmtId="2" fontId="0" fillId="18" borderId="0" xfId="0" applyNumberFormat="1" applyFill="1" applyProtection="1">
      <protection locked="0"/>
    </xf>
    <xf numFmtId="0" fontId="0" fillId="11" borderId="4" xfId="0" applyFill="1" applyBorder="1"/>
    <xf numFmtId="2" fontId="0" fillId="19" borderId="4" xfId="0" applyNumberFormat="1" applyFill="1" applyBorder="1" applyProtection="1">
      <protection locked="0"/>
    </xf>
    <xf numFmtId="11" fontId="0" fillId="19" borderId="4" xfId="0" applyNumberFormat="1" applyFill="1" applyBorder="1" applyProtection="1">
      <protection locked="0"/>
    </xf>
    <xf numFmtId="0" fontId="0" fillId="19" borderId="5" xfId="0" applyNumberFormat="1" applyFill="1" applyBorder="1" applyProtection="1">
      <protection locked="0"/>
    </xf>
    <xf numFmtId="0" fontId="0" fillId="19" borderId="4" xfId="0" applyNumberFormat="1" applyFill="1" applyBorder="1" applyProtection="1">
      <protection locked="0"/>
    </xf>
    <xf numFmtId="2" fontId="0" fillId="19" borderId="5" xfId="0" applyNumberFormat="1" applyFill="1" applyBorder="1" applyProtection="1">
      <protection locked="0"/>
    </xf>
    <xf numFmtId="2" fontId="0" fillId="19" borderId="0" xfId="0" applyNumberFormat="1" applyFill="1" applyProtection="1">
      <protection locked="0"/>
    </xf>
    <xf numFmtId="0" fontId="10" fillId="7" borderId="5" xfId="7" applyNumberFormat="1" applyFont="1" applyFill="1" applyBorder="1" applyProtection="1"/>
    <xf numFmtId="2" fontId="0" fillId="19" borderId="5" xfId="0" applyNumberFormat="1" applyFont="1" applyFill="1" applyBorder="1" applyProtection="1">
      <protection locked="0"/>
    </xf>
    <xf numFmtId="2" fontId="0" fillId="19" borderId="0" xfId="0" applyNumberFormat="1" applyFont="1" applyFill="1" applyProtection="1">
      <protection locked="0"/>
    </xf>
    <xf numFmtId="2" fontId="0" fillId="19" borderId="4" xfId="0" applyNumberFormat="1" applyFont="1" applyFill="1" applyBorder="1" applyProtection="1">
      <protection locked="0"/>
    </xf>
    <xf numFmtId="11" fontId="0" fillId="19" borderId="10" xfId="0" applyNumberFormat="1" applyFill="1" applyBorder="1" applyProtection="1">
      <protection locked="0"/>
    </xf>
    <xf numFmtId="0" fontId="0" fillId="19" borderId="4" xfId="0" applyNumberFormat="1" applyFont="1" applyFill="1" applyBorder="1" applyProtection="1">
      <protection locked="0"/>
    </xf>
    <xf numFmtId="0" fontId="0" fillId="19" borderId="5" xfId="0" applyNumberFormat="1" applyFont="1" applyFill="1" applyBorder="1" applyProtection="1">
      <protection locked="0"/>
    </xf>
    <xf numFmtId="0" fontId="10" fillId="19" borderId="4" xfId="0" applyNumberFormat="1" applyFont="1" applyFill="1" applyBorder="1" applyProtection="1">
      <protection locked="0"/>
    </xf>
    <xf numFmtId="11" fontId="0" fillId="19" borderId="0" xfId="0" applyNumberFormat="1" applyFill="1" applyProtection="1">
      <protection locked="0"/>
    </xf>
    <xf numFmtId="0" fontId="0" fillId="19" borderId="0" xfId="0" applyNumberFormat="1" applyFill="1" applyProtection="1">
      <protection locked="0"/>
    </xf>
    <xf numFmtId="2" fontId="0" fillId="19" borderId="14" xfId="0" applyNumberFormat="1" applyFill="1" applyBorder="1" applyProtection="1">
      <protection locked="0"/>
    </xf>
    <xf numFmtId="0" fontId="2" fillId="0" borderId="0" xfId="0" applyFont="1" applyAlignment="1" applyProtection="1">
      <alignment horizontal="center"/>
      <protection locked="0"/>
    </xf>
    <xf numFmtId="0" fontId="2" fillId="0" borderId="0" xfId="0" applyFont="1" applyAlignment="1" applyProtection="1">
      <alignment horizontal="center"/>
    </xf>
    <xf numFmtId="0" fontId="0" fillId="15" borderId="0" xfId="0" applyFont="1" applyFill="1" applyAlignment="1" applyProtection="1">
      <alignment horizontal="center" vertical="center"/>
      <protection locked="0"/>
    </xf>
    <xf numFmtId="0" fontId="0" fillId="15" borderId="5" xfId="0" applyFill="1" applyBorder="1" applyAlignment="1" applyProtection="1">
      <alignment horizontal="center" vertical="center" wrapText="1"/>
      <protection locked="0"/>
    </xf>
    <xf numFmtId="0" fontId="0" fillId="15" borderId="0" xfId="0"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0" fillId="15" borderId="0" xfId="0" applyFill="1" applyBorder="1" applyAlignment="1" applyProtection="1">
      <alignment vertical="center"/>
      <protection locked="0"/>
    </xf>
    <xf numFmtId="0" fontId="0" fillId="15" borderId="0" xfId="0" applyFill="1" applyAlignment="1" applyProtection="1">
      <alignment horizontal="center" vertical="center" wrapText="1"/>
      <protection locked="0"/>
    </xf>
    <xf numFmtId="0" fontId="0" fillId="15" borderId="0" xfId="0" applyFill="1" applyAlignment="1" applyProtection="1">
      <alignment vertical="center"/>
      <protection locked="0"/>
    </xf>
    <xf numFmtId="0" fontId="3" fillId="14" borderId="11" xfId="0" applyFont="1" applyFill="1" applyBorder="1" applyAlignment="1" applyProtection="1">
      <alignment vertical="center"/>
      <protection locked="0"/>
    </xf>
    <xf numFmtId="0" fontId="0" fillId="14" borderId="5" xfId="0" applyFill="1" applyBorder="1" applyAlignment="1" applyProtection="1">
      <alignment vertical="center"/>
      <protection locked="0"/>
    </xf>
    <xf numFmtId="0" fontId="0" fillId="15" borderId="4" xfId="0" applyFill="1" applyBorder="1" applyAlignment="1" applyProtection="1">
      <alignment vertical="center" wrapText="1"/>
      <protection locked="0"/>
    </xf>
    <xf numFmtId="0" fontId="0" fillId="15" borderId="0" xfId="0" applyFill="1" applyBorder="1" applyAlignment="1" applyProtection="1">
      <alignment vertical="center" wrapText="1"/>
      <protection locked="0"/>
    </xf>
    <xf numFmtId="0" fontId="6" fillId="0" borderId="5" xfId="0" applyFont="1" applyBorder="1" applyAlignment="1" applyProtection="1">
      <protection locked="0"/>
    </xf>
    <xf numFmtId="0" fontId="6" fillId="0" borderId="4" xfId="0" applyFont="1" applyBorder="1" applyAlignment="1" applyProtection="1">
      <protection locked="0"/>
    </xf>
    <xf numFmtId="0" fontId="0" fillId="0" borderId="20" xfId="0" applyBorder="1" applyAlignment="1">
      <alignment vertical="center"/>
    </xf>
    <xf numFmtId="0" fontId="0" fillId="0" borderId="17" xfId="0" applyBorder="1" applyAlignment="1">
      <alignment vertical="center"/>
    </xf>
    <xf numFmtId="0" fontId="0" fillId="0" borderId="17" xfId="0" applyBorder="1" applyAlignment="1">
      <alignment vertical="center" wrapText="1"/>
    </xf>
    <xf numFmtId="0" fontId="0" fillId="7" borderId="17" xfId="0" applyFill="1" applyBorder="1" applyAlignment="1">
      <alignment vertical="center"/>
    </xf>
    <xf numFmtId="11" fontId="0" fillId="8" borderId="17" xfId="4" applyNumberFormat="1" applyFont="1" applyFill="1" applyBorder="1" applyAlignment="1">
      <alignment vertical="center" wrapText="1"/>
    </xf>
    <xf numFmtId="11" fontId="8" fillId="8" borderId="17" xfId="4" applyNumberFormat="1" applyFill="1" applyBorder="1" applyAlignment="1">
      <alignment vertical="center"/>
    </xf>
    <xf numFmtId="165" fontId="0" fillId="0" borderId="0" xfId="0" applyNumberFormat="1" applyFill="1" applyBorder="1" applyProtection="1">
      <protection locked="0"/>
    </xf>
    <xf numFmtId="0" fontId="0" fillId="0" borderId="0" xfId="0" applyAlignment="1">
      <alignment vertical="center"/>
    </xf>
  </cellXfs>
  <cellStyles count="8">
    <cellStyle name="20% - Accent2" xfId="3" builtinId="34"/>
    <cellStyle name="20% - Accent5" xfId="4" builtinId="46"/>
    <cellStyle name="20% - Accent6" xfId="5" builtinId="50"/>
    <cellStyle name="Bad" xfId="7" builtinId="27"/>
    <cellStyle name="Hyperlink" xfId="6" builtinId="8"/>
    <cellStyle name="Input" xfId="2" builtinId="20"/>
    <cellStyle name="Normal" xfId="0" builtinId="0"/>
    <cellStyle name="Note" xfId="1" builtinId="10"/>
  </cellStyles>
  <dxfs count="0"/>
  <tableStyles count="0" defaultTableStyle="TableStyleMedium9" defaultPivotStyle="PivotStyleLight16"/>
  <colors>
    <mruColors>
      <color rgb="FFD8D2E4"/>
      <color rgb="FF76609E"/>
      <color rgb="FFE0DB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www.fao.org/fileadmin/templates/agphome/documents/Pests_Pesticides/JMPR/Evaluation01/16_Thiodicarb.pdf" TargetMode="External"/><Relationship Id="rId2" Type="http://schemas.openxmlformats.org/officeDocument/2006/relationships/hyperlink" Target="http://www.inchem.org/documents/sids/sids/NTERBUTYLBENZ.pdf" TargetMode="External"/><Relationship Id="rId1" Type="http://schemas.openxmlformats.org/officeDocument/2006/relationships/hyperlink" Target="http://www.epa.gov/chemrtk/pubs/summaries/1hiso13d/c14927rs.pdf" TargetMode="External"/><Relationship Id="rId4"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abSelected="1" workbookViewId="0"/>
  </sheetViews>
  <sheetFormatPr defaultRowHeight="14.4" x14ac:dyDescent="0.3"/>
  <cols>
    <col min="1" max="1" width="7.5546875" bestFit="1" customWidth="1"/>
    <col min="2" max="2" width="28" bestFit="1" customWidth="1"/>
    <col min="3" max="3" width="12.33203125" bestFit="1" customWidth="1"/>
    <col min="4" max="4" width="56.88671875" customWidth="1"/>
    <col min="5" max="5" width="17.33203125" bestFit="1" customWidth="1"/>
    <col min="6" max="6" width="21.6640625" customWidth="1"/>
    <col min="7" max="7" width="22.109375" customWidth="1"/>
  </cols>
  <sheetData>
    <row r="1" spans="1:6" x14ac:dyDescent="0.3">
      <c r="A1" s="1" t="s">
        <v>1280</v>
      </c>
    </row>
    <row r="2" spans="1:6" x14ac:dyDescent="0.3">
      <c r="B2" t="s">
        <v>1279</v>
      </c>
    </row>
    <row r="4" spans="1:6" ht="15" thickBot="1" x14ac:dyDescent="0.35"/>
    <row r="5" spans="1:6" ht="29.4" thickBot="1" x14ac:dyDescent="0.35">
      <c r="A5" s="203" t="s">
        <v>1117</v>
      </c>
      <c r="B5" s="204" t="s">
        <v>1118</v>
      </c>
      <c r="C5" s="204" t="s">
        <v>598</v>
      </c>
      <c r="D5" s="204" t="s">
        <v>1174</v>
      </c>
      <c r="E5" s="205" t="s">
        <v>1194</v>
      </c>
    </row>
    <row r="6" spans="1:6" x14ac:dyDescent="0.3">
      <c r="A6" s="201" t="s">
        <v>1119</v>
      </c>
      <c r="B6" s="202"/>
      <c r="C6" s="202"/>
      <c r="D6" s="202" t="s">
        <v>1175</v>
      </c>
      <c r="E6" s="914"/>
    </row>
    <row r="7" spans="1:6" x14ac:dyDescent="0.3">
      <c r="A7" s="195" t="s">
        <v>1120</v>
      </c>
      <c r="B7" s="196" t="s">
        <v>1</v>
      </c>
      <c r="C7" s="196"/>
      <c r="D7" s="196" t="s">
        <v>1185</v>
      </c>
      <c r="E7" s="915"/>
    </row>
    <row r="8" spans="1:6" x14ac:dyDescent="0.3">
      <c r="A8" s="195" t="s">
        <v>1121</v>
      </c>
      <c r="B8" s="196" t="s">
        <v>2</v>
      </c>
      <c r="C8" s="196"/>
      <c r="D8" s="196" t="s">
        <v>2</v>
      </c>
      <c r="E8" s="915"/>
    </row>
    <row r="9" spans="1:6" ht="28.8" x14ac:dyDescent="0.3">
      <c r="A9" s="195" t="s">
        <v>1122</v>
      </c>
      <c r="B9" s="196" t="s">
        <v>930</v>
      </c>
      <c r="C9" s="196"/>
      <c r="D9" s="197" t="s">
        <v>1186</v>
      </c>
      <c r="E9" s="916"/>
    </row>
    <row r="10" spans="1:6" x14ac:dyDescent="0.3">
      <c r="A10" s="195" t="s">
        <v>1123</v>
      </c>
      <c r="B10" s="196" t="s">
        <v>5</v>
      </c>
      <c r="C10" s="196"/>
      <c r="D10" s="196" t="s">
        <v>1187</v>
      </c>
      <c r="E10" s="915"/>
    </row>
    <row r="11" spans="1:6" x14ac:dyDescent="0.3">
      <c r="A11" s="195" t="s">
        <v>1124</v>
      </c>
      <c r="B11" s="196" t="s">
        <v>7</v>
      </c>
      <c r="C11" s="196"/>
      <c r="D11" s="196" t="s">
        <v>7</v>
      </c>
      <c r="E11" s="915"/>
    </row>
    <row r="12" spans="1:6" x14ac:dyDescent="0.3">
      <c r="A12" s="195" t="s">
        <v>1125</v>
      </c>
      <c r="B12" s="196" t="s">
        <v>1176</v>
      </c>
      <c r="C12" s="196" t="s">
        <v>85</v>
      </c>
      <c r="D12" s="196" t="s">
        <v>1188</v>
      </c>
      <c r="E12" s="915"/>
    </row>
    <row r="13" spans="1:6" x14ac:dyDescent="0.3">
      <c r="A13" s="195" t="s">
        <v>1126</v>
      </c>
      <c r="B13" s="196" t="s">
        <v>1176</v>
      </c>
      <c r="C13" s="196" t="s">
        <v>522</v>
      </c>
      <c r="D13" s="196" t="s">
        <v>1189</v>
      </c>
      <c r="E13" s="915"/>
    </row>
    <row r="14" spans="1:6" ht="28.8" x14ac:dyDescent="0.3">
      <c r="A14" s="198" t="s">
        <v>1127</v>
      </c>
      <c r="B14" s="199" t="s">
        <v>593</v>
      </c>
      <c r="C14" s="199"/>
      <c r="D14" s="200" t="s">
        <v>1193</v>
      </c>
      <c r="E14" s="917" t="s">
        <v>1195</v>
      </c>
    </row>
    <row r="15" spans="1:6" ht="28.8" x14ac:dyDescent="0.3">
      <c r="A15" s="195" t="s">
        <v>1128</v>
      </c>
      <c r="B15" s="196" t="s">
        <v>594</v>
      </c>
      <c r="C15" s="196" t="s">
        <v>595</v>
      </c>
      <c r="D15" s="197" t="s">
        <v>1294</v>
      </c>
      <c r="E15" s="915"/>
      <c r="F15" s="921" t="s">
        <v>1293</v>
      </c>
    </row>
    <row r="16" spans="1:6" x14ac:dyDescent="0.3">
      <c r="A16" s="195" t="s">
        <v>654</v>
      </c>
      <c r="B16" s="196" t="s">
        <v>109</v>
      </c>
      <c r="C16" s="196"/>
      <c r="D16" s="196" t="s">
        <v>1196</v>
      </c>
      <c r="E16" s="915"/>
    </row>
    <row r="17" spans="1:7" x14ac:dyDescent="0.3">
      <c r="A17" s="195" t="s">
        <v>1129</v>
      </c>
      <c r="B17" s="196" t="s">
        <v>87</v>
      </c>
      <c r="C17" s="196" t="s">
        <v>88</v>
      </c>
      <c r="D17" s="196" t="s">
        <v>1197</v>
      </c>
      <c r="E17" s="915"/>
    </row>
    <row r="18" spans="1:7" ht="28.8" x14ac:dyDescent="0.3">
      <c r="A18" s="195" t="s">
        <v>1130</v>
      </c>
      <c r="B18" s="196" t="s">
        <v>1180</v>
      </c>
      <c r="C18" s="196" t="s">
        <v>112</v>
      </c>
      <c r="D18" s="197" t="s">
        <v>1198</v>
      </c>
      <c r="E18" s="915"/>
    </row>
    <row r="19" spans="1:7" ht="15.6" x14ac:dyDescent="0.35">
      <c r="A19" s="195" t="s">
        <v>1131</v>
      </c>
      <c r="B19" s="196" t="s">
        <v>1179</v>
      </c>
      <c r="C19" s="196"/>
      <c r="D19" s="196" t="s">
        <v>1199</v>
      </c>
      <c r="E19" s="915"/>
      <c r="F19" s="542" t="s">
        <v>1245</v>
      </c>
      <c r="G19" s="542" t="s">
        <v>1246</v>
      </c>
    </row>
    <row r="20" spans="1:7" ht="28.8" x14ac:dyDescent="0.3">
      <c r="A20" s="195" t="s">
        <v>1132</v>
      </c>
      <c r="B20" s="196" t="s">
        <v>1177</v>
      </c>
      <c r="C20" s="196" t="s">
        <v>596</v>
      </c>
      <c r="D20" s="197" t="s">
        <v>1243</v>
      </c>
      <c r="E20" s="918" t="s">
        <v>1242</v>
      </c>
      <c r="F20" s="543" t="s">
        <v>1248</v>
      </c>
      <c r="G20" s="543" t="s">
        <v>1249</v>
      </c>
    </row>
    <row r="21" spans="1:7" ht="33" x14ac:dyDescent="0.3">
      <c r="A21" s="195" t="s">
        <v>1133</v>
      </c>
      <c r="B21" s="196" t="s">
        <v>1178</v>
      </c>
      <c r="C21" s="196" t="s">
        <v>597</v>
      </c>
      <c r="D21" s="197" t="s">
        <v>1244</v>
      </c>
      <c r="E21" s="918" t="s">
        <v>1242</v>
      </c>
      <c r="F21" s="543" t="s">
        <v>1250</v>
      </c>
      <c r="G21" s="2" t="s">
        <v>1247</v>
      </c>
    </row>
    <row r="22" spans="1:7" ht="28.8" x14ac:dyDescent="0.3">
      <c r="A22" s="198" t="s">
        <v>1134</v>
      </c>
      <c r="B22" s="199" t="s">
        <v>87</v>
      </c>
      <c r="C22" s="199" t="s">
        <v>88</v>
      </c>
      <c r="D22" s="206" t="s">
        <v>1235</v>
      </c>
      <c r="E22" s="917" t="s">
        <v>1234</v>
      </c>
    </row>
    <row r="23" spans="1:7" ht="28.8" x14ac:dyDescent="0.3">
      <c r="A23" s="198" t="s">
        <v>1135</v>
      </c>
      <c r="B23" s="199" t="s">
        <v>1177</v>
      </c>
      <c r="C23" s="199" t="s">
        <v>596</v>
      </c>
      <c r="D23" s="206" t="s">
        <v>1232</v>
      </c>
      <c r="E23" s="917" t="s">
        <v>1233</v>
      </c>
    </row>
    <row r="24" spans="1:7" ht="28.8" x14ac:dyDescent="0.3">
      <c r="A24" s="198" t="s">
        <v>1136</v>
      </c>
      <c r="B24" s="199" t="s">
        <v>1178</v>
      </c>
      <c r="C24" s="199" t="s">
        <v>597</v>
      </c>
      <c r="D24" s="206" t="s">
        <v>1230</v>
      </c>
      <c r="E24" s="917" t="s">
        <v>1231</v>
      </c>
    </row>
    <row r="25" spans="1:7" x14ac:dyDescent="0.3">
      <c r="A25" s="195" t="s">
        <v>1137</v>
      </c>
      <c r="B25" s="196" t="s">
        <v>811</v>
      </c>
      <c r="C25" s="196" t="s">
        <v>88</v>
      </c>
      <c r="D25" s="196" t="s">
        <v>1221</v>
      </c>
      <c r="E25" s="915"/>
    </row>
    <row r="26" spans="1:7" x14ac:dyDescent="0.3">
      <c r="A26" s="195" t="s">
        <v>1138</v>
      </c>
      <c r="B26" s="196" t="s">
        <v>799</v>
      </c>
      <c r="C26" s="196" t="s">
        <v>88</v>
      </c>
      <c r="D26" s="196" t="s">
        <v>1222</v>
      </c>
      <c r="E26" s="915"/>
    </row>
    <row r="27" spans="1:7" x14ac:dyDescent="0.3">
      <c r="A27" s="195" t="s">
        <v>1139</v>
      </c>
      <c r="B27" s="196" t="s">
        <v>807</v>
      </c>
      <c r="C27" s="196" t="s">
        <v>88</v>
      </c>
      <c r="D27" s="196" t="s">
        <v>1223</v>
      </c>
      <c r="E27" s="915"/>
    </row>
    <row r="28" spans="1:7" x14ac:dyDescent="0.3">
      <c r="A28" s="195" t="s">
        <v>1140</v>
      </c>
      <c r="B28" s="196" t="s">
        <v>1181</v>
      </c>
      <c r="C28" s="196"/>
      <c r="D28" s="196" t="s">
        <v>1214</v>
      </c>
      <c r="E28" s="915"/>
    </row>
    <row r="29" spans="1:7" x14ac:dyDescent="0.3">
      <c r="A29" s="195" t="s">
        <v>1141</v>
      </c>
      <c r="B29" s="196" t="s">
        <v>950</v>
      </c>
      <c r="C29" s="196"/>
      <c r="D29" s="196" t="s">
        <v>1213</v>
      </c>
      <c r="E29" s="915"/>
    </row>
    <row r="30" spans="1:7" x14ac:dyDescent="0.3">
      <c r="A30" s="195" t="s">
        <v>1142</v>
      </c>
      <c r="B30" s="196" t="s">
        <v>951</v>
      </c>
      <c r="C30" s="196"/>
      <c r="D30" s="196"/>
      <c r="E30" s="915"/>
    </row>
    <row r="31" spans="1:7" x14ac:dyDescent="0.3">
      <c r="A31" s="195" t="s">
        <v>1143</v>
      </c>
      <c r="B31" s="196" t="s">
        <v>86</v>
      </c>
      <c r="C31" s="196"/>
      <c r="D31" s="196" t="s">
        <v>1200</v>
      </c>
      <c r="E31" s="915"/>
    </row>
    <row r="32" spans="1:7" x14ac:dyDescent="0.3">
      <c r="A32" s="195" t="s">
        <v>1144</v>
      </c>
      <c r="B32" s="196" t="s">
        <v>87</v>
      </c>
      <c r="C32" s="196" t="s">
        <v>88</v>
      </c>
      <c r="D32" s="196" t="s">
        <v>1201</v>
      </c>
      <c r="E32" s="915"/>
    </row>
    <row r="33" spans="1:7" ht="28.8" x14ac:dyDescent="0.3">
      <c r="A33" s="195" t="s">
        <v>1145</v>
      </c>
      <c r="B33" s="196" t="s">
        <v>1180</v>
      </c>
      <c r="C33" s="196"/>
      <c r="D33" s="197" t="s">
        <v>1212</v>
      </c>
      <c r="E33" s="915"/>
    </row>
    <row r="34" spans="1:7" x14ac:dyDescent="0.3">
      <c r="A34" s="195" t="s">
        <v>1146</v>
      </c>
      <c r="B34" s="196" t="s">
        <v>1179</v>
      </c>
      <c r="C34" s="196"/>
      <c r="D34" s="196" t="s">
        <v>1202</v>
      </c>
      <c r="E34" s="915"/>
    </row>
    <row r="35" spans="1:7" ht="28.8" x14ac:dyDescent="0.3">
      <c r="A35" s="195" t="s">
        <v>1147</v>
      </c>
      <c r="B35" s="196" t="s">
        <v>1177</v>
      </c>
      <c r="C35" s="196" t="s">
        <v>596</v>
      </c>
      <c r="D35" s="197" t="s">
        <v>1203</v>
      </c>
      <c r="E35" s="919" t="s">
        <v>601</v>
      </c>
    </row>
    <row r="36" spans="1:7" ht="28.8" x14ac:dyDescent="0.3">
      <c r="A36" s="198" t="s">
        <v>1148</v>
      </c>
      <c r="B36" s="199" t="s">
        <v>87</v>
      </c>
      <c r="C36" s="199" t="s">
        <v>88</v>
      </c>
      <c r="D36" s="206" t="s">
        <v>1237</v>
      </c>
      <c r="E36" s="917" t="s">
        <v>1234</v>
      </c>
    </row>
    <row r="37" spans="1:7" ht="28.8" x14ac:dyDescent="0.3">
      <c r="A37" s="198" t="s">
        <v>1149</v>
      </c>
      <c r="B37" s="199" t="s">
        <v>1177</v>
      </c>
      <c r="C37" s="199" t="s">
        <v>596</v>
      </c>
      <c r="D37" s="206" t="s">
        <v>1236</v>
      </c>
      <c r="E37" s="917" t="s">
        <v>1231</v>
      </c>
    </row>
    <row r="38" spans="1:7" x14ac:dyDescent="0.3">
      <c r="A38" s="195" t="s">
        <v>1150</v>
      </c>
      <c r="B38" s="196" t="s">
        <v>811</v>
      </c>
      <c r="C38" s="196" t="s">
        <v>88</v>
      </c>
      <c r="D38" s="196" t="s">
        <v>1224</v>
      </c>
      <c r="E38" s="915"/>
    </row>
    <row r="39" spans="1:7" x14ac:dyDescent="0.3">
      <c r="A39" s="195" t="s">
        <v>1151</v>
      </c>
      <c r="B39" s="196" t="s">
        <v>799</v>
      </c>
      <c r="C39" s="196" t="s">
        <v>88</v>
      </c>
      <c r="D39" s="196" t="s">
        <v>1225</v>
      </c>
      <c r="E39" s="915"/>
    </row>
    <row r="40" spans="1:7" x14ac:dyDescent="0.3">
      <c r="A40" s="195" t="s">
        <v>1152</v>
      </c>
      <c r="B40" s="196" t="s">
        <v>807</v>
      </c>
      <c r="C40" s="196" t="s">
        <v>88</v>
      </c>
      <c r="D40" s="196" t="s">
        <v>1226</v>
      </c>
      <c r="E40" s="915"/>
    </row>
    <row r="41" spans="1:7" x14ac:dyDescent="0.3">
      <c r="A41" s="195" t="s">
        <v>1153</v>
      </c>
      <c r="B41" s="196" t="s">
        <v>1182</v>
      </c>
      <c r="C41" s="196"/>
      <c r="D41" s="196" t="s">
        <v>1215</v>
      </c>
      <c r="E41" s="915"/>
    </row>
    <row r="42" spans="1:7" x14ac:dyDescent="0.3">
      <c r="A42" s="195" t="s">
        <v>1154</v>
      </c>
      <c r="B42" s="196" t="s">
        <v>950</v>
      </c>
      <c r="C42" s="196"/>
      <c r="D42" s="196" t="s">
        <v>1216</v>
      </c>
      <c r="E42" s="915"/>
    </row>
    <row r="43" spans="1:7" x14ac:dyDescent="0.3">
      <c r="A43" s="195" t="s">
        <v>1155</v>
      </c>
      <c r="B43" s="196" t="s">
        <v>951</v>
      </c>
      <c r="C43" s="196"/>
      <c r="D43" s="196"/>
      <c r="E43" s="915"/>
    </row>
    <row r="44" spans="1:7" x14ac:dyDescent="0.3">
      <c r="A44" s="195" t="s">
        <v>1156</v>
      </c>
      <c r="B44" s="196" t="s">
        <v>86</v>
      </c>
      <c r="C44" s="196"/>
      <c r="D44" s="196" t="s">
        <v>1204</v>
      </c>
      <c r="E44" s="915"/>
    </row>
    <row r="45" spans="1:7" x14ac:dyDescent="0.3">
      <c r="A45" s="195" t="s">
        <v>1157</v>
      </c>
      <c r="B45" s="196" t="s">
        <v>113</v>
      </c>
      <c r="C45" s="196" t="s">
        <v>88</v>
      </c>
      <c r="D45" s="196" t="s">
        <v>1205</v>
      </c>
      <c r="E45" s="915"/>
    </row>
    <row r="46" spans="1:7" ht="28.8" x14ac:dyDescent="0.3">
      <c r="A46" s="195" t="s">
        <v>1158</v>
      </c>
      <c r="B46" s="196" t="s">
        <v>111</v>
      </c>
      <c r="C46" s="196" t="s">
        <v>112</v>
      </c>
      <c r="D46" s="197" t="s">
        <v>1206</v>
      </c>
      <c r="E46" s="915"/>
    </row>
    <row r="47" spans="1:7" ht="15.6" x14ac:dyDescent="0.35">
      <c r="A47" s="195" t="s">
        <v>1159</v>
      </c>
      <c r="B47" s="196" t="s">
        <v>1179</v>
      </c>
      <c r="C47" s="196"/>
      <c r="D47" s="196" t="s">
        <v>1207</v>
      </c>
      <c r="E47" s="915"/>
      <c r="F47" s="542" t="s">
        <v>1245</v>
      </c>
      <c r="G47" s="542" t="s">
        <v>1246</v>
      </c>
    </row>
    <row r="48" spans="1:7" ht="28.8" x14ac:dyDescent="0.3">
      <c r="A48" s="195" t="s">
        <v>1160</v>
      </c>
      <c r="B48" s="196" t="s">
        <v>1177</v>
      </c>
      <c r="C48" s="196" t="s">
        <v>596</v>
      </c>
      <c r="D48" s="197" t="s">
        <v>1254</v>
      </c>
      <c r="E48" s="918" t="s">
        <v>1242</v>
      </c>
      <c r="F48" s="543" t="s">
        <v>1252</v>
      </c>
      <c r="G48" s="543" t="s">
        <v>1251</v>
      </c>
    </row>
    <row r="49" spans="1:7" ht="28.8" x14ac:dyDescent="0.3">
      <c r="A49" s="195" t="s">
        <v>1161</v>
      </c>
      <c r="B49" s="196" t="s">
        <v>1178</v>
      </c>
      <c r="C49" s="196" t="s">
        <v>597</v>
      </c>
      <c r="D49" s="197" t="s">
        <v>1255</v>
      </c>
      <c r="E49" s="918" t="s">
        <v>1242</v>
      </c>
      <c r="F49" s="543" t="s">
        <v>1253</v>
      </c>
      <c r="G49" s="2" t="s">
        <v>1247</v>
      </c>
    </row>
    <row r="50" spans="1:7" ht="28.8" x14ac:dyDescent="0.3">
      <c r="A50" s="198" t="s">
        <v>1162</v>
      </c>
      <c r="B50" s="199" t="s">
        <v>87</v>
      </c>
      <c r="C50" s="199" t="s">
        <v>88</v>
      </c>
      <c r="D50" s="206" t="s">
        <v>1240</v>
      </c>
      <c r="E50" s="917" t="s">
        <v>1234</v>
      </c>
    </row>
    <row r="51" spans="1:7" ht="28.8" x14ac:dyDescent="0.3">
      <c r="A51" s="198" t="s">
        <v>1163</v>
      </c>
      <c r="B51" s="199" t="s">
        <v>1177</v>
      </c>
      <c r="C51" s="199" t="s">
        <v>596</v>
      </c>
      <c r="D51" s="206" t="s">
        <v>1239</v>
      </c>
      <c r="E51" s="917" t="s">
        <v>1241</v>
      </c>
    </row>
    <row r="52" spans="1:7" ht="28.8" x14ac:dyDescent="0.3">
      <c r="A52" s="198" t="s">
        <v>1164</v>
      </c>
      <c r="B52" s="199" t="s">
        <v>1178</v>
      </c>
      <c r="C52" s="199" t="s">
        <v>597</v>
      </c>
      <c r="D52" s="206" t="s">
        <v>1238</v>
      </c>
      <c r="E52" s="917" t="s">
        <v>1231</v>
      </c>
    </row>
    <row r="53" spans="1:7" x14ac:dyDescent="0.3">
      <c r="A53" s="195" t="s">
        <v>1165</v>
      </c>
      <c r="B53" s="196" t="s">
        <v>811</v>
      </c>
      <c r="C53" s="196" t="s">
        <v>88</v>
      </c>
      <c r="D53" s="196" t="s">
        <v>1227</v>
      </c>
      <c r="E53" s="915"/>
    </row>
    <row r="54" spans="1:7" x14ac:dyDescent="0.3">
      <c r="A54" s="195" t="s">
        <v>1166</v>
      </c>
      <c r="B54" s="196" t="s">
        <v>799</v>
      </c>
      <c r="C54" s="196" t="s">
        <v>88</v>
      </c>
      <c r="D54" s="196" t="s">
        <v>1228</v>
      </c>
      <c r="E54" s="915"/>
    </row>
    <row r="55" spans="1:7" x14ac:dyDescent="0.3">
      <c r="A55" s="195" t="s">
        <v>1167</v>
      </c>
      <c r="B55" s="196" t="s">
        <v>807</v>
      </c>
      <c r="C55" s="196" t="s">
        <v>88</v>
      </c>
      <c r="D55" s="196" t="s">
        <v>1229</v>
      </c>
      <c r="E55" s="915"/>
    </row>
    <row r="56" spans="1:7" x14ac:dyDescent="0.3">
      <c r="A56" s="195" t="s">
        <v>1168</v>
      </c>
      <c r="B56" s="196" t="s">
        <v>1183</v>
      </c>
      <c r="C56" s="196"/>
      <c r="D56" s="196" t="s">
        <v>1217</v>
      </c>
      <c r="E56" s="915"/>
    </row>
    <row r="57" spans="1:7" x14ac:dyDescent="0.3">
      <c r="A57" s="195" t="s">
        <v>1169</v>
      </c>
      <c r="B57" s="196" t="s">
        <v>1021</v>
      </c>
      <c r="C57" s="196"/>
      <c r="D57" s="196" t="s">
        <v>1218</v>
      </c>
      <c r="E57" s="915"/>
    </row>
    <row r="58" spans="1:7" x14ac:dyDescent="0.3">
      <c r="A58" s="195" t="s">
        <v>1170</v>
      </c>
      <c r="B58" s="196" t="s">
        <v>951</v>
      </c>
      <c r="C58" s="196"/>
      <c r="D58" s="196"/>
      <c r="E58" s="915"/>
    </row>
    <row r="59" spans="1:7" x14ac:dyDescent="0.3">
      <c r="A59" s="195" t="s">
        <v>1171</v>
      </c>
      <c r="B59" s="196" t="s">
        <v>1184</v>
      </c>
      <c r="C59" s="196"/>
      <c r="D59" s="196" t="s">
        <v>1219</v>
      </c>
      <c r="E59" s="915"/>
    </row>
    <row r="60" spans="1:7" x14ac:dyDescent="0.3">
      <c r="A60" s="195" t="s">
        <v>1172</v>
      </c>
      <c r="B60" s="196" t="s">
        <v>90</v>
      </c>
      <c r="C60" s="196"/>
      <c r="D60" s="196" t="s">
        <v>1220</v>
      </c>
      <c r="E60" s="915"/>
    </row>
    <row r="61" spans="1:7" x14ac:dyDescent="0.3">
      <c r="A61" s="195" t="s">
        <v>1173</v>
      </c>
      <c r="B61" s="196" t="s">
        <v>1022</v>
      </c>
      <c r="C61" s="196"/>
      <c r="D61" s="196"/>
      <c r="E61" s="915"/>
    </row>
    <row r="62" spans="1:7" x14ac:dyDescent="0.3">
      <c r="A62" s="3"/>
    </row>
    <row r="63" spans="1:7" x14ac:dyDescent="0.3">
      <c r="A63" s="3"/>
    </row>
    <row r="64" spans="1:7" x14ac:dyDescent="0.3">
      <c r="A64" s="3"/>
    </row>
    <row r="65" spans="1:1" x14ac:dyDescent="0.3">
      <c r="A65" s="3"/>
    </row>
    <row r="66" spans="1:1" x14ac:dyDescent="0.3">
      <c r="A66" s="3"/>
    </row>
    <row r="67" spans="1:1" x14ac:dyDescent="0.3">
      <c r="A67" s="3"/>
    </row>
    <row r="68" spans="1:1" x14ac:dyDescent="0.3">
      <c r="A68" s="3"/>
    </row>
    <row r="69" spans="1:1" x14ac:dyDescent="0.3">
      <c r="A69" s="3"/>
    </row>
    <row r="70" spans="1:1" x14ac:dyDescent="0.3">
      <c r="A70" s="3"/>
    </row>
    <row r="71" spans="1:1" x14ac:dyDescent="0.3">
      <c r="A71" s="3"/>
    </row>
    <row r="72" spans="1:1" x14ac:dyDescent="0.3">
      <c r="A72" s="3"/>
    </row>
    <row r="73" spans="1:1" x14ac:dyDescent="0.3">
      <c r="A73" s="3"/>
    </row>
    <row r="74" spans="1:1" x14ac:dyDescent="0.3">
      <c r="A74" s="3"/>
    </row>
    <row r="75" spans="1:1" x14ac:dyDescent="0.3">
      <c r="A75" s="3"/>
    </row>
    <row r="76" spans="1:1" x14ac:dyDescent="0.3">
      <c r="A76" s="3"/>
    </row>
    <row r="77" spans="1:1" x14ac:dyDescent="0.3">
      <c r="A77" s="3"/>
    </row>
    <row r="78" spans="1:1" x14ac:dyDescent="0.3">
      <c r="A78" s="3"/>
    </row>
    <row r="79" spans="1:1" x14ac:dyDescent="0.3">
      <c r="A79" s="3"/>
    </row>
    <row r="80" spans="1:1" x14ac:dyDescent="0.3">
      <c r="A80" s="3"/>
    </row>
    <row r="81" spans="1:1" x14ac:dyDescent="0.3">
      <c r="A81"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2"/>
  <sheetViews>
    <sheetView zoomScaleNormal="100" workbookViewId="0">
      <selection sqref="A1:B1"/>
    </sheetView>
  </sheetViews>
  <sheetFormatPr defaultRowHeight="14.4" x14ac:dyDescent="0.3"/>
  <cols>
    <col min="1" max="1" width="3.6640625" style="31" customWidth="1"/>
    <col min="2" max="2" width="12.6640625" style="31" bestFit="1" customWidth="1"/>
    <col min="3" max="3" width="25.109375" style="31" customWidth="1"/>
    <col min="4" max="4" width="31" style="32" bestFit="1" customWidth="1"/>
    <col min="5" max="5" width="26.5546875" style="31" customWidth="1"/>
    <col min="6" max="6" width="22.33203125" style="31" customWidth="1"/>
    <col min="7" max="8" width="12.33203125" style="31" customWidth="1"/>
    <col min="9" max="9" width="8.88671875" style="31" customWidth="1"/>
    <col min="10" max="10" width="9.33203125" style="31" bestFit="1" customWidth="1"/>
    <col min="11" max="12" width="9.6640625" style="31" customWidth="1"/>
    <col min="13" max="13" width="11.33203125" style="31" customWidth="1"/>
    <col min="14" max="14" width="11.109375" style="31" customWidth="1"/>
    <col min="15" max="15" width="10.33203125" style="31" customWidth="1"/>
    <col min="16" max="16" width="12.6640625" style="31" bestFit="1" customWidth="1"/>
    <col min="17" max="17" width="8.88671875" style="31"/>
    <col min="18" max="18" width="10.33203125" style="31" customWidth="1"/>
    <col min="19" max="19" width="12.6640625" style="31" bestFit="1" customWidth="1"/>
    <col min="20" max="22" width="10.33203125" style="129" customWidth="1"/>
    <col min="23" max="23" width="14.88671875" style="146" bestFit="1" customWidth="1"/>
    <col min="24" max="25" width="14" style="146" customWidth="1"/>
    <col min="26" max="27" width="8.88671875" style="31"/>
    <col min="28" max="28" width="11.44140625" style="31" customWidth="1"/>
    <col min="29" max="29" width="10.33203125" style="31" customWidth="1"/>
    <col min="30" max="30" width="14.88671875" style="31" bestFit="1" customWidth="1"/>
    <col min="31" max="31" width="8.88671875" style="31"/>
    <col min="32" max="32" width="10.44140625" style="31" customWidth="1"/>
    <col min="33" max="35" width="10.33203125" style="175" customWidth="1"/>
    <col min="36" max="36" width="14.88671875" style="157" bestFit="1" customWidth="1"/>
    <col min="37" max="37" width="14.44140625" style="157" bestFit="1" customWidth="1"/>
    <col min="38" max="38" width="13.109375" style="157" customWidth="1"/>
    <col min="39" max="40" width="10.109375" style="31" customWidth="1"/>
    <col min="41" max="41" width="11.44140625" style="31" customWidth="1"/>
    <col min="42" max="42" width="10.33203125" style="31" customWidth="1"/>
    <col min="43" max="43" width="10.33203125" style="247" customWidth="1"/>
    <col min="44" max="44" width="12.6640625" style="247" bestFit="1" customWidth="1"/>
    <col min="45" max="45" width="9.109375" style="583"/>
    <col min="46" max="46" width="10.33203125" style="583" customWidth="1"/>
    <col min="47" max="47" width="12.6640625" style="583" bestFit="1" customWidth="1"/>
    <col min="48" max="50" width="10.33203125" style="412" customWidth="1"/>
    <col min="51" max="51" width="14.88671875" style="31" bestFit="1" customWidth="1"/>
    <col min="52" max="52" width="14.44140625" style="31" bestFit="1" customWidth="1"/>
    <col min="53" max="53" width="14.6640625" style="31" customWidth="1"/>
    <col min="54" max="54" width="19.44140625" style="185" bestFit="1" customWidth="1"/>
    <col min="55" max="55" width="20.44140625" style="185" customWidth="1"/>
    <col min="56" max="56" width="9.109375" style="185" customWidth="1"/>
    <col min="57" max="58" width="8.88671875" style="31"/>
  </cols>
  <sheetData>
    <row r="1" spans="1:58" x14ac:dyDescent="0.3">
      <c r="A1" s="899" t="s">
        <v>16</v>
      </c>
      <c r="B1" s="899"/>
      <c r="I1" s="583"/>
      <c r="J1" s="92"/>
      <c r="K1" s="108" t="s">
        <v>626</v>
      </c>
      <c r="O1" s="86" t="s">
        <v>601</v>
      </c>
      <c r="P1" s="87"/>
      <c r="Q1" s="583" t="s">
        <v>602</v>
      </c>
      <c r="R1" s="586"/>
      <c r="S1" s="586"/>
      <c r="T1" s="118"/>
      <c r="U1" s="118"/>
      <c r="V1" s="118"/>
      <c r="W1" s="587"/>
      <c r="X1" s="587"/>
      <c r="Y1" s="587"/>
      <c r="Z1" s="108" t="s">
        <v>89</v>
      </c>
      <c r="AD1" s="87" t="s">
        <v>601</v>
      </c>
      <c r="AE1" s="583" t="s">
        <v>602</v>
      </c>
      <c r="AF1" s="586"/>
      <c r="AG1" s="156"/>
      <c r="AH1" s="156"/>
      <c r="AI1" s="156"/>
      <c r="AJ1" s="587"/>
      <c r="AK1" s="587"/>
      <c r="AL1" s="587"/>
      <c r="AM1" s="108" t="s">
        <v>627</v>
      </c>
      <c r="AQ1" s="86" t="s">
        <v>601</v>
      </c>
      <c r="AR1" s="86"/>
      <c r="AS1" s="583" t="s">
        <v>602</v>
      </c>
      <c r="AT1" s="586"/>
      <c r="AU1" s="586"/>
      <c r="AV1" s="118"/>
      <c r="AW1" s="118"/>
      <c r="AX1" s="118"/>
      <c r="AY1" s="587"/>
      <c r="AZ1" s="587"/>
      <c r="BA1" s="587"/>
    </row>
    <row r="2" spans="1:58" x14ac:dyDescent="0.3">
      <c r="G2" s="584"/>
      <c r="H2" s="584"/>
      <c r="I2" s="583"/>
      <c r="J2" s="92"/>
      <c r="K2" s="108"/>
      <c r="O2" s="588" t="s">
        <v>603</v>
      </c>
      <c r="P2" s="589"/>
      <c r="Q2" s="590" t="s">
        <v>603</v>
      </c>
      <c r="R2" s="590" t="s">
        <v>603</v>
      </c>
      <c r="S2" s="590"/>
      <c r="T2" s="591" t="s">
        <v>801</v>
      </c>
      <c r="U2" s="591"/>
      <c r="V2" s="591"/>
      <c r="W2" s="592"/>
      <c r="X2" s="592"/>
      <c r="Y2" s="592"/>
      <c r="AD2" s="589"/>
      <c r="AE2" s="583"/>
      <c r="AF2" s="590"/>
      <c r="AG2" s="593" t="s">
        <v>801</v>
      </c>
      <c r="AH2" s="593"/>
      <c r="AI2" s="593"/>
      <c r="AJ2" s="592"/>
      <c r="AK2" s="592"/>
      <c r="AL2" s="592"/>
      <c r="AM2" s="108"/>
      <c r="AQ2" s="588" t="s">
        <v>604</v>
      </c>
      <c r="AR2" s="588"/>
      <c r="AS2" s="590" t="s">
        <v>604</v>
      </c>
      <c r="AT2" s="590" t="s">
        <v>604</v>
      </c>
      <c r="AU2" s="590"/>
      <c r="AV2" s="591" t="s">
        <v>801</v>
      </c>
      <c r="AW2" s="591"/>
      <c r="AX2" s="591"/>
      <c r="AY2" s="592"/>
      <c r="AZ2" s="592"/>
      <c r="BA2" s="592"/>
    </row>
    <row r="3" spans="1:58" ht="43.2" x14ac:dyDescent="0.3">
      <c r="B3" s="108" t="s">
        <v>1</v>
      </c>
      <c r="C3" s="108" t="s">
        <v>2</v>
      </c>
      <c r="D3" s="378" t="s">
        <v>930</v>
      </c>
      <c r="E3" s="108" t="s">
        <v>5</v>
      </c>
      <c r="F3" s="108" t="s">
        <v>7</v>
      </c>
      <c r="G3" s="594" t="s">
        <v>1176</v>
      </c>
      <c r="H3" s="594" t="s">
        <v>1176</v>
      </c>
      <c r="I3" s="740" t="s">
        <v>593</v>
      </c>
      <c r="J3" s="533"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row>
    <row r="4" spans="1:58" x14ac:dyDescent="0.3">
      <c r="G4" s="33" t="s">
        <v>85</v>
      </c>
      <c r="H4" s="33" t="s">
        <v>522</v>
      </c>
      <c r="I4" s="595"/>
      <c r="J4" s="601" t="s">
        <v>595</v>
      </c>
      <c r="L4" s="31" t="s">
        <v>88</v>
      </c>
      <c r="O4" s="86" t="s">
        <v>596</v>
      </c>
      <c r="P4" s="87" t="s">
        <v>597</v>
      </c>
      <c r="Q4" s="583" t="s">
        <v>88</v>
      </c>
      <c r="R4" s="586" t="s">
        <v>596</v>
      </c>
      <c r="S4" s="586" t="s">
        <v>597</v>
      </c>
      <c r="T4" s="117" t="s">
        <v>88</v>
      </c>
      <c r="U4" s="117" t="s">
        <v>88</v>
      </c>
      <c r="V4" s="117" t="s">
        <v>88</v>
      </c>
      <c r="W4" s="592"/>
      <c r="X4" s="592"/>
      <c r="Y4" s="592"/>
      <c r="AA4" s="31" t="s">
        <v>88</v>
      </c>
      <c r="AD4" s="87" t="s">
        <v>596</v>
      </c>
      <c r="AE4" s="583" t="s">
        <v>88</v>
      </c>
      <c r="AF4" s="586" t="s">
        <v>596</v>
      </c>
      <c r="AG4" s="292" t="s">
        <v>88</v>
      </c>
      <c r="AH4" s="292" t="s">
        <v>88</v>
      </c>
      <c r="AI4" s="292" t="s">
        <v>88</v>
      </c>
      <c r="AJ4" s="602"/>
      <c r="AK4" s="602"/>
      <c r="AL4" s="602"/>
      <c r="AN4" s="31" t="s">
        <v>88</v>
      </c>
      <c r="AQ4" s="86" t="s">
        <v>596</v>
      </c>
      <c r="AR4" s="86" t="s">
        <v>597</v>
      </c>
      <c r="AS4" s="583" t="s">
        <v>88</v>
      </c>
      <c r="AT4" s="586" t="s">
        <v>596</v>
      </c>
      <c r="AU4" s="586" t="s">
        <v>597</v>
      </c>
      <c r="AV4" s="302" t="s">
        <v>88</v>
      </c>
      <c r="AW4" s="302" t="s">
        <v>88</v>
      </c>
      <c r="AX4" s="302" t="s">
        <v>88</v>
      </c>
      <c r="AY4" s="602"/>
      <c r="AZ4" s="602"/>
      <c r="BA4" s="648"/>
      <c r="BB4" s="319"/>
      <c r="BC4" s="192"/>
      <c r="BD4" s="603"/>
    </row>
    <row r="5" spans="1:58" x14ac:dyDescent="0.3">
      <c r="B5" s="108"/>
      <c r="C5" s="108"/>
      <c r="D5" s="378"/>
      <c r="E5" s="108"/>
      <c r="F5" s="108"/>
      <c r="G5" s="33"/>
      <c r="H5" s="33"/>
      <c r="I5" s="595"/>
      <c r="J5" s="601"/>
      <c r="O5" s="344"/>
      <c r="P5" s="344"/>
      <c r="Q5" s="659"/>
      <c r="R5" s="659"/>
      <c r="S5" s="659"/>
      <c r="T5" s="343"/>
      <c r="U5" s="343"/>
      <c r="V5" s="343"/>
      <c r="W5" s="153"/>
      <c r="X5" s="153"/>
      <c r="Y5" s="153"/>
      <c r="AD5" s="85"/>
      <c r="AE5" s="583"/>
      <c r="AF5" s="583"/>
      <c r="AG5" s="184"/>
      <c r="AH5" s="184"/>
      <c r="AI5" s="184"/>
      <c r="BB5" s="319"/>
      <c r="BC5" s="319"/>
    </row>
    <row r="6" spans="1:58" x14ac:dyDescent="0.3">
      <c r="A6" s="31">
        <v>1</v>
      </c>
      <c r="B6" s="34" t="s">
        <v>51</v>
      </c>
      <c r="C6" s="31" t="s">
        <v>147</v>
      </c>
      <c r="D6" s="473" t="s">
        <v>899</v>
      </c>
      <c r="E6" s="115" t="s">
        <v>46</v>
      </c>
      <c r="F6" s="31" t="s">
        <v>691</v>
      </c>
      <c r="G6" s="31">
        <v>25</v>
      </c>
      <c r="H6" s="31">
        <f>G6+273.15</f>
        <v>298.14999999999998</v>
      </c>
      <c r="I6" s="717">
        <f>-LOG10(EXP(LN(10^-14)+13.36*(1/298.15-1/H6)/0.0019872))</f>
        <v>14</v>
      </c>
      <c r="J6" s="92">
        <v>17.68</v>
      </c>
      <c r="K6" s="31">
        <v>5</v>
      </c>
      <c r="L6" s="31" t="s">
        <v>116</v>
      </c>
      <c r="O6" s="85"/>
      <c r="P6" s="85"/>
      <c r="Q6" s="653"/>
      <c r="R6" s="208"/>
      <c r="S6" s="208"/>
      <c r="T6" s="412"/>
      <c r="U6" s="412"/>
      <c r="V6" s="412"/>
      <c r="Z6" s="31">
        <v>7</v>
      </c>
      <c r="AA6" s="31">
        <v>465</v>
      </c>
      <c r="AC6" s="31" t="s">
        <v>605</v>
      </c>
      <c r="AD6" s="262">
        <f>(LN(2)/AA6)/(24*60*60)</f>
        <v>1.7252767337712695E-8</v>
      </c>
      <c r="AE6" s="653">
        <f>(LN(2)/AF6)/(60*60*24)</f>
        <v>464.99999999999937</v>
      </c>
      <c r="AF6" s="209">
        <f>EXP(LN(AD6)+$J6*(1/$H6-1/298.15)/0.0019872)</f>
        <v>1.7252767337712719E-8</v>
      </c>
      <c r="AG6" s="184">
        <f>AE6</f>
        <v>464.99999999999937</v>
      </c>
      <c r="AH6" s="184"/>
      <c r="AI6" s="184"/>
      <c r="AS6" s="653"/>
      <c r="AT6" s="208"/>
      <c r="AU6" s="208"/>
      <c r="AV6" s="412">
        <f>AVERAGE(AS7:AS8)</f>
        <v>42.8</v>
      </c>
      <c r="AW6" s="412">
        <f>MEDIAN(AS7:AS8)</f>
        <v>42.8</v>
      </c>
      <c r="AX6" s="412">
        <f>STDEV(AS7:AS8)</f>
        <v>20.081832585697956</v>
      </c>
      <c r="BB6" s="185" t="s">
        <v>160</v>
      </c>
      <c r="BC6" s="185" t="s">
        <v>161</v>
      </c>
    </row>
    <row r="7" spans="1:58" x14ac:dyDescent="0.3">
      <c r="B7" s="34"/>
      <c r="E7" s="115"/>
      <c r="G7" s="31">
        <v>25</v>
      </c>
      <c r="H7" s="31">
        <f>G7+273.15</f>
        <v>298.14999999999998</v>
      </c>
      <c r="I7" s="717">
        <f>-LOG10(EXP(LN(10^-14)+13.36*(1/298.15-1/H7)/0.0019872))</f>
        <v>14</v>
      </c>
      <c r="J7" s="92">
        <v>17.68</v>
      </c>
      <c r="O7" s="85"/>
      <c r="P7" s="85"/>
      <c r="Q7" s="653"/>
      <c r="R7" s="208"/>
      <c r="S7" s="208"/>
      <c r="T7" s="412"/>
      <c r="U7" s="412"/>
      <c r="V7" s="412"/>
      <c r="AD7" s="262"/>
      <c r="AE7" s="653"/>
      <c r="AF7" s="209"/>
      <c r="AG7" s="184"/>
      <c r="AH7" s="184"/>
      <c r="AI7" s="184"/>
      <c r="AM7" s="31">
        <v>9</v>
      </c>
      <c r="AN7" s="31">
        <v>57</v>
      </c>
      <c r="AP7" s="31" t="s">
        <v>605</v>
      </c>
      <c r="AQ7" s="250">
        <f>(LN(2)/AN7)/(24*60*60)*10^(9-AM7)</f>
        <v>1.4074625986028779E-7</v>
      </c>
      <c r="AR7" s="250">
        <f>AQ7*10^($I7-9)</f>
        <v>1.407462598602878E-2</v>
      </c>
      <c r="AS7" s="653">
        <f>(LN(2)/AT7)/(60*60*24)</f>
        <v>57</v>
      </c>
      <c r="AT7" s="209">
        <f>AU7*10^(9-14)</f>
        <v>1.4074625986028779E-7</v>
      </c>
      <c r="AU7" s="209">
        <f>EXP(LN(AR7)+J7*(1/H7-1/298.15)/0.0019872)</f>
        <v>1.4074625986028778E-2</v>
      </c>
    </row>
    <row r="8" spans="1:58" x14ac:dyDescent="0.3">
      <c r="B8" s="34"/>
      <c r="E8" s="115"/>
      <c r="F8" s="31" t="s">
        <v>692</v>
      </c>
      <c r="G8" s="31">
        <v>25</v>
      </c>
      <c r="H8" s="31">
        <f>G8+273.15</f>
        <v>298.14999999999998</v>
      </c>
      <c r="I8" s="717">
        <f>-LOG10(EXP(LN(10^-14)+13.36*(1/298.15-1/H8)/0.0019872))</f>
        <v>14</v>
      </c>
      <c r="J8" s="92">
        <v>17.68</v>
      </c>
      <c r="O8" s="85"/>
      <c r="P8" s="85"/>
      <c r="Q8" s="653"/>
      <c r="R8" s="208"/>
      <c r="S8" s="208"/>
      <c r="T8" s="412"/>
      <c r="U8" s="412"/>
      <c r="V8" s="412"/>
      <c r="AD8" s="262"/>
      <c r="AE8" s="653"/>
      <c r="AF8" s="209"/>
      <c r="AG8" s="184"/>
      <c r="AH8" s="184"/>
      <c r="AI8" s="184"/>
      <c r="AM8" s="31">
        <v>9</v>
      </c>
      <c r="AN8" s="31">
        <v>28.6</v>
      </c>
      <c r="AP8" s="31" t="s">
        <v>605</v>
      </c>
      <c r="AQ8" s="250">
        <f>(LN(2)/AN8)/(24*60*60)*10^(9-AM8)</f>
        <v>2.8050828014113297E-7</v>
      </c>
      <c r="AR8" s="250">
        <f>AQ8*10^($I8-9)</f>
        <v>2.8050828014113297E-2</v>
      </c>
      <c r="AS8" s="653">
        <f>(LN(2)/AT8)/(60*60*24)</f>
        <v>28.599999999999994</v>
      </c>
      <c r="AT8" s="209">
        <f>AU8*10^(9-14)</f>
        <v>2.8050828014113308E-7</v>
      </c>
      <c r="AU8" s="209">
        <f>EXP(LN(AR8)+$J8*(1/$H8-1/298.15)/0.0019872)</f>
        <v>2.8050828014113304E-2</v>
      </c>
    </row>
    <row r="9" spans="1:58" x14ac:dyDescent="0.3">
      <c r="B9" s="34"/>
      <c r="E9" s="115"/>
      <c r="I9" s="717"/>
      <c r="J9" s="92"/>
      <c r="O9" s="85"/>
      <c r="P9" s="85"/>
      <c r="Q9" s="653"/>
      <c r="R9" s="208"/>
      <c r="S9" s="208"/>
      <c r="T9" s="412"/>
      <c r="U9" s="412"/>
      <c r="V9" s="412"/>
      <c r="AD9" s="262"/>
      <c r="AE9" s="653"/>
      <c r="AF9" s="209"/>
      <c r="AG9" s="184"/>
      <c r="AH9" s="184"/>
      <c r="AI9" s="184"/>
      <c r="AQ9" s="250"/>
      <c r="AR9" s="250"/>
      <c r="AS9" s="653"/>
      <c r="AT9" s="209"/>
      <c r="AU9" s="209"/>
    </row>
    <row r="10" spans="1:58" s="9" customFormat="1" x14ac:dyDescent="0.3">
      <c r="A10" s="42">
        <v>2</v>
      </c>
      <c r="B10" s="447" t="s">
        <v>52</v>
      </c>
      <c r="C10" s="42" t="s">
        <v>162</v>
      </c>
      <c r="D10" s="43" t="s">
        <v>899</v>
      </c>
      <c r="E10" s="285" t="s">
        <v>47</v>
      </c>
      <c r="F10" s="42"/>
      <c r="G10" s="42">
        <v>70</v>
      </c>
      <c r="H10" s="42">
        <f t="shared" ref="H10:H34" si="0">G10+273.15</f>
        <v>343.15</v>
      </c>
      <c r="I10" s="744">
        <f t="shared" ref="I10:I34" si="1">-LOG10(EXP(LN(10^-14)+13.36*(1/298.15-1/H10)/0.0019872))</f>
        <v>12.715769772716893</v>
      </c>
      <c r="J10" s="93">
        <v>17.68</v>
      </c>
      <c r="K10" s="42">
        <v>1</v>
      </c>
      <c r="L10" s="42" t="s">
        <v>163</v>
      </c>
      <c r="M10" s="42"/>
      <c r="N10" s="42" t="s">
        <v>605</v>
      </c>
      <c r="O10" s="464"/>
      <c r="P10" s="464"/>
      <c r="Q10" s="749"/>
      <c r="R10" s="216"/>
      <c r="S10" s="216"/>
      <c r="T10" s="475"/>
      <c r="U10" s="475"/>
      <c r="V10" s="475"/>
      <c r="W10" s="476"/>
      <c r="X10" s="476"/>
      <c r="Y10" s="476"/>
      <c r="Z10" s="42"/>
      <c r="AA10" s="42"/>
      <c r="AB10" s="42"/>
      <c r="AC10" s="42"/>
      <c r="AD10" s="455"/>
      <c r="AE10" s="749"/>
      <c r="AF10" s="217"/>
      <c r="AG10" s="475">
        <f>AVERAGE(AE13:AE21)</f>
        <v>17104.943081124689</v>
      </c>
      <c r="AH10" s="475">
        <f>MEDIAN(AE13:AE21)</f>
        <v>12614.123283601235</v>
      </c>
      <c r="AI10" s="475">
        <f>STDEV(AE13:AE21)</f>
        <v>17322.758316499196</v>
      </c>
      <c r="AJ10" s="476"/>
      <c r="AK10" s="476"/>
      <c r="AL10" s="476"/>
      <c r="AM10" s="42"/>
      <c r="AN10" s="42"/>
      <c r="AO10" s="42"/>
      <c r="AP10" s="42"/>
      <c r="AQ10" s="479"/>
      <c r="AR10" s="479"/>
      <c r="AS10" s="749"/>
      <c r="AT10" s="217"/>
      <c r="AU10" s="217"/>
      <c r="AV10" s="886">
        <f>AVERAGE(AS11:AS22)</f>
        <v>7211.5310940300114</v>
      </c>
      <c r="AW10" s="475">
        <f>MEDIAN(AS11:AS22)</f>
        <v>6457.8179830555255</v>
      </c>
      <c r="AX10" s="475">
        <f>STDEV(AS11:AS23)</f>
        <v>5442.802266178599</v>
      </c>
      <c r="AY10" s="42"/>
      <c r="AZ10" s="42"/>
      <c r="BA10" s="42"/>
      <c r="BB10" s="902" t="s">
        <v>164</v>
      </c>
      <c r="BC10" s="904" t="s">
        <v>166</v>
      </c>
      <c r="BD10" s="187"/>
      <c r="BE10" s="42"/>
      <c r="BF10" s="42"/>
    </row>
    <row r="11" spans="1:58" ht="36.75" customHeight="1" x14ac:dyDescent="0.3">
      <c r="E11" s="115"/>
      <c r="G11" s="31">
        <v>25</v>
      </c>
      <c r="H11" s="31">
        <f t="shared" si="0"/>
        <v>298.14999999999998</v>
      </c>
      <c r="I11" s="717">
        <f t="shared" si="1"/>
        <v>14</v>
      </c>
      <c r="J11" s="92">
        <v>17.68</v>
      </c>
      <c r="K11" s="31">
        <v>5</v>
      </c>
      <c r="L11" s="31" t="s">
        <v>163</v>
      </c>
      <c r="N11" s="31" t="s">
        <v>605</v>
      </c>
      <c r="O11" s="85"/>
      <c r="P11" s="85"/>
      <c r="Q11" s="653"/>
      <c r="R11" s="208"/>
      <c r="S11" s="208"/>
      <c r="T11" s="412"/>
      <c r="U11" s="412"/>
      <c r="V11" s="412"/>
      <c r="Z11" s="31">
        <v>7</v>
      </c>
      <c r="AA11" s="31" t="s">
        <v>163</v>
      </c>
      <c r="AC11" s="31" t="s">
        <v>605</v>
      </c>
      <c r="AD11" s="262"/>
      <c r="AE11" s="653"/>
      <c r="AF11" s="209"/>
      <c r="AG11" s="184"/>
      <c r="AH11" s="184"/>
      <c r="AI11" s="184"/>
      <c r="AS11" s="653"/>
      <c r="AT11" s="208"/>
      <c r="AU11" s="208"/>
      <c r="BB11" s="903"/>
      <c r="BC11" s="905"/>
    </row>
    <row r="12" spans="1:58" ht="36.75" customHeight="1" x14ac:dyDescent="0.3">
      <c r="E12" s="115"/>
      <c r="G12" s="31">
        <v>25</v>
      </c>
      <c r="H12" s="31">
        <f t="shared" si="0"/>
        <v>298.14999999999998</v>
      </c>
      <c r="I12" s="717">
        <f t="shared" si="1"/>
        <v>14</v>
      </c>
      <c r="J12" s="92">
        <v>17.68</v>
      </c>
      <c r="O12" s="85"/>
      <c r="P12" s="85"/>
      <c r="Q12" s="653"/>
      <c r="R12" s="208"/>
      <c r="S12" s="208"/>
      <c r="T12" s="412"/>
      <c r="U12" s="412"/>
      <c r="V12" s="412"/>
      <c r="AD12" s="262"/>
      <c r="AE12" s="653"/>
      <c r="AF12" s="209"/>
      <c r="AG12" s="184"/>
      <c r="AH12" s="184"/>
      <c r="AI12" s="184"/>
      <c r="AM12" s="31">
        <v>9</v>
      </c>
      <c r="AN12" s="31">
        <v>9062.7999999999993</v>
      </c>
      <c r="AP12" s="31" t="s">
        <v>605</v>
      </c>
      <c r="AQ12" s="250">
        <f>(LN(2)/AN12)/(24*60*60)*10^(9-AM12)</f>
        <v>8.8521613762153028E-10</v>
      </c>
      <c r="AR12" s="250">
        <f>AQ12*10^($I12-9)</f>
        <v>8.8521613762153028E-5</v>
      </c>
      <c r="AS12" s="682">
        <f>(LN(2)/AT12)/(60*60*24)</f>
        <v>9062.8000000000047</v>
      </c>
      <c r="AT12" s="209">
        <f>AU12*10^(9-14)</f>
        <v>8.8521613762152977E-10</v>
      </c>
      <c r="AU12" s="209">
        <f>EXP(LN(AR12)+J12*(1/H12-1/298.15)/0.0019872)</f>
        <v>8.8521613762152974E-5</v>
      </c>
      <c r="BB12" s="903"/>
      <c r="BC12" s="905"/>
    </row>
    <row r="13" spans="1:58" x14ac:dyDescent="0.3">
      <c r="B13" s="34"/>
      <c r="E13" s="115"/>
      <c r="G13" s="31">
        <v>50</v>
      </c>
      <c r="H13" s="31">
        <f t="shared" si="0"/>
        <v>323.14999999999998</v>
      </c>
      <c r="I13" s="717">
        <f t="shared" si="1"/>
        <v>13.242382102408241</v>
      </c>
      <c r="J13" s="92">
        <v>17.68</v>
      </c>
      <c r="O13" s="85"/>
      <c r="P13" s="85"/>
      <c r="Q13" s="653"/>
      <c r="R13" s="208"/>
      <c r="S13" s="208"/>
      <c r="T13" s="412"/>
      <c r="U13" s="412"/>
      <c r="V13" s="412"/>
      <c r="Z13" s="31">
        <v>7</v>
      </c>
      <c r="AA13" s="31">
        <v>4066</v>
      </c>
      <c r="AC13" s="31" t="s">
        <v>605</v>
      </c>
      <c r="AD13" s="262">
        <f>(LN(2)/AA13)/(24*60*60)</f>
        <v>1.973078409256371E-9</v>
      </c>
      <c r="AE13" s="653">
        <f t="shared" ref="AE13:AE27" si="2">(LN(2)/AF13)/(60*60*24)</f>
        <v>40903.786625549168</v>
      </c>
      <c r="AF13" s="209">
        <f t="shared" ref="AF13:AF27" si="3">EXP(LN(AD13)+$J13*(1/$H13-1/298.15)/0.0019872)</f>
        <v>1.9613188591751057E-10</v>
      </c>
      <c r="AG13" s="184"/>
      <c r="AH13" s="184"/>
      <c r="AI13" s="184"/>
      <c r="AS13" s="653"/>
      <c r="AT13" s="208"/>
      <c r="AU13" s="208"/>
      <c r="BB13" s="903"/>
      <c r="BC13" s="905"/>
    </row>
    <row r="14" spans="1:58" x14ac:dyDescent="0.3">
      <c r="B14" s="34"/>
      <c r="E14" s="115"/>
      <c r="G14" s="31">
        <v>50</v>
      </c>
      <c r="H14" s="31">
        <f t="shared" si="0"/>
        <v>323.14999999999998</v>
      </c>
      <c r="I14" s="717">
        <f t="shared" si="1"/>
        <v>13.242382102408241</v>
      </c>
      <c r="J14" s="92">
        <v>17.68</v>
      </c>
      <c r="O14" s="85"/>
      <c r="P14" s="85"/>
      <c r="Q14" s="653"/>
      <c r="R14" s="208"/>
      <c r="S14" s="208"/>
      <c r="T14" s="412"/>
      <c r="U14" s="412"/>
      <c r="V14" s="412"/>
      <c r="AD14" s="262"/>
      <c r="AE14" s="653"/>
      <c r="AF14" s="209"/>
      <c r="AG14" s="184"/>
      <c r="AH14" s="184"/>
      <c r="AI14" s="184"/>
      <c r="AM14" s="31">
        <v>9</v>
      </c>
      <c r="AN14" s="31">
        <v>185.2</v>
      </c>
      <c r="AP14" s="31" t="s">
        <v>605</v>
      </c>
      <c r="AQ14" s="250">
        <f>(LN(2)/AN14)/(24*60*60)*10^(9-AM14)</f>
        <v>4.3318233326330477E-8</v>
      </c>
      <c r="AR14" s="250">
        <f>AQ14*10^($I14-9)</f>
        <v>7.5692498102873337E-4</v>
      </c>
      <c r="AS14" s="682">
        <f>(LN(2)/AT14)/(60*60*24)</f>
        <v>10662.401198334486</v>
      </c>
      <c r="AT14" s="209">
        <f>AU14*10^(9-14)</f>
        <v>7.5241370708218705E-10</v>
      </c>
      <c r="AU14" s="209">
        <f>EXP(LN(AR14)+J14*(1/H14-1/298.15)/0.0019872)</f>
        <v>7.52413707082187E-5</v>
      </c>
      <c r="BB14" s="903"/>
      <c r="BC14" s="905"/>
    </row>
    <row r="15" spans="1:58" x14ac:dyDescent="0.3">
      <c r="B15" s="34"/>
      <c r="E15" s="115"/>
      <c r="G15" s="31">
        <v>70</v>
      </c>
      <c r="H15" s="31">
        <f t="shared" si="0"/>
        <v>343.15</v>
      </c>
      <c r="I15" s="717">
        <f t="shared" si="1"/>
        <v>12.715769772716893</v>
      </c>
      <c r="J15" s="92">
        <v>17.68</v>
      </c>
      <c r="K15" s="31">
        <v>5</v>
      </c>
      <c r="L15" s="31" t="s">
        <v>163</v>
      </c>
      <c r="N15" s="31" t="s">
        <v>605</v>
      </c>
      <c r="O15" s="85"/>
      <c r="P15" s="85"/>
      <c r="Q15" s="653"/>
      <c r="R15" s="208"/>
      <c r="S15" s="208"/>
      <c r="T15" s="412"/>
      <c r="U15" s="412"/>
      <c r="V15" s="412"/>
      <c r="Z15" s="31">
        <v>7</v>
      </c>
      <c r="AA15" s="31">
        <v>130.5</v>
      </c>
      <c r="AC15" s="31" t="s">
        <v>605</v>
      </c>
      <c r="AD15" s="262">
        <f>(LN(2)/AA15)/(24*60*60)</f>
        <v>6.1475377870010758E-8</v>
      </c>
      <c r="AE15" s="653">
        <f t="shared" si="2"/>
        <v>6532.8218094748327</v>
      </c>
      <c r="AF15" s="209">
        <f t="shared" si="3"/>
        <v>1.2280354563476647E-9</v>
      </c>
      <c r="AG15" s="184"/>
      <c r="AH15" s="184"/>
      <c r="AI15" s="184"/>
      <c r="AS15" s="653"/>
      <c r="AT15" s="208"/>
      <c r="AU15" s="208"/>
      <c r="BB15" s="903"/>
      <c r="BC15" s="905"/>
    </row>
    <row r="16" spans="1:58" x14ac:dyDescent="0.3">
      <c r="B16" s="34"/>
      <c r="E16" s="115"/>
      <c r="G16" s="31">
        <v>70</v>
      </c>
      <c r="H16" s="31">
        <f t="shared" si="0"/>
        <v>343.15</v>
      </c>
      <c r="I16" s="717">
        <f t="shared" si="1"/>
        <v>12.715769772716893</v>
      </c>
      <c r="J16" s="92">
        <v>17.68</v>
      </c>
      <c r="O16" s="85"/>
      <c r="P16" s="85"/>
      <c r="Q16" s="653"/>
      <c r="R16" s="208"/>
      <c r="S16" s="208"/>
      <c r="T16" s="412"/>
      <c r="U16" s="412"/>
      <c r="V16" s="412"/>
      <c r="AD16" s="262"/>
      <c r="AE16" s="653"/>
      <c r="AF16" s="209"/>
      <c r="AG16" s="184"/>
      <c r="AH16" s="184"/>
      <c r="AI16" s="184"/>
      <c r="AM16" s="31">
        <v>9</v>
      </c>
      <c r="AN16" s="31">
        <v>4</v>
      </c>
      <c r="AP16" s="31" t="s">
        <v>605</v>
      </c>
      <c r="AQ16" s="250">
        <f>(LN(2)/AN16)/(24*60*60)*10^(9-AM16)</f>
        <v>2.0056342030091009E-6</v>
      </c>
      <c r="AR16" s="250">
        <f>AQ16*10^($I16-9)</f>
        <v>1.0423690310913624E-2</v>
      </c>
      <c r="AS16" s="682">
        <f>(LN(2)/AT16)/(60*60*24)</f>
        <v>3852.8359661110458</v>
      </c>
      <c r="AT16" s="209">
        <f>AU16*10^(9-14)</f>
        <v>2.0822419855403674E-9</v>
      </c>
      <c r="AU16" s="209">
        <f>EXP(LN(AR16)+J16*(1/H16-1/298.15)/0.0019872)</f>
        <v>2.0822419855403673E-4</v>
      </c>
      <c r="BB16" s="581"/>
      <c r="BC16" s="581"/>
    </row>
    <row r="17" spans="1:58" ht="17.25" customHeight="1" x14ac:dyDescent="0.3">
      <c r="B17" s="34"/>
      <c r="E17" s="115"/>
      <c r="G17" s="31">
        <v>25</v>
      </c>
      <c r="H17" s="31">
        <f t="shared" si="0"/>
        <v>298.14999999999998</v>
      </c>
      <c r="I17" s="717">
        <f t="shared" si="1"/>
        <v>14</v>
      </c>
      <c r="J17" s="92">
        <v>17.68</v>
      </c>
      <c r="K17" s="31">
        <v>5</v>
      </c>
      <c r="L17" s="31" t="s">
        <v>163</v>
      </c>
      <c r="N17" s="31" t="s">
        <v>605</v>
      </c>
      <c r="O17" s="85"/>
      <c r="P17" s="85"/>
      <c r="Q17" s="653"/>
      <c r="R17" s="208"/>
      <c r="S17" s="208"/>
      <c r="T17" s="412"/>
      <c r="U17" s="412"/>
      <c r="V17" s="412"/>
      <c r="Z17" s="31">
        <v>7</v>
      </c>
      <c r="AA17" s="31" t="s">
        <v>163</v>
      </c>
      <c r="AC17" s="31" t="s">
        <v>605</v>
      </c>
      <c r="AD17" s="262"/>
      <c r="AE17" s="653"/>
      <c r="AF17" s="209"/>
      <c r="AG17" s="184"/>
      <c r="AH17" s="184"/>
      <c r="AI17" s="184"/>
      <c r="AS17" s="653"/>
      <c r="AT17" s="208"/>
      <c r="AU17" s="208"/>
      <c r="BB17" s="906" t="s">
        <v>165</v>
      </c>
      <c r="BC17" s="907" t="s">
        <v>152</v>
      </c>
    </row>
    <row r="18" spans="1:58" ht="17.25" customHeight="1" x14ac:dyDescent="0.3">
      <c r="B18" s="34"/>
      <c r="E18" s="115"/>
      <c r="G18" s="31">
        <v>25</v>
      </c>
      <c r="H18" s="31">
        <f t="shared" si="0"/>
        <v>298.14999999999998</v>
      </c>
      <c r="I18" s="717">
        <f t="shared" si="1"/>
        <v>14</v>
      </c>
      <c r="J18" s="92">
        <v>17.68</v>
      </c>
      <c r="O18" s="85"/>
      <c r="P18" s="85"/>
      <c r="Q18" s="653"/>
      <c r="R18" s="208"/>
      <c r="S18" s="208"/>
      <c r="T18" s="412"/>
      <c r="U18" s="412"/>
      <c r="V18" s="412"/>
      <c r="AD18" s="262"/>
      <c r="AE18" s="653"/>
      <c r="AF18" s="209"/>
      <c r="AG18" s="184"/>
      <c r="AH18" s="184"/>
      <c r="AI18" s="184"/>
      <c r="AM18" s="31">
        <v>9</v>
      </c>
      <c r="AN18" s="31">
        <v>15512.1</v>
      </c>
      <c r="AP18" s="31" t="s">
        <v>605</v>
      </c>
      <c r="AQ18" s="250">
        <f>(LN(2)/AN18)/(24*60*60)*10^(9-AM18)</f>
        <v>5.1717928662375842E-10</v>
      </c>
      <c r="AR18" s="250">
        <f>AQ18*10^($I18-9)</f>
        <v>5.1717928662375839E-5</v>
      </c>
      <c r="AS18" s="682">
        <f>(LN(2)/AT18)/(60*60*24)</f>
        <v>15512.100000000006</v>
      </c>
      <c r="AT18" s="209">
        <f>AU18*10^(9-14)</f>
        <v>5.1717928662375832E-10</v>
      </c>
      <c r="AU18" s="209">
        <f>EXP(LN(AR18)+J18*(1/H18-1/298.15)/0.0019872)</f>
        <v>5.1717928662375833E-5</v>
      </c>
      <c r="BB18" s="906"/>
      <c r="BC18" s="907"/>
    </row>
    <row r="19" spans="1:58" ht="15" customHeight="1" x14ac:dyDescent="0.3">
      <c r="B19" s="34"/>
      <c r="E19" s="115"/>
      <c r="G19" s="31">
        <v>50</v>
      </c>
      <c r="H19" s="31">
        <f t="shared" si="0"/>
        <v>323.14999999999998</v>
      </c>
      <c r="I19" s="717">
        <f t="shared" si="1"/>
        <v>13.242382102408241</v>
      </c>
      <c r="J19" s="92">
        <v>17.68</v>
      </c>
      <c r="O19" s="85"/>
      <c r="P19" s="85"/>
      <c r="Q19" s="653"/>
      <c r="R19" s="208"/>
      <c r="S19" s="208"/>
      <c r="T19" s="412"/>
      <c r="U19" s="412"/>
      <c r="V19" s="412"/>
      <c r="Z19" s="31">
        <v>7</v>
      </c>
      <c r="AA19" s="31">
        <v>1858.4</v>
      </c>
      <c r="AC19" s="31" t="s">
        <v>605</v>
      </c>
      <c r="AD19" s="262">
        <f>(LN(2)/AA19)/(24*60*60)</f>
        <v>4.3169053013540693E-9</v>
      </c>
      <c r="AE19" s="653">
        <f t="shared" si="2"/>
        <v>18695.424757727636</v>
      </c>
      <c r="AF19" s="209">
        <f t="shared" si="3"/>
        <v>4.2911765397147976E-10</v>
      </c>
      <c r="AG19" s="184"/>
      <c r="AH19" s="184"/>
      <c r="AI19" s="184"/>
      <c r="AS19" s="653"/>
      <c r="AT19" s="208"/>
      <c r="AU19" s="208"/>
      <c r="BB19" s="906"/>
      <c r="BC19" s="907"/>
    </row>
    <row r="20" spans="1:58" ht="15" customHeight="1" x14ac:dyDescent="0.3">
      <c r="B20" s="34"/>
      <c r="E20" s="115"/>
      <c r="G20" s="31">
        <v>50</v>
      </c>
      <c r="H20" s="31">
        <f t="shared" si="0"/>
        <v>323.14999999999998</v>
      </c>
      <c r="I20" s="717">
        <f t="shared" si="1"/>
        <v>13.242382102408241</v>
      </c>
      <c r="J20" s="92">
        <v>17.68</v>
      </c>
      <c r="O20" s="85"/>
      <c r="P20" s="85"/>
      <c r="Q20" s="653"/>
      <c r="R20" s="208"/>
      <c r="S20" s="208"/>
      <c r="T20" s="412"/>
      <c r="U20" s="412"/>
      <c r="V20" s="412"/>
      <c r="AD20" s="262"/>
      <c r="AE20" s="653"/>
      <c r="AF20" s="209"/>
      <c r="AG20" s="184"/>
      <c r="AH20" s="184"/>
      <c r="AI20" s="184"/>
      <c r="AM20" s="31">
        <v>9</v>
      </c>
      <c r="AN20" s="31">
        <v>40.799999999999997</v>
      </c>
      <c r="AP20" s="31" t="s">
        <v>605</v>
      </c>
      <c r="AQ20" s="250">
        <f>(LN(2)/AN20)/(24*60*60)*10^(9-AM20)</f>
        <v>1.9663080421657856E-7</v>
      </c>
      <c r="AR20" s="250">
        <f>AQ20*10^($I20-9)</f>
        <v>3.4358457472186627E-3</v>
      </c>
      <c r="AS20" s="682">
        <f>(LN(2)/AT20)/(60*60*24)</f>
        <v>2348.9523158317843</v>
      </c>
      <c r="AT20" s="209">
        <f>AU20*10^(9-14)</f>
        <v>3.4153681017554222E-9</v>
      </c>
      <c r="AU20" s="209">
        <f>EXP(LN(AR20)+J20*(1/H20-1/298.15)/0.0019872)</f>
        <v>3.4153681017554219E-4</v>
      </c>
      <c r="BB20" s="906"/>
      <c r="BC20" s="907"/>
    </row>
    <row r="21" spans="1:58" x14ac:dyDescent="0.3">
      <c r="B21" s="34"/>
      <c r="E21" s="115"/>
      <c r="G21" s="31">
        <v>70</v>
      </c>
      <c r="H21" s="31">
        <f t="shared" si="0"/>
        <v>343.15</v>
      </c>
      <c r="I21" s="717">
        <f t="shared" si="1"/>
        <v>12.715769772716893</v>
      </c>
      <c r="J21" s="92">
        <v>17.68</v>
      </c>
      <c r="O21" s="85"/>
      <c r="P21" s="85"/>
      <c r="Q21" s="653"/>
      <c r="R21" s="208"/>
      <c r="S21" s="208"/>
      <c r="T21" s="412"/>
      <c r="U21" s="412"/>
      <c r="V21" s="412"/>
      <c r="Z21" s="31">
        <v>7</v>
      </c>
      <c r="AA21" s="31">
        <v>45.7</v>
      </c>
      <c r="AC21" s="31" t="s">
        <v>605</v>
      </c>
      <c r="AD21" s="262">
        <f>(LN(2)/AA21)/(24*60*60)</f>
        <v>1.7554785146687971E-7</v>
      </c>
      <c r="AE21" s="653">
        <f t="shared" si="2"/>
        <v>2287.7391317471215</v>
      </c>
      <c r="AF21" s="209">
        <f t="shared" si="3"/>
        <v>3.5067533272072326E-9</v>
      </c>
      <c r="AG21" s="184"/>
      <c r="AH21" s="184"/>
      <c r="AI21" s="184"/>
      <c r="AS21" s="653"/>
      <c r="AT21" s="208"/>
      <c r="AU21" s="208"/>
      <c r="BB21" s="906"/>
      <c r="BC21" s="907"/>
    </row>
    <row r="22" spans="1:58" x14ac:dyDescent="0.3">
      <c r="B22" s="34"/>
      <c r="E22" s="115"/>
      <c r="G22" s="31">
        <v>70</v>
      </c>
      <c r="H22" s="31">
        <f t="shared" si="0"/>
        <v>343.15</v>
      </c>
      <c r="I22" s="717">
        <f t="shared" si="1"/>
        <v>12.715769772716893</v>
      </c>
      <c r="J22" s="92">
        <v>17.68</v>
      </c>
      <c r="O22" s="85"/>
      <c r="P22" s="85"/>
      <c r="Q22" s="653"/>
      <c r="R22" s="208"/>
      <c r="S22" s="208"/>
      <c r="T22" s="412"/>
      <c r="U22" s="412"/>
      <c r="V22" s="412"/>
      <c r="AD22" s="262"/>
      <c r="AE22" s="653"/>
      <c r="AF22" s="209"/>
      <c r="AG22" s="184"/>
      <c r="AH22" s="184"/>
      <c r="AI22" s="184"/>
      <c r="AM22" s="31">
        <v>9</v>
      </c>
      <c r="AN22" s="31">
        <v>1.9</v>
      </c>
      <c r="AP22" s="31" t="s">
        <v>605</v>
      </c>
      <c r="AQ22" s="250">
        <f>(LN(2)/AN22)/(24*60*60)*10^(9-AM22)</f>
        <v>4.2223877958086339E-6</v>
      </c>
      <c r="AR22" s="250">
        <f>AQ22*10^($I22-9)</f>
        <v>2.194461118087079E-2</v>
      </c>
      <c r="AS22" s="682">
        <f>(LN(2)/AT22)/(60*60*24)</f>
        <v>1830.0970839027457</v>
      </c>
      <c r="AT22" s="209">
        <f>AU22*10^(9-14)</f>
        <v>4.3836673379797236E-9</v>
      </c>
      <c r="AU22" s="209">
        <f>EXP(LN(AR22)+J22*(1/H22-1/298.15)/0.0019872)</f>
        <v>4.3836673379797229E-4</v>
      </c>
      <c r="BB22" s="581"/>
      <c r="BC22" s="581"/>
    </row>
    <row r="23" spans="1:58" ht="15" thickBot="1" x14ac:dyDescent="0.35">
      <c r="B23" s="34"/>
      <c r="E23" s="115"/>
      <c r="I23" s="717"/>
      <c r="J23" s="92"/>
      <c r="O23" s="85"/>
      <c r="P23" s="85"/>
      <c r="Q23" s="653"/>
      <c r="R23" s="208"/>
      <c r="S23" s="208"/>
      <c r="T23" s="412"/>
      <c r="U23" s="412"/>
      <c r="V23" s="412"/>
      <c r="AD23" s="262"/>
      <c r="AE23" s="653"/>
      <c r="AF23" s="209"/>
      <c r="AG23" s="184"/>
      <c r="AH23" s="184"/>
      <c r="AI23" s="184"/>
      <c r="AQ23" s="250"/>
      <c r="AR23" s="250"/>
      <c r="AS23" s="682"/>
      <c r="AT23" s="209"/>
      <c r="AU23" s="209"/>
      <c r="BB23" s="581"/>
      <c r="BC23" s="581"/>
    </row>
    <row r="24" spans="1:58" s="8" customFormat="1" x14ac:dyDescent="0.3">
      <c r="A24" s="37">
        <v>3</v>
      </c>
      <c r="B24" s="367" t="s">
        <v>53</v>
      </c>
      <c r="C24" s="37" t="s">
        <v>167</v>
      </c>
      <c r="D24" s="38" t="s">
        <v>901</v>
      </c>
      <c r="E24" s="56" t="s">
        <v>48</v>
      </c>
      <c r="F24" s="37"/>
      <c r="G24" s="37">
        <v>50</v>
      </c>
      <c r="H24" s="37">
        <f t="shared" si="0"/>
        <v>323.14999999999998</v>
      </c>
      <c r="I24" s="716">
        <f t="shared" si="1"/>
        <v>13.242382102408241</v>
      </c>
      <c r="J24" s="818">
        <v>17.68</v>
      </c>
      <c r="K24" s="37">
        <v>5</v>
      </c>
      <c r="L24" s="37">
        <v>105</v>
      </c>
      <c r="M24" s="37"/>
      <c r="N24" s="37" t="s">
        <v>605</v>
      </c>
      <c r="O24" s="260">
        <f>(LN(2)/L24)/(60*60*24)*10^(K24-5)</f>
        <v>7.64051124955848E-8</v>
      </c>
      <c r="P24" s="260">
        <f>O24*10^5</f>
        <v>7.6405112495584798E-3</v>
      </c>
      <c r="Q24" s="654">
        <f>(LN(2)/R24)/(60*60*24)</f>
        <v>1056.2955227945572</v>
      </c>
      <c r="R24" s="215">
        <f>S24*10^-5</f>
        <v>7.5949737918152061E-9</v>
      </c>
      <c r="S24" s="215">
        <f>EXP(LN(P24)+$J24*(1/$H24-1/298.15)/0.0019872)</f>
        <v>7.5949737918152053E-4</v>
      </c>
      <c r="T24" s="410">
        <f>AVERAGE(Q24:Q27)</f>
        <v>749.62317127947586</v>
      </c>
      <c r="U24" s="410">
        <f>MEDIAN(Q24:Q28)</f>
        <v>702.91621182158542</v>
      </c>
      <c r="V24" s="410">
        <f>STDEV(Q24:Q28)</f>
        <v>564.34604089082927</v>
      </c>
      <c r="W24" s="477"/>
      <c r="X24" s="477"/>
      <c r="Y24" s="477"/>
      <c r="Z24" s="37">
        <v>7</v>
      </c>
      <c r="AA24" s="37">
        <v>32.5</v>
      </c>
      <c r="AB24" s="37"/>
      <c r="AC24" s="37" t="s">
        <v>605</v>
      </c>
      <c r="AD24" s="260">
        <f>(LN(2)/AA24)/(24*60*60)</f>
        <v>2.4684728652419705E-7</v>
      </c>
      <c r="AE24" s="654">
        <f t="shared" si="2"/>
        <v>326.94861419831483</v>
      </c>
      <c r="AF24" s="215">
        <f t="shared" si="3"/>
        <v>2.453760763509532E-8</v>
      </c>
      <c r="AG24" s="410">
        <f>AVERAGE(AE24:AE27)</f>
        <v>227.80468560250412</v>
      </c>
      <c r="AH24" s="410">
        <f>MEDIAN(AE24:AE27)</f>
        <v>239.57213000662816</v>
      </c>
      <c r="AI24" s="410">
        <f>STDEV(AE24:AE27)</f>
        <v>94.271120387643037</v>
      </c>
      <c r="AJ24" s="477"/>
      <c r="AK24" s="477"/>
      <c r="AL24" s="477"/>
      <c r="AM24" s="37">
        <v>9</v>
      </c>
      <c r="AN24" s="37">
        <v>0.8</v>
      </c>
      <c r="AO24" s="37"/>
      <c r="AP24" s="37" t="s">
        <v>605</v>
      </c>
      <c r="AQ24" s="249">
        <f>(LN(2)/AN24)/(24*60*60)*10^(9-AM24)</f>
        <v>1.0028171015045503E-5</v>
      </c>
      <c r="AR24" s="249">
        <f>AQ24*10^($I24-9)</f>
        <v>0.17522813310815175</v>
      </c>
      <c r="AS24" s="681">
        <f>(LN(2)/AT24)/(60*60*24)</f>
        <v>46.057888545721326</v>
      </c>
      <c r="AT24" s="215">
        <f>AU24*10^(9-14)</f>
        <v>1.7418377318952629E-7</v>
      </c>
      <c r="AU24" s="215">
        <f>EXP(LN(AR24)+$J24*(1/$H24-1/298.15)/0.0019872)</f>
        <v>1.7418377318952627E-2</v>
      </c>
      <c r="AV24" s="410">
        <f>AVERAGE(AS24:AS27)</f>
        <v>59.692929232832476</v>
      </c>
      <c r="AW24" s="410">
        <f>MEDIAN(AS24:AS27)</f>
        <v>46.057888545721326</v>
      </c>
      <c r="AX24" s="410">
        <f>STDEV(AS24:AS28)</f>
        <v>32.06397752698124</v>
      </c>
      <c r="AY24" s="37"/>
      <c r="AZ24" s="37"/>
      <c r="BA24" s="37"/>
      <c r="BB24" s="186"/>
      <c r="BC24" s="186"/>
      <c r="BD24" s="186"/>
      <c r="BE24" s="37"/>
      <c r="BF24" s="37"/>
    </row>
    <row r="25" spans="1:58" ht="30" customHeight="1" x14ac:dyDescent="0.3">
      <c r="B25" s="34"/>
      <c r="E25" s="115"/>
      <c r="G25" s="31">
        <v>25</v>
      </c>
      <c r="H25" s="31">
        <f t="shared" si="0"/>
        <v>298.14999999999998</v>
      </c>
      <c r="I25" s="717">
        <f t="shared" si="1"/>
        <v>14</v>
      </c>
      <c r="J25" s="819">
        <v>17.68</v>
      </c>
      <c r="K25" s="31">
        <v>5</v>
      </c>
      <c r="L25" s="31">
        <v>206</v>
      </c>
      <c r="N25" s="31" t="s">
        <v>605</v>
      </c>
      <c r="O25" s="262">
        <f>(LN(2)/L25)/(60*60*24)*10^(K25-5)</f>
        <v>3.8944353456487394E-8</v>
      </c>
      <c r="P25" s="262">
        <f>O25*10^5</f>
        <v>3.8944353456487396E-3</v>
      </c>
      <c r="Q25" s="653">
        <f>(LN(2)/R25)/(60*60*24)</f>
        <v>205.99999999999994</v>
      </c>
      <c r="R25" s="209">
        <f>S25*10^-5</f>
        <v>3.8944353456487401E-8</v>
      </c>
      <c r="S25" s="209">
        <f>EXP(LN(P25)+$J25*(1/$H25-1/298.15)/0.0019872)</f>
        <v>3.8944353456487396E-3</v>
      </c>
      <c r="T25" s="412"/>
      <c r="U25" s="412"/>
      <c r="V25" s="412"/>
      <c r="Z25" s="31">
        <v>7</v>
      </c>
      <c r="AA25" s="31">
        <v>267</v>
      </c>
      <c r="AC25" s="31" t="s">
        <v>605</v>
      </c>
      <c r="AD25" s="262">
        <f>(LN(2)/AA25)/(24*60*60)</f>
        <v>3.0046954352196269E-8</v>
      </c>
      <c r="AE25" s="653">
        <f t="shared" si="2"/>
        <v>266.99999999999955</v>
      </c>
      <c r="AF25" s="209">
        <f t="shared" si="3"/>
        <v>3.0046954352196316E-8</v>
      </c>
      <c r="AG25" s="184"/>
      <c r="AH25" s="184"/>
      <c r="AI25" s="184"/>
      <c r="AM25" s="31">
        <v>9</v>
      </c>
      <c r="AN25" s="31">
        <v>36.700000000000003</v>
      </c>
      <c r="AP25" s="31" t="s">
        <v>605</v>
      </c>
      <c r="AQ25" s="250">
        <f>(LN(2)/AN25)/(24*60*60)*10^(9-AM25)</f>
        <v>2.1859773329799463E-7</v>
      </c>
      <c r="AR25" s="250">
        <f>AQ25*10^($I25-9)</f>
        <v>2.1859773329799465E-2</v>
      </c>
      <c r="AS25" s="682">
        <f>(LN(2)/AT25)/(60*60*24)</f>
        <v>36.700000000000003</v>
      </c>
      <c r="AT25" s="209">
        <f>AU25*10^(9-14)</f>
        <v>2.1859773329799466E-7</v>
      </c>
      <c r="AU25" s="209">
        <f>EXP(LN(AR25)+$J25*(1/$H25-1/298.15)/0.0019872)</f>
        <v>2.1859773329799465E-2</v>
      </c>
    </row>
    <row r="26" spans="1:58" ht="30" customHeight="1" x14ac:dyDescent="0.3">
      <c r="B26" s="34"/>
      <c r="E26" s="115"/>
      <c r="G26" s="31">
        <v>40</v>
      </c>
      <c r="H26" s="31">
        <f t="shared" si="0"/>
        <v>313.14999999999998</v>
      </c>
      <c r="I26" s="717">
        <f t="shared" si="1"/>
        <v>13.530913191237214</v>
      </c>
      <c r="J26" s="819">
        <v>17.68</v>
      </c>
      <c r="K26" s="31">
        <v>5</v>
      </c>
      <c r="L26" s="31">
        <v>83.7</v>
      </c>
      <c r="N26" s="31" t="s">
        <v>605</v>
      </c>
      <c r="O26" s="262">
        <f>(LN(2)/L26)/(60*60*24)*10^(K26-5)</f>
        <v>9.5848707431737202E-8</v>
      </c>
      <c r="P26" s="262">
        <f>O26*10^5</f>
        <v>9.584870743173721E-3</v>
      </c>
      <c r="Q26" s="653">
        <f>(LN(2)/R26)/(60*60*24)</f>
        <v>349.53690084861364</v>
      </c>
      <c r="R26" s="209">
        <f>S26*10^-5</f>
        <v>2.2951902338663262E-8</v>
      </c>
      <c r="S26" s="209">
        <f>EXP(LN(P26)+$J26*(1/$H26-1/298.15)/0.0019872)</f>
        <v>2.2951902338663259E-3</v>
      </c>
      <c r="T26" s="412"/>
      <c r="U26" s="412"/>
      <c r="V26" s="412"/>
      <c r="Z26" s="31">
        <v>7</v>
      </c>
      <c r="AA26" s="31">
        <v>50.8</v>
      </c>
      <c r="AC26" s="31" t="s">
        <v>605</v>
      </c>
      <c r="AD26" s="262">
        <f>(LN(2)/AA26)/(24*60*60)</f>
        <v>1.5792395299284262E-7</v>
      </c>
      <c r="AE26" s="653">
        <f t="shared" si="2"/>
        <v>212.14426001325677</v>
      </c>
      <c r="AF26" s="209">
        <f t="shared" si="3"/>
        <v>3.7816421766655765E-8</v>
      </c>
      <c r="AG26" s="184"/>
      <c r="AH26" s="184"/>
      <c r="AI26" s="184"/>
      <c r="AQ26" s="250"/>
      <c r="AR26" s="250"/>
      <c r="AS26" s="682"/>
      <c r="AT26" s="209"/>
      <c r="AU26" s="209"/>
    </row>
    <row r="27" spans="1:58" ht="30" customHeight="1" x14ac:dyDescent="0.3">
      <c r="B27" s="34"/>
      <c r="E27" s="115"/>
      <c r="G27" s="31">
        <v>70</v>
      </c>
      <c r="H27" s="31">
        <f t="shared" si="0"/>
        <v>343.15</v>
      </c>
      <c r="I27" s="717">
        <f t="shared" si="1"/>
        <v>12.715769772716893</v>
      </c>
      <c r="J27" s="819">
        <v>17.68</v>
      </c>
      <c r="K27" s="31">
        <v>5</v>
      </c>
      <c r="L27" s="31">
        <v>27.7</v>
      </c>
      <c r="N27" s="31" t="s">
        <v>605</v>
      </c>
      <c r="O27" s="262">
        <f>(LN(2)/L27)/(60*60*24)*10^(K27-5)</f>
        <v>2.8962226758254166E-7</v>
      </c>
      <c r="P27" s="262">
        <f>O27*10^5</f>
        <v>2.8962226758254165E-2</v>
      </c>
      <c r="Q27" s="653">
        <f>(LN(2)/R27)/(60*60*24)</f>
        <v>1386.6602614747326</v>
      </c>
      <c r="R27" s="209">
        <f>S27*10^-5</f>
        <v>5.7855100019267326E-9</v>
      </c>
      <c r="S27" s="209">
        <f>EXP(LN(P27)+$J27*(1/$H27-1/298.15)/0.0019872)</f>
        <v>5.785510001926732E-4</v>
      </c>
      <c r="T27" s="412"/>
      <c r="U27" s="412"/>
      <c r="V27" s="412"/>
      <c r="Z27" s="31">
        <v>7</v>
      </c>
      <c r="AA27" s="31">
        <v>2.1</v>
      </c>
      <c r="AC27" s="31" t="s">
        <v>605</v>
      </c>
      <c r="AD27" s="262">
        <f>(LN(2)/AA27)/(24*60*60)</f>
        <v>3.8202556247792394E-6</v>
      </c>
      <c r="AE27" s="653">
        <f t="shared" si="2"/>
        <v>105.12586819844533</v>
      </c>
      <c r="AF27" s="209">
        <f t="shared" si="3"/>
        <v>7.6313631930176499E-8</v>
      </c>
      <c r="AG27" s="184"/>
      <c r="AH27" s="184"/>
      <c r="AI27" s="184"/>
      <c r="AM27" s="31">
        <v>9</v>
      </c>
      <c r="AN27" s="31">
        <v>0.1</v>
      </c>
      <c r="AP27" s="31" t="s">
        <v>605</v>
      </c>
      <c r="AQ27" s="250">
        <f>(LN(2)/AN27)/(24*60*60)*10^(9-AM27)</f>
        <v>8.0225368120364024E-5</v>
      </c>
      <c r="AR27" s="250">
        <f>AQ27*10^($I27-9)</f>
        <v>0.41694761243654493</v>
      </c>
      <c r="AS27" s="682">
        <f>(LN(2)/AT27)/(60*60*24)</f>
        <v>96.320899152776107</v>
      </c>
      <c r="AT27" s="209">
        <f>AU27*10^(9-14)</f>
        <v>8.3289679421614726E-8</v>
      </c>
      <c r="AU27" s="209">
        <f>EXP(LN(AR27)+$J27*(1/$H27-1/298.15)/0.0019872)</f>
        <v>8.3289679421614717E-3</v>
      </c>
    </row>
    <row r="28" spans="1:58" ht="30" customHeight="1" x14ac:dyDescent="0.3">
      <c r="B28" s="34"/>
      <c r="E28" s="115"/>
      <c r="I28" s="717"/>
      <c r="J28" s="92"/>
      <c r="O28" s="262"/>
      <c r="P28" s="262"/>
      <c r="Q28" s="653"/>
      <c r="R28" s="209"/>
      <c r="S28" s="209"/>
      <c r="T28" s="412"/>
      <c r="U28" s="412"/>
      <c r="V28" s="412"/>
      <c r="AD28" s="262"/>
      <c r="AE28" s="653"/>
      <c r="AF28" s="209"/>
      <c r="AG28" s="184"/>
      <c r="AH28" s="184"/>
      <c r="AI28" s="184"/>
      <c r="AQ28" s="250"/>
      <c r="AR28" s="250"/>
      <c r="AS28" s="682"/>
      <c r="AT28" s="209"/>
      <c r="AU28" s="209"/>
    </row>
    <row r="29" spans="1:58" s="9" customFormat="1" x14ac:dyDescent="0.3">
      <c r="A29" s="42">
        <v>4</v>
      </c>
      <c r="B29" s="447" t="s">
        <v>54</v>
      </c>
      <c r="C29" s="42" t="s">
        <v>168</v>
      </c>
      <c r="D29" s="43" t="s">
        <v>900</v>
      </c>
      <c r="E29" s="285" t="s">
        <v>49</v>
      </c>
      <c r="F29" s="42"/>
      <c r="G29" s="42">
        <v>50</v>
      </c>
      <c r="H29" s="42">
        <f t="shared" si="0"/>
        <v>323.14999999999998</v>
      </c>
      <c r="I29" s="744">
        <f t="shared" si="1"/>
        <v>13.242382102408241</v>
      </c>
      <c r="J29" s="93">
        <v>17.68</v>
      </c>
      <c r="K29" s="42">
        <v>4</v>
      </c>
      <c r="L29" s="42" t="s">
        <v>116</v>
      </c>
      <c r="M29" s="42"/>
      <c r="N29" s="42"/>
      <c r="O29" s="464"/>
      <c r="P29" s="464"/>
      <c r="Q29" s="749"/>
      <c r="R29" s="216"/>
      <c r="S29" s="216"/>
      <c r="T29" s="475"/>
      <c r="U29" s="475"/>
      <c r="V29" s="475"/>
      <c r="W29" s="476"/>
      <c r="X29" s="476"/>
      <c r="Y29" s="476"/>
      <c r="Z29" s="42">
        <v>7</v>
      </c>
      <c r="AA29" s="42" t="s">
        <v>116</v>
      </c>
      <c r="AB29" s="42"/>
      <c r="AC29" s="42"/>
      <c r="AD29" s="464"/>
      <c r="AE29" s="749"/>
      <c r="AF29" s="216"/>
      <c r="AG29" s="480"/>
      <c r="AH29" s="480"/>
      <c r="AI29" s="480"/>
      <c r="AJ29" s="161"/>
      <c r="AK29" s="161"/>
      <c r="AL29" s="161"/>
      <c r="AM29" s="42">
        <v>9</v>
      </c>
      <c r="AN29" s="42" t="s">
        <v>116</v>
      </c>
      <c r="AO29" s="42"/>
      <c r="AP29" s="42"/>
      <c r="AQ29" s="479"/>
      <c r="AR29" s="479"/>
      <c r="AS29" s="683"/>
      <c r="AT29" s="217"/>
      <c r="AU29" s="217"/>
      <c r="AV29" s="475"/>
      <c r="AW29" s="475"/>
      <c r="AX29" s="475"/>
      <c r="AY29" s="42"/>
      <c r="AZ29" s="42"/>
      <c r="BA29" s="42"/>
      <c r="BB29" s="187" t="s">
        <v>169</v>
      </c>
      <c r="BC29" s="187" t="s">
        <v>170</v>
      </c>
      <c r="BD29" s="187"/>
      <c r="BE29" s="42"/>
      <c r="BF29" s="42"/>
    </row>
    <row r="30" spans="1:58" x14ac:dyDescent="0.3">
      <c r="B30" s="34"/>
      <c r="E30" s="115"/>
      <c r="I30" s="717"/>
      <c r="J30" s="92"/>
      <c r="O30" s="85"/>
      <c r="P30" s="85"/>
      <c r="Q30" s="653"/>
      <c r="R30" s="208"/>
      <c r="S30" s="208"/>
      <c r="T30" s="412"/>
      <c r="U30" s="412"/>
      <c r="V30" s="412"/>
      <c r="AD30" s="85"/>
      <c r="AE30" s="653"/>
      <c r="AF30" s="208"/>
      <c r="AG30" s="184"/>
      <c r="AH30" s="184"/>
      <c r="AI30" s="184"/>
      <c r="AQ30" s="250"/>
      <c r="AR30" s="250"/>
      <c r="AS30" s="682"/>
      <c r="AT30" s="209"/>
      <c r="AU30" s="209"/>
    </row>
    <row r="31" spans="1:58" s="9" customFormat="1" x14ac:dyDescent="0.3">
      <c r="A31" s="42">
        <v>6</v>
      </c>
      <c r="B31" s="446" t="s">
        <v>65</v>
      </c>
      <c r="C31" s="42" t="s">
        <v>153</v>
      </c>
      <c r="D31" s="43" t="s">
        <v>902</v>
      </c>
      <c r="E31" s="285" t="s">
        <v>66</v>
      </c>
      <c r="F31" s="42"/>
      <c r="G31" s="42">
        <v>25</v>
      </c>
      <c r="H31" s="42">
        <f t="shared" si="0"/>
        <v>298.14999999999998</v>
      </c>
      <c r="I31" s="744">
        <f t="shared" si="1"/>
        <v>14</v>
      </c>
      <c r="J31" s="93">
        <v>17.68</v>
      </c>
      <c r="K31" s="42">
        <v>5</v>
      </c>
      <c r="L31" s="42" t="s">
        <v>116</v>
      </c>
      <c r="M31" s="42"/>
      <c r="N31" s="42"/>
      <c r="O31" s="464"/>
      <c r="P31" s="464"/>
      <c r="Q31" s="749"/>
      <c r="R31" s="216"/>
      <c r="S31" s="216"/>
      <c r="T31" s="475"/>
      <c r="U31" s="475"/>
      <c r="V31" s="475"/>
      <c r="W31" s="476"/>
      <c r="X31" s="476"/>
      <c r="Y31" s="476"/>
      <c r="Z31" s="42">
        <v>7</v>
      </c>
      <c r="AA31" s="42" t="s">
        <v>116</v>
      </c>
      <c r="AB31" s="42"/>
      <c r="AC31" s="42"/>
      <c r="AD31" s="464"/>
      <c r="AE31" s="749"/>
      <c r="AF31" s="216"/>
      <c r="AG31" s="480"/>
      <c r="AH31" s="480"/>
      <c r="AI31" s="480"/>
      <c r="AJ31" s="161"/>
      <c r="AK31" s="161"/>
      <c r="AL31" s="161"/>
      <c r="AM31" s="42">
        <v>9</v>
      </c>
      <c r="AN31" s="42">
        <v>10</v>
      </c>
      <c r="AO31" s="42"/>
      <c r="AP31" s="42" t="s">
        <v>605</v>
      </c>
      <c r="AQ31" s="479">
        <f>(LN(2)/AN31)/(24*60*60)*10^(9-AM31)</f>
        <v>8.0225368120364031E-7</v>
      </c>
      <c r="AR31" s="479">
        <f>AQ31*10^($I31-9)</f>
        <v>8.022536812036403E-2</v>
      </c>
      <c r="AS31" s="683">
        <f>(LN(2)/AT31)/(60*60*24)</f>
        <v>10.000000000000002</v>
      </c>
      <c r="AT31" s="217">
        <f>AU31*10^(9-14)</f>
        <v>8.0225368120364031E-7</v>
      </c>
      <c r="AU31" s="217">
        <f>EXP(LN(AR31)+$J31*(1/$H31-1/298.15)/0.0019872)</f>
        <v>8.022536812036403E-2</v>
      </c>
      <c r="AV31" s="475">
        <f>AS31</f>
        <v>10.000000000000002</v>
      </c>
      <c r="AW31" s="475"/>
      <c r="AX31" s="475"/>
      <c r="AY31" s="42"/>
      <c r="AZ31" s="42"/>
      <c r="BA31" s="42"/>
      <c r="BB31" s="187" t="s">
        <v>171</v>
      </c>
      <c r="BC31" s="187" t="s">
        <v>152</v>
      </c>
      <c r="BD31" s="187"/>
      <c r="BE31" s="42"/>
      <c r="BF31" s="42"/>
    </row>
    <row r="32" spans="1:58" ht="15" thickBot="1" x14ac:dyDescent="0.35">
      <c r="B32" s="57"/>
      <c r="E32" s="115"/>
      <c r="I32" s="717"/>
      <c r="J32" s="92"/>
      <c r="O32" s="85"/>
      <c r="P32" s="85"/>
      <c r="Q32" s="653"/>
      <c r="R32" s="208"/>
      <c r="S32" s="208"/>
      <c r="T32" s="412"/>
      <c r="U32" s="412"/>
      <c r="V32" s="412"/>
      <c r="AD32" s="262"/>
      <c r="AE32" s="653"/>
      <c r="AF32" s="209"/>
      <c r="AG32" s="184"/>
      <c r="AH32" s="184"/>
      <c r="AI32" s="184"/>
      <c r="AQ32" s="250"/>
      <c r="AR32" s="250"/>
      <c r="AS32" s="682"/>
      <c r="AT32" s="209"/>
      <c r="AU32" s="209"/>
      <c r="BB32" s="185" t="s">
        <v>172</v>
      </c>
      <c r="BC32" s="185" t="s">
        <v>173</v>
      </c>
    </row>
    <row r="33" spans="1:58" s="8" customFormat="1" x14ac:dyDescent="0.3">
      <c r="A33" s="37">
        <v>7</v>
      </c>
      <c r="B33" s="37" t="s">
        <v>64</v>
      </c>
      <c r="C33" s="37" t="s">
        <v>151</v>
      </c>
      <c r="D33" s="38" t="s">
        <v>901</v>
      </c>
      <c r="E33" s="56" t="s">
        <v>55</v>
      </c>
      <c r="F33" s="37"/>
      <c r="G33" s="37">
        <v>50</v>
      </c>
      <c r="H33" s="37">
        <f t="shared" si="0"/>
        <v>323.14999999999998</v>
      </c>
      <c r="I33" s="716">
        <f t="shared" si="1"/>
        <v>13.242382102408241</v>
      </c>
      <c r="J33" s="96">
        <v>17.68</v>
      </c>
      <c r="K33" s="37"/>
      <c r="L33" s="37"/>
      <c r="M33" s="37"/>
      <c r="N33" s="37"/>
      <c r="O33" s="260"/>
      <c r="P33" s="260"/>
      <c r="Q33" s="654"/>
      <c r="R33" s="215"/>
      <c r="S33" s="215"/>
      <c r="T33" s="410"/>
      <c r="U33" s="410"/>
      <c r="V33" s="410"/>
      <c r="W33" s="477"/>
      <c r="X33" s="477"/>
      <c r="Y33" s="477"/>
      <c r="Z33" s="37"/>
      <c r="AA33" s="37"/>
      <c r="AB33" s="37"/>
      <c r="AC33" s="37"/>
      <c r="AD33" s="465"/>
      <c r="AE33" s="654"/>
      <c r="AF33" s="214"/>
      <c r="AG33" s="423"/>
      <c r="AH33" s="423"/>
      <c r="AI33" s="423"/>
      <c r="AJ33" s="159"/>
      <c r="AK33" s="159"/>
      <c r="AL33" s="159"/>
      <c r="AM33" s="37"/>
      <c r="AN33" s="37"/>
      <c r="AO33" s="37"/>
      <c r="AP33" s="37"/>
      <c r="AQ33" s="249"/>
      <c r="AR33" s="249"/>
      <c r="AS33" s="654"/>
      <c r="AT33" s="215"/>
      <c r="AU33" s="215"/>
      <c r="AV33" s="410"/>
      <c r="AW33" s="410"/>
      <c r="AX33" s="410"/>
      <c r="AY33" s="37"/>
      <c r="AZ33" s="37"/>
      <c r="BA33" s="37"/>
      <c r="BB33" s="186"/>
      <c r="BC33" s="186"/>
      <c r="BD33" s="186"/>
      <c r="BE33" s="37"/>
      <c r="BF33" s="37"/>
    </row>
    <row r="34" spans="1:58" x14ac:dyDescent="0.3">
      <c r="G34" s="31">
        <v>25</v>
      </c>
      <c r="H34" s="31">
        <f t="shared" si="0"/>
        <v>298.14999999999998</v>
      </c>
      <c r="I34" s="717">
        <f t="shared" si="1"/>
        <v>14</v>
      </c>
      <c r="J34" s="92">
        <v>17.68</v>
      </c>
      <c r="K34" s="31">
        <v>5</v>
      </c>
      <c r="L34" s="31" t="s">
        <v>116</v>
      </c>
      <c r="O34" s="85"/>
      <c r="P34" s="85"/>
      <c r="Q34" s="653"/>
      <c r="R34" s="208"/>
      <c r="S34" s="208"/>
      <c r="T34" s="412"/>
      <c r="U34" s="412"/>
      <c r="V34" s="412"/>
      <c r="Z34" s="31">
        <v>7</v>
      </c>
      <c r="AA34" s="31" t="s">
        <v>116</v>
      </c>
      <c r="AD34" s="262"/>
      <c r="AE34" s="653"/>
      <c r="AF34" s="209"/>
      <c r="AG34" s="184"/>
      <c r="AH34" s="184"/>
      <c r="AI34" s="184"/>
      <c r="AM34" s="31">
        <v>9</v>
      </c>
      <c r="AN34" s="31">
        <v>101</v>
      </c>
      <c r="AP34" s="31" t="s">
        <v>605</v>
      </c>
      <c r="AQ34" s="250">
        <f>(LN(2)/AN34)/(24*60*60)*10^(9-AM34)</f>
        <v>7.943105754491489E-8</v>
      </c>
      <c r="AR34" s="250">
        <f>AQ34*10^($I34-9)</f>
        <v>7.943105754491489E-3</v>
      </c>
      <c r="AS34" s="653">
        <f>(LN(2)/AT34)/(60*60*24)</f>
        <v>101.00000000000003</v>
      </c>
      <c r="AT34" s="209">
        <f>AU34*10^(9-14)</f>
        <v>7.9431057544914877E-8</v>
      </c>
      <c r="AU34" s="209">
        <f>EXP(LN(AR34)+$J34*(1/$H34-1/298.15)/0.0019872)</f>
        <v>7.9431057544914873E-3</v>
      </c>
      <c r="AV34" s="412">
        <f>AS34</f>
        <v>101.00000000000003</v>
      </c>
    </row>
    <row r="35" spans="1:58" x14ac:dyDescent="0.3">
      <c r="I35" s="754"/>
      <c r="Q35" s="699"/>
      <c r="R35" s="238"/>
      <c r="S35" s="238"/>
      <c r="AE35" s="699"/>
      <c r="AF35" s="238"/>
      <c r="AS35" s="653"/>
      <c r="AT35" s="208"/>
      <c r="AU35" s="208"/>
    </row>
    <row r="36" spans="1:58" s="9" customFormat="1" x14ac:dyDescent="0.3">
      <c r="A36" s="445"/>
      <c r="B36" s="42"/>
      <c r="C36" s="42"/>
      <c r="D36" s="43"/>
      <c r="E36" s="42"/>
      <c r="F36" s="42"/>
      <c r="G36" s="42"/>
      <c r="H36" s="42"/>
      <c r="I36" s="752"/>
      <c r="J36" s="42"/>
      <c r="K36" s="42"/>
      <c r="L36" s="42"/>
      <c r="M36" s="42"/>
      <c r="N36" s="42"/>
      <c r="O36" s="42"/>
      <c r="P36" s="42"/>
      <c r="Q36" s="481"/>
      <c r="R36" s="42"/>
      <c r="S36" s="42"/>
      <c r="T36" s="478"/>
      <c r="U36" s="478"/>
      <c r="V36" s="478"/>
      <c r="W36" s="476"/>
      <c r="X36" s="476"/>
      <c r="Y36" s="476"/>
      <c r="Z36" s="42"/>
      <c r="AA36" s="42"/>
      <c r="AB36" s="42"/>
      <c r="AC36" s="42"/>
      <c r="AD36" s="42"/>
      <c r="AE36" s="481"/>
      <c r="AF36" s="42"/>
      <c r="AG36" s="481"/>
      <c r="AH36" s="481"/>
      <c r="AI36" s="481"/>
      <c r="AJ36" s="161"/>
      <c r="AK36" s="161"/>
      <c r="AL36" s="161"/>
      <c r="AM36" s="42"/>
      <c r="AN36" s="42"/>
      <c r="AO36" s="42"/>
      <c r="AP36" s="42"/>
      <c r="AQ36" s="482"/>
      <c r="AR36" s="482"/>
      <c r="AS36" s="742"/>
      <c r="AT36" s="685"/>
      <c r="AU36" s="685"/>
      <c r="AV36" s="475"/>
      <c r="AW36" s="475"/>
      <c r="AX36" s="475"/>
      <c r="AY36" s="42"/>
      <c r="AZ36" s="42"/>
      <c r="BA36" s="42"/>
      <c r="BB36" s="187"/>
      <c r="BC36" s="187"/>
      <c r="BD36" s="187"/>
      <c r="BE36" s="42"/>
      <c r="BF36" s="42"/>
    </row>
    <row r="37" spans="1:58" s="1" customFormat="1" x14ac:dyDescent="0.3">
      <c r="A37" s="474"/>
      <c r="B37" s="108"/>
      <c r="C37" s="108"/>
      <c r="D37" s="378"/>
      <c r="E37" s="108"/>
      <c r="F37" s="108"/>
      <c r="G37" s="108"/>
      <c r="H37" s="108"/>
      <c r="I37" s="657"/>
      <c r="J37" s="108"/>
      <c r="K37" s="108"/>
      <c r="L37" s="108"/>
      <c r="M37" s="108"/>
      <c r="N37" s="108" t="s">
        <v>790</v>
      </c>
      <c r="O37" s="108"/>
      <c r="P37" s="108"/>
      <c r="Q37" s="176">
        <f>AVERAGE(Q24:Q27)</f>
        <v>749.62317127947586</v>
      </c>
      <c r="R37" s="108"/>
      <c r="S37" s="108"/>
      <c r="T37" s="142">
        <f>AVERAGE(T24)</f>
        <v>749.62317127947586</v>
      </c>
      <c r="U37" s="142"/>
      <c r="V37" s="108" t="s">
        <v>790</v>
      </c>
      <c r="W37" s="143"/>
      <c r="X37" s="143"/>
      <c r="Y37" s="143"/>
      <c r="Z37" s="108"/>
      <c r="AA37" s="108"/>
      <c r="AB37" s="108"/>
      <c r="AC37" s="108" t="s">
        <v>790</v>
      </c>
      <c r="AD37" s="108"/>
      <c r="AE37" s="176">
        <f>AVERAGE(AE6:AE27)</f>
        <v>7755.1101185454208</v>
      </c>
      <c r="AF37" s="108"/>
      <c r="AG37" s="142">
        <f>AVERAGE(AG6:AG24)</f>
        <v>5932.5825889090638</v>
      </c>
      <c r="AH37" s="176"/>
      <c r="AI37" s="176"/>
      <c r="AJ37" s="425"/>
      <c r="AK37" s="425"/>
      <c r="AL37" s="425"/>
      <c r="AM37" s="108" t="s">
        <v>790</v>
      </c>
      <c r="AN37" s="108"/>
      <c r="AO37" s="108"/>
      <c r="AP37" s="108" t="s">
        <v>790</v>
      </c>
      <c r="AQ37" s="483"/>
      <c r="AR37" s="483"/>
      <c r="AS37" s="753">
        <f>AVERAGE(AS7:AS34)</f>
        <v>3357.2973347598895</v>
      </c>
      <c r="AT37" s="552"/>
      <c r="AU37" s="552"/>
      <c r="AV37" s="484">
        <f>AVERAGE(AV6:AV33)</f>
        <v>1831.006005815711</v>
      </c>
      <c r="AW37" s="484"/>
      <c r="AX37" s="484"/>
      <c r="AY37" s="108"/>
      <c r="AZ37" s="108"/>
      <c r="BA37" s="108"/>
      <c r="BB37" s="319" t="s">
        <v>790</v>
      </c>
      <c r="BC37" s="319"/>
      <c r="BD37" s="319"/>
      <c r="BE37" s="108"/>
      <c r="BF37" s="108"/>
    </row>
    <row r="38" spans="1:58" s="1" customFormat="1" x14ac:dyDescent="0.3">
      <c r="A38" s="474"/>
      <c r="B38" s="108"/>
      <c r="C38" s="108"/>
      <c r="D38" s="378"/>
      <c r="E38" s="108"/>
      <c r="F38" s="108"/>
      <c r="G38" s="108"/>
      <c r="H38" s="108"/>
      <c r="I38" s="657"/>
      <c r="J38" s="108"/>
      <c r="K38" s="108"/>
      <c r="L38" s="108"/>
      <c r="M38" s="108"/>
      <c r="N38" s="108" t="s">
        <v>791</v>
      </c>
      <c r="O38" s="108"/>
      <c r="P38" s="108"/>
      <c r="Q38" s="176">
        <f>STDEV(Q24:Q27)</f>
        <v>564.34604089082927</v>
      </c>
      <c r="R38" s="108"/>
      <c r="S38" s="108"/>
      <c r="T38" s="142"/>
      <c r="U38" s="142"/>
      <c r="V38" s="108" t="s">
        <v>791</v>
      </c>
      <c r="W38" s="143"/>
      <c r="X38" s="143"/>
      <c r="Y38" s="143"/>
      <c r="Z38" s="108"/>
      <c r="AA38" s="108"/>
      <c r="AB38" s="108"/>
      <c r="AC38" s="108" t="s">
        <v>791</v>
      </c>
      <c r="AD38" s="108"/>
      <c r="AE38" s="176">
        <f>STDEV(AE6:AE27)</f>
        <v>13828.074015315025</v>
      </c>
      <c r="AF38" s="108"/>
      <c r="AG38" s="142">
        <f>STDEV(AG6:AG24)</f>
        <v>9676.2748323054802</v>
      </c>
      <c r="AH38" s="176"/>
      <c r="AI38" s="176"/>
      <c r="AJ38" s="425"/>
      <c r="AK38" s="425"/>
      <c r="AL38" s="425"/>
      <c r="AM38" s="108" t="s">
        <v>791</v>
      </c>
      <c r="AN38" s="108"/>
      <c r="AO38" s="108"/>
      <c r="AP38" s="108" t="s">
        <v>791</v>
      </c>
      <c r="AQ38" s="483"/>
      <c r="AR38" s="483"/>
      <c r="AS38" s="753">
        <f>STDEV(AS7:AS35)</f>
        <v>5112.5327271769065</v>
      </c>
      <c r="AT38" s="552"/>
      <c r="AU38" s="552"/>
      <c r="AV38" s="484">
        <f>STDEV(AV6:AV33)</f>
        <v>3587.07605312132</v>
      </c>
      <c r="AW38" s="484"/>
      <c r="AX38" s="484"/>
      <c r="AY38" s="108"/>
      <c r="AZ38" s="108"/>
      <c r="BA38" s="108"/>
      <c r="BB38" s="319" t="s">
        <v>791</v>
      </c>
      <c r="BC38" s="319"/>
      <c r="BD38" s="319"/>
      <c r="BE38" s="108"/>
      <c r="BF38" s="108"/>
    </row>
    <row r="39" spans="1:58" s="1" customFormat="1" x14ac:dyDescent="0.3">
      <c r="A39" s="474"/>
      <c r="B39" s="108"/>
      <c r="C39" s="108"/>
      <c r="D39" s="378"/>
      <c r="E39" s="108"/>
      <c r="F39" s="108"/>
      <c r="G39" s="108"/>
      <c r="H39" s="108"/>
      <c r="I39" s="657"/>
      <c r="J39" s="108"/>
      <c r="K39" s="108"/>
      <c r="L39" s="108"/>
      <c r="M39" s="108"/>
      <c r="N39" s="108" t="s">
        <v>800</v>
      </c>
      <c r="O39" s="108"/>
      <c r="P39" s="108"/>
      <c r="Q39" s="176">
        <f>MEDIAN(Q24:Q27)</f>
        <v>702.91621182158542</v>
      </c>
      <c r="R39" s="108"/>
      <c r="S39" s="108"/>
      <c r="T39" s="142">
        <f>MEDIAN(T24:T27)</f>
        <v>749.62317127947586</v>
      </c>
      <c r="U39" s="142"/>
      <c r="V39" s="108" t="s">
        <v>800</v>
      </c>
      <c r="W39" s="143"/>
      <c r="X39" s="143"/>
      <c r="Y39" s="143"/>
      <c r="Z39" s="108"/>
      <c r="AA39" s="108"/>
      <c r="AB39" s="108"/>
      <c r="AC39" s="108" t="s">
        <v>800</v>
      </c>
      <c r="AD39" s="108"/>
      <c r="AE39" s="176">
        <f>MEDIAN(AE6:AE27)</f>
        <v>464.99999999999937</v>
      </c>
      <c r="AF39" s="108"/>
      <c r="AG39" s="176">
        <f>MEDIAN(AG6:AG24)</f>
        <v>464.99999999999937</v>
      </c>
      <c r="AH39" s="176"/>
      <c r="AI39" s="176"/>
      <c r="AJ39" s="425"/>
      <c r="AK39" s="425"/>
      <c r="AL39" s="425"/>
      <c r="AM39" s="108" t="s">
        <v>800</v>
      </c>
      <c r="AN39" s="108"/>
      <c r="AO39" s="108"/>
      <c r="AP39" s="108" t="s">
        <v>800</v>
      </c>
      <c r="AQ39" s="483"/>
      <c r="AR39" s="483"/>
      <c r="AS39" s="753">
        <f>MEDIAN(AS7:AS35)</f>
        <v>101.00000000000003</v>
      </c>
      <c r="AT39" s="552"/>
      <c r="AU39" s="552"/>
      <c r="AV39" s="484">
        <f>MEDIAN(AV5:AV34)</f>
        <v>59.692929232832476</v>
      </c>
      <c r="AW39" s="484"/>
      <c r="AX39" s="484"/>
      <c r="AY39" s="108"/>
      <c r="AZ39" s="108"/>
      <c r="BA39" s="108"/>
      <c r="BB39" s="319" t="s">
        <v>800</v>
      </c>
      <c r="BC39" s="319"/>
      <c r="BD39" s="319"/>
      <c r="BE39" s="108"/>
      <c r="BF39" s="108"/>
    </row>
    <row r="40" spans="1:58" s="1" customFormat="1" x14ac:dyDescent="0.3">
      <c r="A40" s="108"/>
      <c r="B40" s="108"/>
      <c r="C40" s="108"/>
      <c r="D40" s="378"/>
      <c r="E40" s="108"/>
      <c r="F40" s="108"/>
      <c r="G40" s="108"/>
      <c r="H40" s="108"/>
      <c r="I40" s="657"/>
      <c r="J40" s="108"/>
      <c r="K40" s="108"/>
      <c r="L40" s="108"/>
      <c r="M40" s="108"/>
      <c r="N40" s="108" t="s">
        <v>789</v>
      </c>
      <c r="O40" s="108"/>
      <c r="P40" s="108"/>
      <c r="Q40" s="176">
        <f>COUNT(Q24:Q27)</f>
        <v>4</v>
      </c>
      <c r="R40" s="108"/>
      <c r="S40" s="108"/>
      <c r="T40" s="144">
        <v>1</v>
      </c>
      <c r="U40" s="142"/>
      <c r="V40" s="108" t="s">
        <v>789</v>
      </c>
      <c r="W40" s="143"/>
      <c r="X40" s="143"/>
      <c r="Y40" s="143"/>
      <c r="Z40" s="108"/>
      <c r="AA40" s="108"/>
      <c r="AB40" s="108"/>
      <c r="AC40" s="108" t="s">
        <v>789</v>
      </c>
      <c r="AD40" s="108"/>
      <c r="AE40" s="176">
        <f>COUNT(AE6:AE27)</f>
        <v>9</v>
      </c>
      <c r="AF40" s="108"/>
      <c r="AG40" s="176">
        <f>COUNT(AG6:AG24)</f>
        <v>3</v>
      </c>
      <c r="AH40" s="176"/>
      <c r="AI40" s="176"/>
      <c r="AJ40" s="425"/>
      <c r="AK40" s="425"/>
      <c r="AL40" s="425"/>
      <c r="AM40" s="108" t="s">
        <v>789</v>
      </c>
      <c r="AN40" s="108"/>
      <c r="AO40" s="108"/>
      <c r="AP40" s="108" t="s">
        <v>789</v>
      </c>
      <c r="AQ40" s="483"/>
      <c r="AR40" s="483"/>
      <c r="AS40" s="753">
        <f>COUNT(AS7:AS34)</f>
        <v>13</v>
      </c>
      <c r="AT40" s="552"/>
      <c r="AU40" s="552"/>
      <c r="AV40" s="485">
        <f>COUNT(AV6:AV35)</f>
        <v>5</v>
      </c>
      <c r="AW40" s="484"/>
      <c r="AX40" s="484"/>
      <c r="AY40" s="108"/>
      <c r="AZ40" s="108"/>
      <c r="BA40" s="108"/>
      <c r="BB40" s="319" t="s">
        <v>789</v>
      </c>
      <c r="BC40" s="319"/>
      <c r="BD40" s="319"/>
      <c r="BE40" s="108"/>
      <c r="BF40" s="108"/>
    </row>
    <row r="41" spans="1:58" s="1" customFormat="1" x14ac:dyDescent="0.3">
      <c r="A41" s="108"/>
      <c r="B41" s="108"/>
      <c r="C41" s="108"/>
      <c r="D41" s="378"/>
      <c r="E41" s="108"/>
      <c r="F41" s="108"/>
      <c r="G41" s="108"/>
      <c r="H41" s="108"/>
      <c r="I41" s="657"/>
      <c r="J41" s="108"/>
      <c r="K41" s="108"/>
      <c r="L41" s="108"/>
      <c r="M41" s="108"/>
      <c r="N41" s="108" t="s">
        <v>787</v>
      </c>
      <c r="O41" s="108"/>
      <c r="P41" s="108"/>
      <c r="Q41" s="176">
        <f>MIN(Q24:Q28)</f>
        <v>205.99999999999994</v>
      </c>
      <c r="R41" s="108"/>
      <c r="S41" s="108"/>
      <c r="T41" s="142"/>
      <c r="U41" s="142"/>
      <c r="V41" s="108" t="s">
        <v>787</v>
      </c>
      <c r="W41" s="143"/>
      <c r="X41" s="143"/>
      <c r="Y41" s="143"/>
      <c r="Z41" s="108"/>
      <c r="AA41" s="108"/>
      <c r="AB41" s="108"/>
      <c r="AC41" s="108" t="s">
        <v>787</v>
      </c>
      <c r="AD41" s="108"/>
      <c r="AE41" s="176">
        <f>MIN(AE6:AE27)</f>
        <v>105.12586819844533</v>
      </c>
      <c r="AF41" s="108"/>
      <c r="AG41" s="176">
        <f>MIN(AG6:AG25)</f>
        <v>227.80468560250412</v>
      </c>
      <c r="AH41" s="176"/>
      <c r="AI41" s="176"/>
      <c r="AJ41" s="425"/>
      <c r="AK41" s="425"/>
      <c r="AL41" s="425"/>
      <c r="AM41" s="108" t="s">
        <v>787</v>
      </c>
      <c r="AN41" s="108"/>
      <c r="AO41" s="108"/>
      <c r="AP41" s="108" t="s">
        <v>787</v>
      </c>
      <c r="AQ41" s="483"/>
      <c r="AR41" s="483"/>
      <c r="AS41" s="753">
        <f>MIN(AS7:AS35)</f>
        <v>10.000000000000002</v>
      </c>
      <c r="AT41" s="552"/>
      <c r="AU41" s="552"/>
      <c r="AV41" s="484">
        <f>MIN(AV6:AV33)</f>
        <v>10.000000000000002</v>
      </c>
      <c r="AW41" s="484"/>
      <c r="AX41" s="484"/>
      <c r="AY41" s="108"/>
      <c r="AZ41" s="108"/>
      <c r="BA41" s="108"/>
      <c r="BB41" s="319" t="s">
        <v>787</v>
      </c>
      <c r="BC41" s="319"/>
      <c r="BD41" s="319"/>
      <c r="BE41" s="108"/>
      <c r="BF41" s="108"/>
    </row>
    <row r="42" spans="1:58" s="1" customFormat="1" x14ac:dyDescent="0.3">
      <c r="A42" s="108"/>
      <c r="B42" s="108"/>
      <c r="C42" s="108"/>
      <c r="D42" s="378"/>
      <c r="E42" s="108"/>
      <c r="F42" s="108"/>
      <c r="G42" s="108"/>
      <c r="H42" s="108"/>
      <c r="I42" s="657"/>
      <c r="J42" s="108"/>
      <c r="K42" s="108"/>
      <c r="L42" s="108"/>
      <c r="M42" s="108"/>
      <c r="N42" s="108" t="s">
        <v>788</v>
      </c>
      <c r="O42" s="108"/>
      <c r="P42" s="108"/>
      <c r="Q42" s="176">
        <f>MAX(Q24:Q28)</f>
        <v>1386.6602614747326</v>
      </c>
      <c r="R42" s="108"/>
      <c r="S42" s="108"/>
      <c r="T42" s="142"/>
      <c r="U42" s="142"/>
      <c r="V42" s="108" t="s">
        <v>788</v>
      </c>
      <c r="W42" s="143"/>
      <c r="X42" s="143"/>
      <c r="Y42" s="143"/>
      <c r="Z42" s="108"/>
      <c r="AA42" s="108"/>
      <c r="AB42" s="108"/>
      <c r="AC42" s="108" t="s">
        <v>788</v>
      </c>
      <c r="AD42" s="108"/>
      <c r="AE42" s="176">
        <f>MAX(AE6:AE27)</f>
        <v>40903.786625549168</v>
      </c>
      <c r="AF42" s="108"/>
      <c r="AG42" s="176">
        <f>MAX(AG6:AG25)</f>
        <v>17104.943081124689</v>
      </c>
      <c r="AH42" s="176"/>
      <c r="AI42" s="176"/>
      <c r="AJ42" s="425"/>
      <c r="AK42" s="425"/>
      <c r="AL42" s="425"/>
      <c r="AM42" s="108" t="s">
        <v>788</v>
      </c>
      <c r="AN42" s="108"/>
      <c r="AO42" s="108"/>
      <c r="AP42" s="108" t="s">
        <v>788</v>
      </c>
      <c r="AQ42" s="483"/>
      <c r="AR42" s="483"/>
      <c r="AS42" s="753">
        <f>MAX(AS7:AS35)</f>
        <v>15512.100000000006</v>
      </c>
      <c r="AT42" s="552"/>
      <c r="AU42" s="552"/>
      <c r="AV42" s="484">
        <f>MAX(AV6:AV33)</f>
        <v>7211.5310940300114</v>
      </c>
      <c r="AW42" s="484"/>
      <c r="AX42" s="484"/>
      <c r="AY42" s="108"/>
      <c r="AZ42" s="108"/>
      <c r="BA42" s="108"/>
      <c r="BB42" s="319" t="s">
        <v>788</v>
      </c>
      <c r="BC42" s="319"/>
      <c r="BD42" s="319"/>
      <c r="BE42" s="108"/>
      <c r="BF42" s="108"/>
    </row>
    <row r="43" spans="1:58" x14ac:dyDescent="0.3">
      <c r="I43" s="320"/>
      <c r="Q43" s="175"/>
      <c r="AE43" s="175"/>
      <c r="AS43" s="649"/>
      <c r="AU43" s="843" t="s">
        <v>1276</v>
      </c>
      <c r="AV43" s="157">
        <f>QUARTILE(AV$6:AV35,3)-QUARTILE(AV$6:AV35,1)</f>
        <v>58.200000000000031</v>
      </c>
      <c r="AW43" s="119"/>
    </row>
    <row r="44" spans="1:58" x14ac:dyDescent="0.3">
      <c r="I44" s="320"/>
      <c r="Q44" s="175"/>
      <c r="AE44" s="175"/>
      <c r="AS44" s="649"/>
      <c r="AU44" s="843" t="s">
        <v>1277</v>
      </c>
      <c r="AV44" s="157">
        <f>MAX(AV39-2*AV43,0)</f>
        <v>0</v>
      </c>
      <c r="AW44" s="844" t="str">
        <f>IF(AV41&lt;AV44,"Outlier Flag","")</f>
        <v/>
      </c>
    </row>
    <row r="45" spans="1:58" x14ac:dyDescent="0.3">
      <c r="Q45" s="175"/>
      <c r="AE45" s="175"/>
      <c r="AS45" s="649"/>
      <c r="AU45" s="843" t="s">
        <v>1278</v>
      </c>
      <c r="AV45" s="157">
        <f>AV39+2.2*AV43</f>
        <v>187.73292923283256</v>
      </c>
      <c r="AW45" s="844" t="str">
        <f>IF(AV42&gt;AV45,"Outlier Flag","")</f>
        <v>Outlier Flag</v>
      </c>
    </row>
    <row r="47" spans="1:58" x14ac:dyDescent="0.3">
      <c r="AP47" s="31" t="s">
        <v>790</v>
      </c>
      <c r="AV47" s="412">
        <v>37.497643077610824</v>
      </c>
    </row>
    <row r="48" spans="1:58" x14ac:dyDescent="0.3">
      <c r="AP48" s="31" t="s">
        <v>791</v>
      </c>
      <c r="AV48" s="412">
        <v>25.267232646930903</v>
      </c>
    </row>
    <row r="49" spans="42:48" x14ac:dyDescent="0.3">
      <c r="AP49" s="31" t="s">
        <v>800</v>
      </c>
      <c r="AV49" s="412">
        <v>51.246464616416233</v>
      </c>
    </row>
    <row r="50" spans="42:48" x14ac:dyDescent="0.3">
      <c r="AP50" s="31" t="s">
        <v>789</v>
      </c>
      <c r="AV50" s="412">
        <v>4</v>
      </c>
    </row>
    <row r="51" spans="42:48" x14ac:dyDescent="0.3">
      <c r="AP51" s="31" t="s">
        <v>787</v>
      </c>
      <c r="AV51" s="412">
        <v>10.000000000000002</v>
      </c>
    </row>
    <row r="52" spans="42:48" x14ac:dyDescent="0.3">
      <c r="AP52" s="31" t="s">
        <v>788</v>
      </c>
      <c r="AV52" s="412">
        <v>59.692929232832476</v>
      </c>
    </row>
  </sheetData>
  <sheetProtection formatCells="0" formatColumns="0" formatRows="0" insertColumns="0" insertRows="0" insertHyperlinks="0" deleteColumns="0" deleteRows="0" sort="0"/>
  <mergeCells count="5">
    <mergeCell ref="A1:B1"/>
    <mergeCell ref="BB10:BB15"/>
    <mergeCell ref="BC10:BC15"/>
    <mergeCell ref="BB17:BB21"/>
    <mergeCell ref="BC17:BC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69"/>
  <sheetViews>
    <sheetView zoomScaleNormal="100" workbookViewId="0">
      <selection sqref="A1:B1"/>
    </sheetView>
  </sheetViews>
  <sheetFormatPr defaultRowHeight="14.4" x14ac:dyDescent="0.3"/>
  <cols>
    <col min="1" max="1" width="3.6640625" style="31" customWidth="1"/>
    <col min="2" max="2" width="27.88671875" style="31" bestFit="1" customWidth="1"/>
    <col min="3" max="3" width="27.109375" style="31" customWidth="1"/>
    <col min="4" max="4" width="27.109375" style="40" customWidth="1"/>
    <col min="5" max="5" width="47.6640625" style="31" customWidth="1"/>
    <col min="6" max="6" width="28.44140625" style="31" customWidth="1"/>
    <col min="7" max="8" width="12.33203125" style="31" customWidth="1"/>
    <col min="9" max="9" width="8.88671875" style="583" customWidth="1"/>
    <col min="10" max="10" width="9.44140625" style="31" bestFit="1" customWidth="1"/>
    <col min="11" max="12" width="10" style="31" customWidth="1"/>
    <col min="13" max="13" width="11.44140625" style="31" customWidth="1"/>
    <col min="14" max="14" width="10.88671875" style="31" customWidth="1"/>
    <col min="15" max="15" width="10.33203125" style="250" customWidth="1"/>
    <col min="16" max="16" width="12.88671875" style="250" bestFit="1" customWidth="1"/>
    <col min="17" max="17" width="9.88671875" style="583" customWidth="1"/>
    <col min="18" max="18" width="10.33203125" style="583" customWidth="1"/>
    <col min="19" max="19" width="12.88671875" style="586" bestFit="1" customWidth="1"/>
    <col min="20" max="22" width="10.109375" style="412" customWidth="1"/>
    <col min="23" max="24" width="16" style="146" customWidth="1"/>
    <col min="25" max="25" width="30.33203125" style="146" customWidth="1"/>
    <col min="26" max="26" width="8.88671875" style="31" customWidth="1"/>
    <col min="27" max="27" width="10.33203125" style="31" customWidth="1"/>
    <col min="28" max="28" width="11.44140625" style="31" customWidth="1"/>
    <col min="29" max="29" width="10.33203125" style="31" customWidth="1"/>
    <col min="30" max="30" width="15.44140625" style="247" bestFit="1" customWidth="1"/>
    <col min="31" max="32" width="10.33203125" style="583" customWidth="1"/>
    <col min="33" max="35" width="10.109375" style="184" customWidth="1"/>
    <col min="36" max="37" width="16" style="146" customWidth="1"/>
    <col min="38" max="38" width="30.33203125" style="146" customWidth="1"/>
    <col min="39" max="39" width="8.88671875" style="31" customWidth="1"/>
    <col min="40" max="40" width="10.33203125" style="31" customWidth="1"/>
    <col min="41" max="41" width="11.44140625" style="31" customWidth="1"/>
    <col min="42" max="42" width="11.33203125" style="31" customWidth="1"/>
    <col min="43" max="43" width="10.33203125" style="247" customWidth="1"/>
    <col min="44" max="44" width="12.88671875" style="250" bestFit="1" customWidth="1"/>
    <col min="45" max="45" width="10.109375" style="583" customWidth="1"/>
    <col min="46" max="46" width="10.33203125" style="586" customWidth="1"/>
    <col min="47" max="47" width="12.88671875" style="586" bestFit="1" customWidth="1"/>
    <col min="48" max="50" width="10.109375" style="412" customWidth="1"/>
    <col min="51" max="51" width="15.5546875" style="146" bestFit="1" customWidth="1"/>
    <col min="52" max="52" width="15" style="31" customWidth="1"/>
    <col min="53" max="53" width="14.6640625" style="31" customWidth="1"/>
    <col min="54" max="54" width="21.33203125" style="185" customWidth="1"/>
    <col min="55" max="55" width="22.5546875" style="185" customWidth="1"/>
    <col min="56" max="56" width="9.109375" style="185"/>
    <col min="57" max="58" width="8.88671875" style="31"/>
  </cols>
  <sheetData>
    <row r="1" spans="1:58" x14ac:dyDescent="0.3">
      <c r="A1" s="899" t="s">
        <v>17</v>
      </c>
      <c r="B1" s="899"/>
      <c r="K1" s="108" t="s">
        <v>626</v>
      </c>
      <c r="O1" s="86" t="s">
        <v>601</v>
      </c>
      <c r="P1" s="87"/>
      <c r="Q1" s="583" t="s">
        <v>602</v>
      </c>
      <c r="R1" s="586"/>
      <c r="T1" s="118"/>
      <c r="U1" s="118"/>
      <c r="V1" s="118"/>
      <c r="W1" s="587"/>
      <c r="X1" s="587"/>
      <c r="Y1" s="587"/>
      <c r="Z1" s="108" t="s">
        <v>89</v>
      </c>
      <c r="AD1" s="87" t="s">
        <v>601</v>
      </c>
      <c r="AE1" s="583" t="s">
        <v>602</v>
      </c>
      <c r="AF1" s="586"/>
      <c r="AG1" s="156"/>
      <c r="AH1" s="156"/>
      <c r="AI1" s="156"/>
      <c r="AJ1" s="587"/>
      <c r="AK1" s="587"/>
      <c r="AL1" s="587"/>
      <c r="AM1" s="108" t="s">
        <v>627</v>
      </c>
      <c r="AQ1" s="86" t="s">
        <v>601</v>
      </c>
      <c r="AR1" s="86"/>
      <c r="AS1" s="583" t="s">
        <v>602</v>
      </c>
      <c r="AV1" s="118"/>
      <c r="AW1" s="118"/>
      <c r="AX1" s="118"/>
      <c r="AY1" s="587"/>
      <c r="AZ1" s="587"/>
      <c r="BA1" s="587"/>
    </row>
    <row r="2" spans="1:58" x14ac:dyDescent="0.3">
      <c r="G2" s="584"/>
      <c r="H2" s="584"/>
      <c r="J2" s="92"/>
      <c r="K2" s="108"/>
      <c r="O2" s="588" t="s">
        <v>603</v>
      </c>
      <c r="P2" s="589"/>
      <c r="Q2" s="590" t="s">
        <v>603</v>
      </c>
      <c r="R2" s="590" t="s">
        <v>603</v>
      </c>
      <c r="S2" s="590"/>
      <c r="T2" s="591" t="s">
        <v>801</v>
      </c>
      <c r="U2" s="591"/>
      <c r="V2" s="591"/>
      <c r="W2" s="592"/>
      <c r="X2" s="592"/>
      <c r="Y2" s="592"/>
      <c r="AD2" s="589"/>
      <c r="AF2" s="590"/>
      <c r="AG2" s="593" t="s">
        <v>801</v>
      </c>
      <c r="AH2" s="593"/>
      <c r="AI2" s="593"/>
      <c r="AJ2" s="592"/>
      <c r="AK2" s="592"/>
      <c r="AL2" s="592"/>
      <c r="AM2" s="108"/>
      <c r="AQ2" s="588" t="s">
        <v>604</v>
      </c>
      <c r="AR2" s="588"/>
      <c r="AS2" s="590" t="s">
        <v>604</v>
      </c>
      <c r="AT2" s="590" t="s">
        <v>604</v>
      </c>
      <c r="AU2" s="590"/>
      <c r="AV2" s="591" t="s">
        <v>801</v>
      </c>
      <c r="AW2" s="591"/>
      <c r="AX2" s="591"/>
      <c r="AY2" s="592"/>
      <c r="AZ2" s="592"/>
      <c r="BA2" s="592"/>
    </row>
    <row r="3" spans="1:58" ht="43.2" x14ac:dyDescent="0.3">
      <c r="B3" s="108" t="s">
        <v>1</v>
      </c>
      <c r="C3" s="108" t="s">
        <v>2</v>
      </c>
      <c r="D3" s="378" t="s">
        <v>930</v>
      </c>
      <c r="E3" s="108" t="s">
        <v>5</v>
      </c>
      <c r="F3" s="108" t="s">
        <v>7</v>
      </c>
      <c r="G3" s="594" t="s">
        <v>1176</v>
      </c>
      <c r="H3" s="594" t="s">
        <v>1176</v>
      </c>
      <c r="I3" s="595" t="s">
        <v>593</v>
      </c>
      <c r="J3" s="533"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row>
    <row r="4" spans="1:58" s="4" customFormat="1" x14ac:dyDescent="0.3">
      <c r="A4" s="31"/>
      <c r="B4" s="31"/>
      <c r="C4" s="31"/>
      <c r="D4" s="32"/>
      <c r="E4" s="31"/>
      <c r="F4" s="31"/>
      <c r="G4" s="33" t="s">
        <v>85</v>
      </c>
      <c r="H4" s="33" t="s">
        <v>522</v>
      </c>
      <c r="I4" s="595"/>
      <c r="J4" s="601" t="s">
        <v>595</v>
      </c>
      <c r="K4" s="31"/>
      <c r="L4" s="31" t="s">
        <v>88</v>
      </c>
      <c r="M4" s="31"/>
      <c r="N4" s="31"/>
      <c r="O4" s="86" t="s">
        <v>596</v>
      </c>
      <c r="P4" s="87" t="s">
        <v>597</v>
      </c>
      <c r="Q4" s="583" t="s">
        <v>88</v>
      </c>
      <c r="R4" s="586" t="s">
        <v>596</v>
      </c>
      <c r="S4" s="586" t="s">
        <v>597</v>
      </c>
      <c r="T4" s="117" t="s">
        <v>88</v>
      </c>
      <c r="U4" s="117" t="s">
        <v>88</v>
      </c>
      <c r="V4" s="117" t="s">
        <v>88</v>
      </c>
      <c r="W4" s="592"/>
      <c r="X4" s="592"/>
      <c r="Y4" s="592"/>
      <c r="Z4" s="31"/>
      <c r="AA4" s="31" t="s">
        <v>88</v>
      </c>
      <c r="AB4" s="31"/>
      <c r="AC4" s="31"/>
      <c r="AD4" s="87" t="s">
        <v>596</v>
      </c>
      <c r="AE4" s="583" t="s">
        <v>88</v>
      </c>
      <c r="AF4" s="586" t="s">
        <v>596</v>
      </c>
      <c r="AG4" s="292" t="s">
        <v>88</v>
      </c>
      <c r="AH4" s="292" t="s">
        <v>88</v>
      </c>
      <c r="AI4" s="292" t="s">
        <v>88</v>
      </c>
      <c r="AJ4" s="602"/>
      <c r="AK4" s="602"/>
      <c r="AL4" s="602"/>
      <c r="AM4" s="31"/>
      <c r="AN4" s="31" t="s">
        <v>88</v>
      </c>
      <c r="AO4" s="31"/>
      <c r="AP4" s="31"/>
      <c r="AQ4" s="86" t="s">
        <v>596</v>
      </c>
      <c r="AR4" s="86" t="s">
        <v>597</v>
      </c>
      <c r="AS4" s="583" t="s">
        <v>88</v>
      </c>
      <c r="AT4" s="586" t="s">
        <v>596</v>
      </c>
      <c r="AU4" s="586" t="s">
        <v>597</v>
      </c>
      <c r="AV4" s="302" t="s">
        <v>88</v>
      </c>
      <c r="AW4" s="302" t="s">
        <v>88</v>
      </c>
      <c r="AX4" s="302" t="s">
        <v>88</v>
      </c>
      <c r="AY4" s="602"/>
      <c r="AZ4" s="602"/>
      <c r="BA4" s="648"/>
      <c r="BB4" s="319"/>
      <c r="BC4" s="192"/>
      <c r="BD4" s="603"/>
      <c r="BE4" s="115"/>
      <c r="BF4" s="115"/>
    </row>
    <row r="5" spans="1:58" s="4" customFormat="1" x14ac:dyDescent="0.3">
      <c r="A5" s="348"/>
      <c r="B5" s="34"/>
      <c r="C5" s="34"/>
      <c r="D5" s="35"/>
      <c r="E5" s="351"/>
      <c r="F5" s="755"/>
      <c r="G5" s="115"/>
      <c r="H5" s="115"/>
      <c r="I5" s="721"/>
      <c r="J5" s="279"/>
      <c r="K5" s="115"/>
      <c r="L5" s="115"/>
      <c r="M5" s="115"/>
      <c r="N5" s="115"/>
      <c r="O5" s="280"/>
      <c r="P5" s="280"/>
      <c r="Q5" s="659"/>
      <c r="R5" s="659"/>
      <c r="S5" s="661"/>
      <c r="T5" s="343"/>
      <c r="U5" s="343"/>
      <c r="V5" s="343"/>
      <c r="W5" s="153"/>
      <c r="X5" s="153"/>
      <c r="Y5" s="153"/>
      <c r="Z5" s="115"/>
      <c r="AA5" s="115"/>
      <c r="AB5" s="115"/>
      <c r="AC5" s="115"/>
      <c r="AD5" s="290"/>
      <c r="AE5" s="659"/>
      <c r="AF5" s="659"/>
      <c r="AG5" s="413"/>
      <c r="AH5" s="413"/>
      <c r="AI5" s="413"/>
      <c r="AJ5" s="153"/>
      <c r="AK5" s="153"/>
      <c r="AL5" s="153"/>
      <c r="AM5" s="115"/>
      <c r="AN5" s="115"/>
      <c r="AO5" s="115"/>
      <c r="AP5" s="115"/>
      <c r="AQ5" s="290"/>
      <c r="AR5" s="280"/>
      <c r="AS5" s="659"/>
      <c r="AT5" s="661"/>
      <c r="AU5" s="661"/>
      <c r="AV5" s="343"/>
      <c r="AW5" s="343"/>
      <c r="AX5" s="343"/>
      <c r="AY5" s="153"/>
      <c r="AZ5" s="115"/>
      <c r="BA5" s="115"/>
      <c r="BB5" s="192"/>
      <c r="BC5" s="192"/>
      <c r="BD5" s="185"/>
      <c r="BE5" s="115"/>
      <c r="BF5" s="115"/>
    </row>
    <row r="6" spans="1:58" s="4" customFormat="1" x14ac:dyDescent="0.3">
      <c r="A6" s="350">
        <v>1</v>
      </c>
      <c r="B6" s="115" t="s">
        <v>61</v>
      </c>
      <c r="C6" s="115" t="s">
        <v>199</v>
      </c>
      <c r="D6" s="314" t="s">
        <v>903</v>
      </c>
      <c r="E6" s="115" t="s">
        <v>56</v>
      </c>
      <c r="F6" s="115"/>
      <c r="G6" s="115">
        <v>25</v>
      </c>
      <c r="H6" s="115">
        <f>G6+273.15</f>
        <v>298.14999999999998</v>
      </c>
      <c r="I6" s="724">
        <f>-LOG10(EXP(LN(10^-14)+13.36*(1/298.15-1/H6)/0.0019872))</f>
        <v>14</v>
      </c>
      <c r="J6" s="820">
        <v>17.899999999999999</v>
      </c>
      <c r="K6" s="115">
        <v>5</v>
      </c>
      <c r="L6" s="115">
        <v>321</v>
      </c>
      <c r="M6" s="115"/>
      <c r="N6" s="115" t="s">
        <v>605</v>
      </c>
      <c r="O6" s="280">
        <f>(LN(2)/L6)/(24*60*60)*10^(K6-5)</f>
        <v>2.4992326517247361E-8</v>
      </c>
      <c r="P6" s="841">
        <f>(LN(2)/L6)/(60*60*24)*10^K6</f>
        <v>2.4992326517247359E-3</v>
      </c>
      <c r="Q6" s="669">
        <f>(LN(2)/R6)/(60*60*24)</f>
        <v>320.99999999999989</v>
      </c>
      <c r="R6" s="670">
        <f>S6*10^-5</f>
        <v>2.499232651724737E-8</v>
      </c>
      <c r="S6" s="670">
        <f>EXP(LN(P6)+$J6*(1/$H6-1/298.15)/0.0019872)</f>
        <v>2.4992326517247368E-3</v>
      </c>
      <c r="T6" s="890">
        <f>Q6</f>
        <v>320.99999999999989</v>
      </c>
      <c r="U6" s="343"/>
      <c r="V6" s="343"/>
      <c r="W6" s="153"/>
      <c r="X6" s="153"/>
      <c r="Y6" s="153"/>
      <c r="Z6" s="115">
        <v>7</v>
      </c>
      <c r="AA6" s="115">
        <v>24</v>
      </c>
      <c r="AB6" s="115"/>
      <c r="AC6" s="115" t="s">
        <v>605</v>
      </c>
      <c r="AD6" s="280">
        <f>(LN(2)/AA6)/(60*60*24)</f>
        <v>3.3427236716818347E-7</v>
      </c>
      <c r="AE6" s="669">
        <f>(LN(2)/AF6)/(60*60*24)</f>
        <v>24.000000000000018</v>
      </c>
      <c r="AF6" s="670">
        <f>EXP(LN(AD6)+$J6*(1/$H6-1/298.15)/0.0019872)</f>
        <v>3.3427236716818326E-7</v>
      </c>
      <c r="AG6" s="413">
        <f>AE6</f>
        <v>24.000000000000018</v>
      </c>
      <c r="AH6" s="413"/>
      <c r="AI6" s="413"/>
      <c r="AJ6" s="153"/>
      <c r="AK6" s="153"/>
      <c r="AL6" s="153"/>
      <c r="AM6" s="115">
        <v>9</v>
      </c>
      <c r="AN6" s="115">
        <v>0.2</v>
      </c>
      <c r="AO6" s="115"/>
      <c r="AP6" s="115" t="s">
        <v>605</v>
      </c>
      <c r="AQ6" s="280">
        <f>((LN(2)/AN6)/(60*60*24))*10^(9-AM6)</f>
        <v>4.0112684060182012E-5</v>
      </c>
      <c r="AR6" s="280">
        <f>AQ6*10^($I6-9)</f>
        <v>4.0112684060182016</v>
      </c>
      <c r="AS6" s="682">
        <f>(LN(2)/AT6)/(60*60*24)</f>
        <v>0.2</v>
      </c>
      <c r="AT6" s="670">
        <f>AU6*10^(9-14)</f>
        <v>4.0112684060182019E-5</v>
      </c>
      <c r="AU6" s="670">
        <f>EXP(LN(AR6)+$J6*(1/$H6-1/298.15)/0.0019872)</f>
        <v>4.0112684060182016</v>
      </c>
      <c r="AV6" s="343">
        <f>AS6</f>
        <v>0.2</v>
      </c>
      <c r="AW6" s="343"/>
      <c r="AX6" s="343"/>
      <c r="AY6" s="153"/>
      <c r="AZ6" s="115"/>
      <c r="BA6" s="115"/>
      <c r="BB6" s="192" t="s">
        <v>201</v>
      </c>
      <c r="BC6" s="192" t="s">
        <v>200</v>
      </c>
      <c r="BD6" s="185"/>
      <c r="BE6" s="115"/>
      <c r="BF6" s="115"/>
    </row>
    <row r="7" spans="1:58" s="4" customFormat="1" x14ac:dyDescent="0.3">
      <c r="A7" s="350"/>
      <c r="B7" s="115"/>
      <c r="C7" s="115"/>
      <c r="D7" s="314"/>
      <c r="E7" s="115"/>
      <c r="F7" s="115"/>
      <c r="G7" s="115"/>
      <c r="H7" s="115"/>
      <c r="I7" s="724"/>
      <c r="J7" s="279"/>
      <c r="K7" s="115"/>
      <c r="L7" s="115"/>
      <c r="M7" s="115"/>
      <c r="N7" s="115"/>
      <c r="O7" s="280"/>
      <c r="P7" s="841"/>
      <c r="Q7" s="669"/>
      <c r="R7" s="670"/>
      <c r="S7" s="670"/>
      <c r="T7" s="343"/>
      <c r="U7" s="847"/>
      <c r="V7" s="343"/>
      <c r="W7" s="153"/>
      <c r="X7" s="153"/>
      <c r="Y7" s="153"/>
      <c r="Z7" s="115"/>
      <c r="AA7" s="115"/>
      <c r="AB7" s="115"/>
      <c r="AC7" s="115"/>
      <c r="AD7" s="280"/>
      <c r="AE7" s="669"/>
      <c r="AF7" s="670"/>
      <c r="AG7" s="413"/>
      <c r="AH7" s="413"/>
      <c r="AI7" s="413"/>
      <c r="AJ7" s="153"/>
      <c r="AK7" s="153"/>
      <c r="AL7" s="153"/>
      <c r="AM7" s="115"/>
      <c r="AN7" s="115"/>
      <c r="AO7" s="115"/>
      <c r="AP7" s="115"/>
      <c r="AQ7" s="280"/>
      <c r="AR7" s="280"/>
      <c r="AS7" s="682"/>
      <c r="AT7" s="670"/>
      <c r="AU7" s="670"/>
      <c r="AV7" s="343"/>
      <c r="AW7" s="343"/>
      <c r="AX7" s="343"/>
      <c r="AY7" s="153"/>
      <c r="AZ7" s="115"/>
      <c r="BA7" s="115"/>
      <c r="BB7" s="192"/>
      <c r="BC7" s="192"/>
      <c r="BD7" s="185"/>
      <c r="BE7" s="115"/>
      <c r="BF7" s="115"/>
    </row>
    <row r="8" spans="1:58" s="11" customFormat="1" x14ac:dyDescent="0.3">
      <c r="A8" s="486">
        <v>2</v>
      </c>
      <c r="B8" s="285" t="s">
        <v>60</v>
      </c>
      <c r="C8" s="285" t="s">
        <v>198</v>
      </c>
      <c r="D8" s="318" t="s">
        <v>903</v>
      </c>
      <c r="E8" s="285" t="s">
        <v>57</v>
      </c>
      <c r="F8" s="487"/>
      <c r="G8" s="285">
        <v>25</v>
      </c>
      <c r="H8" s="285">
        <f t="shared" ref="H8:H49" si="0">G8+273.15</f>
        <v>298.14999999999998</v>
      </c>
      <c r="I8" s="759">
        <f t="shared" ref="I8:I49" si="1">-LOG10(EXP(LN(10^-14)+13.36*(1/298.15-1/H8)/0.0019872))</f>
        <v>14</v>
      </c>
      <c r="J8" s="821">
        <v>17.899999999999999</v>
      </c>
      <c r="K8" s="285">
        <v>5</v>
      </c>
      <c r="L8" s="285" t="s">
        <v>116</v>
      </c>
      <c r="M8" s="285"/>
      <c r="N8" s="285"/>
      <c r="O8" s="287"/>
      <c r="P8" s="842"/>
      <c r="Q8" s="677"/>
      <c r="R8" s="678"/>
      <c r="S8" s="678"/>
      <c r="T8" s="493"/>
      <c r="U8" s="493"/>
      <c r="V8" s="493"/>
      <c r="W8" s="494"/>
      <c r="X8" s="494"/>
      <c r="Y8" s="494"/>
      <c r="Z8" s="285">
        <v>7</v>
      </c>
      <c r="AA8" s="285" t="s">
        <v>116</v>
      </c>
      <c r="AB8" s="285"/>
      <c r="AC8" s="285"/>
      <c r="AD8" s="287"/>
      <c r="AE8" s="677"/>
      <c r="AF8" s="678"/>
      <c r="AG8" s="498"/>
      <c r="AH8" s="498"/>
      <c r="AI8" s="498"/>
      <c r="AJ8" s="494"/>
      <c r="AK8" s="494"/>
      <c r="AL8" s="494"/>
      <c r="AM8" s="285">
        <v>9</v>
      </c>
      <c r="AN8" s="285">
        <v>36</v>
      </c>
      <c r="AO8" s="285"/>
      <c r="AP8" s="285" t="s">
        <v>605</v>
      </c>
      <c r="AQ8" s="287">
        <f>((LN(2)/AN8)/(60*60*24))*10^(9-AM8)</f>
        <v>2.2284824477878901E-7</v>
      </c>
      <c r="AR8" s="287">
        <f t="shared" ref="AR8:AR49" si="2">AQ8*10^($I8-9)</f>
        <v>2.2284824477878901E-2</v>
      </c>
      <c r="AS8" s="683">
        <f t="shared" ref="AS8:AS49" si="3">(LN(2)/AT8)/(60*60*24)</f>
        <v>35.999999999999986</v>
      </c>
      <c r="AT8" s="678">
        <f t="shared" ref="AT8:AT49" si="4">AU8*10^(9-14)</f>
        <v>2.2284824477878906E-7</v>
      </c>
      <c r="AU8" s="678">
        <f t="shared" ref="AU8:AU49" si="5">EXP(LN(AR8)+$J8*(1/$H8-1/298.15)/0.0019872)</f>
        <v>2.2284824477878905E-2</v>
      </c>
      <c r="AV8" s="493">
        <f>AVERAGE(AS8:AS11)</f>
        <v>27.033333333333328</v>
      </c>
      <c r="AW8" s="493">
        <f>MEDIAN(AS8:AS11)</f>
        <v>30</v>
      </c>
      <c r="AX8" s="493">
        <f>STDEV(AS8:AS11)</f>
        <v>10.761195720426867</v>
      </c>
      <c r="AY8" s="494"/>
      <c r="AZ8" s="285"/>
      <c r="BA8" s="285"/>
      <c r="BB8" s="317" t="s">
        <v>203</v>
      </c>
      <c r="BC8" s="317" t="s">
        <v>202</v>
      </c>
      <c r="BD8" s="187"/>
      <c r="BE8" s="285"/>
      <c r="BF8" s="285"/>
    </row>
    <row r="9" spans="1:58" s="4" customFormat="1" ht="15.75" customHeight="1" x14ac:dyDescent="0.3">
      <c r="A9" s="350"/>
      <c r="B9" s="115"/>
      <c r="C9" s="115"/>
      <c r="D9" s="314"/>
      <c r="E9" s="822"/>
      <c r="F9" s="271"/>
      <c r="G9" s="115"/>
      <c r="H9" s="115"/>
      <c r="I9" s="724"/>
      <c r="J9" s="820"/>
      <c r="K9" s="115"/>
      <c r="L9" s="115"/>
      <c r="M9" s="115"/>
      <c r="N9" s="115"/>
      <c r="O9" s="280"/>
      <c r="P9" s="841"/>
      <c r="Q9" s="669"/>
      <c r="R9" s="670"/>
      <c r="S9" s="670"/>
      <c r="T9" s="343"/>
      <c r="U9" s="343"/>
      <c r="V9" s="343"/>
      <c r="W9" s="153"/>
      <c r="X9" s="153"/>
      <c r="Y9" s="153"/>
      <c r="Z9" s="115"/>
      <c r="AA9" s="115"/>
      <c r="AB9" s="115"/>
      <c r="AC9" s="115"/>
      <c r="AD9" s="280"/>
      <c r="AE9" s="669"/>
      <c r="AF9" s="670"/>
      <c r="AG9" s="413"/>
      <c r="AH9" s="413"/>
      <c r="AI9" s="413"/>
      <c r="AJ9" s="153"/>
      <c r="AK9" s="153"/>
      <c r="AL9" s="153"/>
      <c r="AM9" s="115"/>
      <c r="AN9" s="115"/>
      <c r="AO9" s="115"/>
      <c r="AP9" s="115"/>
      <c r="AQ9" s="280"/>
      <c r="AR9" s="280"/>
      <c r="AS9" s="682"/>
      <c r="AT9" s="670"/>
      <c r="AU9" s="670"/>
      <c r="AV9" s="343"/>
      <c r="AW9" s="343"/>
      <c r="AX9" s="343"/>
      <c r="AY9" s="153"/>
      <c r="AZ9" s="115"/>
      <c r="BA9" s="115"/>
      <c r="BB9" s="192"/>
      <c r="BC9" s="192"/>
      <c r="BD9" s="188"/>
      <c r="BE9" s="115"/>
      <c r="BF9" s="115"/>
    </row>
    <row r="10" spans="1:58" s="4" customFormat="1" x14ac:dyDescent="0.3">
      <c r="A10" s="350"/>
      <c r="B10" s="115"/>
      <c r="C10" s="115"/>
      <c r="D10" s="314"/>
      <c r="E10" s="115" t="s">
        <v>1259</v>
      </c>
      <c r="F10" s="271"/>
      <c r="G10" s="115">
        <v>25</v>
      </c>
      <c r="H10" s="115">
        <f t="shared" si="0"/>
        <v>298.14999999999998</v>
      </c>
      <c r="I10" s="724">
        <f t="shared" si="1"/>
        <v>14</v>
      </c>
      <c r="J10" s="820">
        <v>17.899999999999999</v>
      </c>
      <c r="K10" s="115">
        <v>5</v>
      </c>
      <c r="L10" s="115" t="s">
        <v>116</v>
      </c>
      <c r="M10" s="115"/>
      <c r="N10" s="115"/>
      <c r="O10" s="280"/>
      <c r="P10" s="841"/>
      <c r="Q10" s="750"/>
      <c r="R10" s="670"/>
      <c r="S10" s="670"/>
      <c r="T10" s="343"/>
      <c r="U10" s="343"/>
      <c r="V10" s="343"/>
      <c r="W10" s="153"/>
      <c r="X10" s="153"/>
      <c r="Y10" s="153"/>
      <c r="Z10" s="115">
        <v>7</v>
      </c>
      <c r="AA10" s="115" t="s">
        <v>608</v>
      </c>
      <c r="AB10" s="115"/>
      <c r="AC10" s="115"/>
      <c r="AD10" s="280"/>
      <c r="AE10" s="669"/>
      <c r="AF10" s="670"/>
      <c r="AG10" s="413"/>
      <c r="AH10" s="413"/>
      <c r="AI10" s="413"/>
      <c r="AJ10" s="153"/>
      <c r="AK10" s="153"/>
      <c r="AL10" s="153"/>
      <c r="AM10" s="115">
        <v>9</v>
      </c>
      <c r="AN10" s="115">
        <v>30</v>
      </c>
      <c r="AO10" s="115"/>
      <c r="AP10" s="115" t="s">
        <v>605</v>
      </c>
      <c r="AQ10" s="280">
        <f t="shared" ref="AQ10:AQ16" si="6">((LN(2)/AN10)/(60*60*24))*10^(9-AM10)</f>
        <v>2.6741789373454679E-7</v>
      </c>
      <c r="AR10" s="280">
        <f t="shared" si="2"/>
        <v>2.6741789373454679E-2</v>
      </c>
      <c r="AS10" s="682">
        <f t="shared" si="3"/>
        <v>30</v>
      </c>
      <c r="AT10" s="670">
        <f t="shared" si="4"/>
        <v>2.6741789373454679E-7</v>
      </c>
      <c r="AU10" s="670">
        <f t="shared" si="5"/>
        <v>2.6741789373454679E-2</v>
      </c>
      <c r="AV10" s="343"/>
      <c r="AW10" s="343"/>
      <c r="AX10" s="343"/>
      <c r="AY10" s="153"/>
      <c r="AZ10" s="115"/>
      <c r="BA10" s="115"/>
      <c r="BB10" s="192"/>
      <c r="BC10" s="192"/>
      <c r="BD10" s="188"/>
      <c r="BE10" s="115"/>
      <c r="BF10" s="115"/>
    </row>
    <row r="11" spans="1:58" s="4" customFormat="1" x14ac:dyDescent="0.3">
      <c r="A11" s="350"/>
      <c r="B11" s="115"/>
      <c r="C11" s="115"/>
      <c r="D11" s="314"/>
      <c r="E11" s="115" t="s">
        <v>222</v>
      </c>
      <c r="F11" s="271"/>
      <c r="G11" s="115">
        <v>25</v>
      </c>
      <c r="H11" s="115">
        <f t="shared" si="0"/>
        <v>298.14999999999998</v>
      </c>
      <c r="I11" s="724">
        <f t="shared" si="1"/>
        <v>14</v>
      </c>
      <c r="J11" s="820">
        <v>17.899999999999999</v>
      </c>
      <c r="K11" s="115">
        <v>5</v>
      </c>
      <c r="L11" s="115" t="s">
        <v>116</v>
      </c>
      <c r="M11" s="115"/>
      <c r="N11" s="115"/>
      <c r="O11" s="280"/>
      <c r="P11" s="841"/>
      <c r="Q11" s="750"/>
      <c r="R11" s="670"/>
      <c r="S11" s="670"/>
      <c r="T11" s="343"/>
      <c r="U11" s="343"/>
      <c r="V11" s="343"/>
      <c r="W11" s="153"/>
      <c r="X11" s="153"/>
      <c r="Y11" s="153"/>
      <c r="Z11" s="115">
        <v>7</v>
      </c>
      <c r="AA11" s="115" t="s">
        <v>116</v>
      </c>
      <c r="AB11" s="115"/>
      <c r="AC11" s="115"/>
      <c r="AD11" s="280"/>
      <c r="AE11" s="669"/>
      <c r="AF11" s="670"/>
      <c r="AG11" s="413"/>
      <c r="AH11" s="413"/>
      <c r="AI11" s="413"/>
      <c r="AJ11" s="153"/>
      <c r="AK11" s="153"/>
      <c r="AL11" s="153"/>
      <c r="AM11" s="115">
        <v>9</v>
      </c>
      <c r="AN11" s="115">
        <v>15.1</v>
      </c>
      <c r="AO11" s="115"/>
      <c r="AP11" s="115" t="s">
        <v>605</v>
      </c>
      <c r="AQ11" s="280">
        <f t="shared" si="6"/>
        <v>5.3129382861168236E-7</v>
      </c>
      <c r="AR11" s="280">
        <f t="shared" si="2"/>
        <v>5.3129382861168237E-2</v>
      </c>
      <c r="AS11" s="682">
        <f t="shared" si="3"/>
        <v>15.1</v>
      </c>
      <c r="AT11" s="670">
        <f t="shared" si="4"/>
        <v>5.3129382861168236E-7</v>
      </c>
      <c r="AU11" s="670">
        <f t="shared" si="5"/>
        <v>5.3129382861168237E-2</v>
      </c>
      <c r="AV11" s="343"/>
      <c r="AW11" s="343"/>
      <c r="AX11" s="343"/>
      <c r="AY11" s="153"/>
      <c r="AZ11" s="115"/>
      <c r="BA11" s="115"/>
      <c r="BB11" s="192"/>
      <c r="BC11" s="192"/>
      <c r="BD11" s="188"/>
      <c r="BE11" s="115"/>
      <c r="BF11" s="115"/>
    </row>
    <row r="12" spans="1:58" s="4" customFormat="1" x14ac:dyDescent="0.3">
      <c r="A12" s="350"/>
      <c r="B12" s="115"/>
      <c r="C12" s="115"/>
      <c r="D12" s="314"/>
      <c r="E12" s="115"/>
      <c r="F12" s="271"/>
      <c r="G12" s="115"/>
      <c r="H12" s="115"/>
      <c r="I12" s="724"/>
      <c r="J12" s="279"/>
      <c r="K12" s="115"/>
      <c r="L12" s="115"/>
      <c r="M12" s="115"/>
      <c r="N12" s="115"/>
      <c r="O12" s="280"/>
      <c r="P12" s="841"/>
      <c r="Q12" s="750"/>
      <c r="R12" s="670"/>
      <c r="S12" s="670"/>
      <c r="T12" s="343"/>
      <c r="U12" s="343"/>
      <c r="V12" s="343"/>
      <c r="W12" s="153"/>
      <c r="X12" s="153"/>
      <c r="Y12" s="153"/>
      <c r="Z12" s="115"/>
      <c r="AA12" s="115"/>
      <c r="AB12" s="115"/>
      <c r="AC12" s="115"/>
      <c r="AD12" s="280"/>
      <c r="AE12" s="669"/>
      <c r="AF12" s="670"/>
      <c r="AG12" s="413"/>
      <c r="AH12" s="413"/>
      <c r="AI12" s="413"/>
      <c r="AJ12" s="153"/>
      <c r="AK12" s="153"/>
      <c r="AL12" s="153"/>
      <c r="AM12" s="115"/>
      <c r="AN12" s="115"/>
      <c r="AO12" s="115"/>
      <c r="AP12" s="115"/>
      <c r="AQ12" s="280"/>
      <c r="AR12" s="280"/>
      <c r="AS12" s="682"/>
      <c r="AT12" s="670"/>
      <c r="AU12" s="670"/>
      <c r="AV12" s="343"/>
      <c r="AW12" s="343"/>
      <c r="AX12" s="343"/>
      <c r="AY12" s="153"/>
      <c r="AZ12" s="115"/>
      <c r="BA12" s="115"/>
      <c r="BB12" s="192"/>
      <c r="BC12" s="192"/>
      <c r="BD12" s="188"/>
      <c r="BE12" s="115"/>
      <c r="BF12" s="115"/>
    </row>
    <row r="13" spans="1:58" s="11" customFormat="1" x14ac:dyDescent="0.3">
      <c r="A13" s="486">
        <v>3</v>
      </c>
      <c r="B13" s="285" t="s">
        <v>62</v>
      </c>
      <c r="C13" s="285" t="s">
        <v>204</v>
      </c>
      <c r="D13" s="318" t="s">
        <v>904</v>
      </c>
      <c r="E13" s="285" t="s">
        <v>58</v>
      </c>
      <c r="F13" s="487"/>
      <c r="G13" s="285">
        <v>25</v>
      </c>
      <c r="H13" s="285">
        <f t="shared" si="0"/>
        <v>298.14999999999998</v>
      </c>
      <c r="I13" s="759">
        <f t="shared" si="1"/>
        <v>14</v>
      </c>
      <c r="J13" s="284">
        <v>17.899999999999999</v>
      </c>
      <c r="K13" s="285">
        <v>5</v>
      </c>
      <c r="L13" s="285" t="s">
        <v>116</v>
      </c>
      <c r="M13" s="285"/>
      <c r="N13" s="285"/>
      <c r="O13" s="287"/>
      <c r="P13" s="842"/>
      <c r="Q13" s="677"/>
      <c r="R13" s="678"/>
      <c r="S13" s="678"/>
      <c r="T13" s="493"/>
      <c r="U13" s="493"/>
      <c r="V13" s="493"/>
      <c r="W13" s="494"/>
      <c r="X13" s="494"/>
      <c r="Y13" s="494"/>
      <c r="Z13" s="285">
        <v>7</v>
      </c>
      <c r="AA13" s="285" t="s">
        <v>116</v>
      </c>
      <c r="AB13" s="285"/>
      <c r="AC13" s="285"/>
      <c r="AD13" s="287"/>
      <c r="AE13" s="677"/>
      <c r="AF13" s="678"/>
      <c r="AG13" s="498"/>
      <c r="AH13" s="498"/>
      <c r="AI13" s="498"/>
      <c r="AJ13" s="494"/>
      <c r="AK13" s="494"/>
      <c r="AL13" s="494"/>
      <c r="AM13" s="285">
        <v>9</v>
      </c>
      <c r="AN13" s="285">
        <v>54</v>
      </c>
      <c r="AO13" s="285"/>
      <c r="AP13" s="285" t="s">
        <v>605</v>
      </c>
      <c r="AQ13" s="287">
        <f t="shared" si="6"/>
        <v>1.4856549651919266E-7</v>
      </c>
      <c r="AR13" s="287">
        <f t="shared" si="2"/>
        <v>1.4856549651919267E-2</v>
      </c>
      <c r="AS13" s="683">
        <f t="shared" si="3"/>
        <v>54</v>
      </c>
      <c r="AT13" s="678">
        <f t="shared" si="4"/>
        <v>1.4856549651919266E-7</v>
      </c>
      <c r="AU13" s="678">
        <f t="shared" si="5"/>
        <v>1.4856549651919265E-2</v>
      </c>
      <c r="AV13" s="493">
        <f>AS13</f>
        <v>54</v>
      </c>
      <c r="AW13" s="493"/>
      <c r="AX13" s="493"/>
      <c r="AY13" s="494"/>
      <c r="AZ13" s="285"/>
      <c r="BA13" s="285"/>
      <c r="BB13" s="317" t="s">
        <v>205</v>
      </c>
      <c r="BC13" s="317" t="s">
        <v>206</v>
      </c>
      <c r="BD13" s="187"/>
      <c r="BE13" s="285"/>
      <c r="BF13" s="285"/>
    </row>
    <row r="14" spans="1:58" s="4" customFormat="1" ht="18.75" customHeight="1" x14ac:dyDescent="0.3">
      <c r="A14" s="350"/>
      <c r="B14" s="115"/>
      <c r="C14" s="115"/>
      <c r="D14" s="314"/>
      <c r="E14" s="115"/>
      <c r="F14" s="271"/>
      <c r="G14" s="115"/>
      <c r="H14" s="115"/>
      <c r="I14" s="724"/>
      <c r="J14" s="279"/>
      <c r="K14" s="115"/>
      <c r="L14" s="115"/>
      <c r="M14" s="115"/>
      <c r="N14" s="115"/>
      <c r="O14" s="280"/>
      <c r="P14" s="841"/>
      <c r="Q14" s="669"/>
      <c r="R14" s="670"/>
      <c r="S14" s="670"/>
      <c r="T14" s="343"/>
      <c r="U14" s="343"/>
      <c r="V14" s="343"/>
      <c r="W14" s="153"/>
      <c r="X14" s="153"/>
      <c r="Y14" s="153"/>
      <c r="Z14" s="115"/>
      <c r="AA14" s="115"/>
      <c r="AB14" s="115"/>
      <c r="AC14" s="115"/>
      <c r="AD14" s="280"/>
      <c r="AE14" s="669"/>
      <c r="AF14" s="670"/>
      <c r="AG14" s="413"/>
      <c r="AH14" s="413"/>
      <c r="AI14" s="413"/>
      <c r="AJ14" s="153"/>
      <c r="AK14" s="153"/>
      <c r="AL14" s="153"/>
      <c r="AM14" s="115"/>
      <c r="AN14" s="115"/>
      <c r="AO14" s="115"/>
      <c r="AP14" s="115"/>
      <c r="AQ14" s="280"/>
      <c r="AR14" s="280"/>
      <c r="AS14" s="682"/>
      <c r="AT14" s="670"/>
      <c r="AU14" s="670"/>
      <c r="AV14" s="343"/>
      <c r="AW14" s="343"/>
      <c r="AX14" s="343"/>
      <c r="AY14" s="153"/>
      <c r="AZ14" s="115"/>
      <c r="BA14" s="115"/>
      <c r="BB14" s="192"/>
      <c r="BC14" s="192"/>
      <c r="BD14" s="188"/>
      <c r="BE14" s="115"/>
      <c r="BF14" s="115"/>
    </row>
    <row r="15" spans="1:58" s="11" customFormat="1" x14ac:dyDescent="0.3">
      <c r="A15" s="486">
        <v>4</v>
      </c>
      <c r="B15" s="285" t="s">
        <v>63</v>
      </c>
      <c r="C15" s="285" t="s">
        <v>207</v>
      </c>
      <c r="D15" s="318" t="s">
        <v>905</v>
      </c>
      <c r="E15" s="285" t="s">
        <v>59</v>
      </c>
      <c r="F15" s="487"/>
      <c r="G15" s="285">
        <v>25</v>
      </c>
      <c r="H15" s="285">
        <f t="shared" si="0"/>
        <v>298.14999999999998</v>
      </c>
      <c r="I15" s="759">
        <f t="shared" si="1"/>
        <v>14</v>
      </c>
      <c r="J15" s="284">
        <v>17.899999999999999</v>
      </c>
      <c r="K15" s="285">
        <v>3</v>
      </c>
      <c r="L15" s="285" t="s">
        <v>116</v>
      </c>
      <c r="M15" s="285"/>
      <c r="N15" s="285"/>
      <c r="O15" s="287"/>
      <c r="P15" s="842"/>
      <c r="Q15" s="677"/>
      <c r="R15" s="678"/>
      <c r="S15" s="678"/>
      <c r="T15" s="493"/>
      <c r="U15" s="493"/>
      <c r="V15" s="493"/>
      <c r="W15" s="310" t="s">
        <v>953</v>
      </c>
      <c r="X15" s="494" t="s">
        <v>952</v>
      </c>
      <c r="Y15" s="494" t="s">
        <v>960</v>
      </c>
      <c r="Z15" s="285">
        <v>6</v>
      </c>
      <c r="AA15" s="285" t="s">
        <v>116</v>
      </c>
      <c r="AB15" s="285"/>
      <c r="AC15" s="285"/>
      <c r="AD15" s="287"/>
      <c r="AE15" s="677"/>
      <c r="AF15" s="678"/>
      <c r="AG15" s="498"/>
      <c r="AH15" s="498"/>
      <c r="AI15" s="498"/>
      <c r="AJ15" s="310" t="s">
        <v>955</v>
      </c>
      <c r="AK15" s="494" t="s">
        <v>956</v>
      </c>
      <c r="AL15" s="494" t="s">
        <v>959</v>
      </c>
      <c r="AM15" s="285">
        <v>9</v>
      </c>
      <c r="AN15" s="285">
        <v>21</v>
      </c>
      <c r="AO15" s="285"/>
      <c r="AP15" s="285" t="s">
        <v>605</v>
      </c>
      <c r="AQ15" s="287">
        <f t="shared" si="6"/>
        <v>3.8202556247792403E-7</v>
      </c>
      <c r="AR15" s="287">
        <f t="shared" si="2"/>
        <v>3.8202556247792403E-2</v>
      </c>
      <c r="AS15" s="683">
        <f t="shared" si="3"/>
        <v>20.999999999999993</v>
      </c>
      <c r="AT15" s="678">
        <f t="shared" si="4"/>
        <v>3.8202556247792408E-7</v>
      </c>
      <c r="AU15" s="678">
        <f t="shared" si="5"/>
        <v>3.8202556247792403E-2</v>
      </c>
      <c r="AV15" s="493">
        <f>AVERAGE(AS15:AS16)</f>
        <v>27.123148143673156</v>
      </c>
      <c r="AW15" s="493">
        <f>MEDIAN(AS15:AS16)</f>
        <v>27.123148143673156</v>
      </c>
      <c r="AX15" s="493">
        <f>STDEV(AS15:AS16)</f>
        <v>8.6594391492022318</v>
      </c>
      <c r="AY15" s="310" t="s">
        <v>209</v>
      </c>
      <c r="AZ15" s="310" t="s">
        <v>208</v>
      </c>
      <c r="BA15" s="494" t="s">
        <v>958</v>
      </c>
      <c r="BB15" s="317" t="s">
        <v>209</v>
      </c>
      <c r="BC15" s="317" t="s">
        <v>208</v>
      </c>
      <c r="BD15" s="187"/>
      <c r="BE15" s="285"/>
      <c r="BF15" s="285"/>
    </row>
    <row r="16" spans="1:58" s="4" customFormat="1" x14ac:dyDescent="0.3">
      <c r="A16" s="350"/>
      <c r="B16" s="115"/>
      <c r="C16" s="115"/>
      <c r="D16" s="314"/>
      <c r="E16" s="115"/>
      <c r="F16" s="115"/>
      <c r="G16" s="115">
        <v>35</v>
      </c>
      <c r="H16" s="115">
        <f t="shared" si="0"/>
        <v>308.14999999999998</v>
      </c>
      <c r="I16" s="724">
        <f t="shared" si="1"/>
        <v>13.682201234974167</v>
      </c>
      <c r="J16" s="279">
        <v>17.899999999999999</v>
      </c>
      <c r="K16" s="115">
        <v>3</v>
      </c>
      <c r="L16" s="115" t="s">
        <v>116</v>
      </c>
      <c r="M16" s="115"/>
      <c r="N16" s="115"/>
      <c r="O16" s="280"/>
      <c r="P16" s="841"/>
      <c r="Q16" s="669"/>
      <c r="R16" s="670"/>
      <c r="S16" s="670"/>
      <c r="T16" s="343"/>
      <c r="U16" s="343"/>
      <c r="V16" s="343"/>
      <c r="W16" s="153"/>
      <c r="X16" s="153"/>
      <c r="Y16" s="153" t="s">
        <v>954</v>
      </c>
      <c r="Z16" s="115">
        <v>6</v>
      </c>
      <c r="AA16" s="115" t="s">
        <v>116</v>
      </c>
      <c r="AB16" s="115"/>
      <c r="AC16" s="115"/>
      <c r="AD16" s="280"/>
      <c r="AE16" s="669"/>
      <c r="AF16" s="670"/>
      <c r="AG16" s="413"/>
      <c r="AH16" s="413"/>
      <c r="AI16" s="413"/>
      <c r="AJ16" s="153"/>
      <c r="AK16" s="153"/>
      <c r="AL16" s="153" t="s">
        <v>954</v>
      </c>
      <c r="AM16" s="115">
        <v>9</v>
      </c>
      <c r="AN16" s="115">
        <v>6</v>
      </c>
      <c r="AO16" s="115"/>
      <c r="AP16" s="115" t="s">
        <v>605</v>
      </c>
      <c r="AQ16" s="280">
        <f t="shared" si="6"/>
        <v>1.3370894686727339E-6</v>
      </c>
      <c r="AR16" s="280">
        <f t="shared" si="2"/>
        <v>6.4322320421834875E-2</v>
      </c>
      <c r="AS16" s="682">
        <f t="shared" si="3"/>
        <v>33.246296287346318</v>
      </c>
      <c r="AT16" s="670">
        <f t="shared" si="4"/>
        <v>2.4130618167804198E-7</v>
      </c>
      <c r="AU16" s="670">
        <f t="shared" si="5"/>
        <v>2.4130618167804197E-2</v>
      </c>
      <c r="AV16" s="343"/>
      <c r="AW16" s="343"/>
      <c r="AX16" s="343"/>
      <c r="AY16" s="535" t="s">
        <v>955</v>
      </c>
      <c r="AZ16" s="402" t="s">
        <v>956</v>
      </c>
      <c r="BA16" s="402"/>
      <c r="BB16" s="430" t="s">
        <v>955</v>
      </c>
      <c r="BC16" s="507" t="s">
        <v>1281</v>
      </c>
      <c r="BD16" s="188"/>
      <c r="BE16" s="115"/>
      <c r="BF16" s="115"/>
    </row>
    <row r="17" spans="1:58" s="4" customFormat="1" x14ac:dyDescent="0.3">
      <c r="A17" s="350"/>
      <c r="B17" s="115"/>
      <c r="C17" s="115"/>
      <c r="D17" s="314"/>
      <c r="E17" s="115"/>
      <c r="F17" s="115"/>
      <c r="G17" s="115"/>
      <c r="H17" s="115"/>
      <c r="I17" s="724"/>
      <c r="J17" s="279"/>
      <c r="K17" s="115"/>
      <c r="L17" s="115"/>
      <c r="M17" s="115"/>
      <c r="N17" s="115"/>
      <c r="O17" s="280"/>
      <c r="P17" s="841"/>
      <c r="Q17" s="669"/>
      <c r="R17" s="670"/>
      <c r="S17" s="670"/>
      <c r="T17" s="343"/>
      <c r="U17" s="343"/>
      <c r="V17" s="343"/>
      <c r="W17" s="153"/>
      <c r="X17" s="153"/>
      <c r="Y17" s="153"/>
      <c r="Z17" s="115"/>
      <c r="AA17" s="115"/>
      <c r="AB17" s="115"/>
      <c r="AC17" s="115"/>
      <c r="AD17" s="280"/>
      <c r="AE17" s="669"/>
      <c r="AF17" s="670"/>
      <c r="AG17" s="413"/>
      <c r="AH17" s="413"/>
      <c r="AI17" s="413"/>
      <c r="AJ17" s="153"/>
      <c r="AK17" s="153"/>
      <c r="AL17" s="153"/>
      <c r="AM17" s="115"/>
      <c r="AN17" s="115"/>
      <c r="AO17" s="115"/>
      <c r="AP17" s="115"/>
      <c r="AQ17" s="280"/>
      <c r="AR17" s="280"/>
      <c r="AS17" s="682"/>
      <c r="AT17" s="670"/>
      <c r="AU17" s="670"/>
      <c r="AV17" s="343"/>
      <c r="AW17" s="343"/>
      <c r="AX17" s="343"/>
      <c r="AY17" s="307"/>
      <c r="AZ17" s="307"/>
      <c r="BA17" s="153"/>
      <c r="BB17" s="192"/>
      <c r="BC17" s="192"/>
      <c r="BD17" s="188"/>
      <c r="BE17" s="115"/>
      <c r="BF17" s="115"/>
    </row>
    <row r="18" spans="1:58" s="11" customFormat="1" x14ac:dyDescent="0.3">
      <c r="A18" s="486">
        <v>5</v>
      </c>
      <c r="B18" s="285" t="s">
        <v>214</v>
      </c>
      <c r="C18" s="285" t="s">
        <v>215</v>
      </c>
      <c r="D18" s="318" t="s">
        <v>904</v>
      </c>
      <c r="E18" s="285" t="s">
        <v>216</v>
      </c>
      <c r="F18" s="285"/>
      <c r="G18" s="285">
        <v>25</v>
      </c>
      <c r="H18" s="285">
        <f t="shared" si="0"/>
        <v>298.14999999999998</v>
      </c>
      <c r="I18" s="759">
        <f t="shared" si="1"/>
        <v>14</v>
      </c>
      <c r="J18" s="284">
        <v>17.899999999999999</v>
      </c>
      <c r="K18" s="285"/>
      <c r="L18" s="285"/>
      <c r="M18" s="285"/>
      <c r="N18" s="285"/>
      <c r="O18" s="287"/>
      <c r="P18" s="842"/>
      <c r="Q18" s="677"/>
      <c r="R18" s="678"/>
      <c r="S18" s="678"/>
      <c r="T18" s="493"/>
      <c r="U18" s="493"/>
      <c r="V18" s="493"/>
      <c r="W18" s="494"/>
      <c r="X18" s="494"/>
      <c r="Y18" s="494"/>
      <c r="Z18" s="285">
        <v>7</v>
      </c>
      <c r="AA18" s="285" t="s">
        <v>217</v>
      </c>
      <c r="AB18" s="285"/>
      <c r="AC18" s="285"/>
      <c r="AD18" s="287"/>
      <c r="AE18" s="677"/>
      <c r="AF18" s="678"/>
      <c r="AG18" s="498"/>
      <c r="AH18" s="498"/>
      <c r="AI18" s="498"/>
      <c r="AJ18" s="494"/>
      <c r="AK18" s="494"/>
      <c r="AL18" s="494"/>
      <c r="AM18" s="285"/>
      <c r="AN18" s="285"/>
      <c r="AO18" s="298">
        <v>4.5000000000000001E-6</v>
      </c>
      <c r="AP18" s="285" t="s">
        <v>656</v>
      </c>
      <c r="AQ18" s="287">
        <f xml:space="preserve"> AR18*10^(9-I18)</f>
        <v>4.5000000000000006E-11</v>
      </c>
      <c r="AR18" s="287">
        <f>AO18</f>
        <v>4.5000000000000001E-6</v>
      </c>
      <c r="AS18" s="888">
        <f t="shared" si="3"/>
        <v>178278.5958230313</v>
      </c>
      <c r="AT18" s="678">
        <f t="shared" si="4"/>
        <v>4.4999999999999974E-11</v>
      </c>
      <c r="AU18" s="678">
        <f t="shared" si="5"/>
        <v>4.4999999999999967E-6</v>
      </c>
      <c r="AV18" s="889">
        <f>AS18</f>
        <v>178278.5958230313</v>
      </c>
      <c r="AW18" s="848"/>
      <c r="AX18" s="493"/>
      <c r="AY18" s="494"/>
      <c r="AZ18" s="285"/>
      <c r="BA18" s="285"/>
      <c r="BB18" s="317"/>
      <c r="BC18" s="317"/>
      <c r="BD18" s="187"/>
      <c r="BE18" s="285"/>
      <c r="BF18" s="285"/>
    </row>
    <row r="19" spans="1:58" s="4" customFormat="1" x14ac:dyDescent="0.3">
      <c r="A19" s="115"/>
      <c r="B19" s="115"/>
      <c r="C19" s="115"/>
      <c r="D19" s="314"/>
      <c r="E19" s="115"/>
      <c r="F19" s="115"/>
      <c r="G19" s="115"/>
      <c r="H19" s="115"/>
      <c r="I19" s="724"/>
      <c r="J19" s="279"/>
      <c r="K19" s="115"/>
      <c r="L19" s="115"/>
      <c r="M19" s="115"/>
      <c r="N19" s="115"/>
      <c r="O19" s="280"/>
      <c r="P19" s="841"/>
      <c r="Q19" s="682"/>
      <c r="R19" s="670"/>
      <c r="S19" s="670"/>
      <c r="T19" s="343"/>
      <c r="U19" s="343"/>
      <c r="V19" s="343"/>
      <c r="W19" s="153"/>
      <c r="X19" s="153"/>
      <c r="Y19" s="115"/>
      <c r="Z19" s="115"/>
      <c r="AA19" s="115"/>
      <c r="AB19" s="115"/>
      <c r="AC19" s="115"/>
      <c r="AD19" s="280"/>
      <c r="AE19" s="682"/>
      <c r="AF19" s="670"/>
      <c r="AG19" s="413"/>
      <c r="AH19" s="413"/>
      <c r="AI19" s="413"/>
      <c r="AJ19" s="153"/>
      <c r="AK19" s="153"/>
      <c r="AL19" s="115"/>
      <c r="AM19" s="115"/>
      <c r="AN19" s="115"/>
      <c r="AO19" s="115"/>
      <c r="AP19" s="115"/>
      <c r="AQ19" s="280"/>
      <c r="AR19" s="280"/>
      <c r="AS19" s="682"/>
      <c r="AT19" s="670"/>
      <c r="AU19" s="670"/>
      <c r="AV19" s="343"/>
      <c r="AW19" s="343"/>
      <c r="AX19" s="343"/>
      <c r="AY19" s="115"/>
      <c r="AZ19" s="115"/>
      <c r="BA19" s="115"/>
      <c r="BB19" s="192" t="s">
        <v>223</v>
      </c>
      <c r="BC19" s="192" t="s">
        <v>224</v>
      </c>
      <c r="BD19" s="267"/>
      <c r="BE19" s="115"/>
      <c r="BF19" s="115"/>
    </row>
    <row r="20" spans="1:58" s="11" customFormat="1" x14ac:dyDescent="0.3">
      <c r="A20" s="486">
        <v>6</v>
      </c>
      <c r="B20" s="285" t="s">
        <v>230</v>
      </c>
      <c r="C20" s="285" t="s">
        <v>225</v>
      </c>
      <c r="D20" s="318" t="s">
        <v>903</v>
      </c>
      <c r="E20" s="285" t="s">
        <v>693</v>
      </c>
      <c r="F20" s="285"/>
      <c r="G20" s="285">
        <v>20</v>
      </c>
      <c r="H20" s="285">
        <f t="shared" si="0"/>
        <v>293.14999999999998</v>
      </c>
      <c r="I20" s="759">
        <f t="shared" si="1"/>
        <v>14.167030000755094</v>
      </c>
      <c r="J20" s="284">
        <v>17.899999999999999</v>
      </c>
      <c r="K20" s="285"/>
      <c r="L20" s="285"/>
      <c r="M20" s="285"/>
      <c r="N20" s="285"/>
      <c r="O20" s="287"/>
      <c r="P20" s="842"/>
      <c r="Q20" s="683"/>
      <c r="R20" s="678"/>
      <c r="S20" s="678"/>
      <c r="T20" s="493"/>
      <c r="U20" s="493"/>
      <c r="V20" s="493"/>
      <c r="W20" s="494"/>
      <c r="X20" s="494"/>
      <c r="Y20" s="494"/>
      <c r="Z20" s="285"/>
      <c r="AA20" s="285"/>
      <c r="AB20" s="285"/>
      <c r="AC20" s="285"/>
      <c r="AD20" s="287"/>
      <c r="AE20" s="683"/>
      <c r="AF20" s="678"/>
      <c r="AG20" s="493">
        <f>AE22</f>
        <v>3.8631817646515256</v>
      </c>
      <c r="AH20" s="498"/>
      <c r="AI20" s="498"/>
      <c r="AJ20" s="494"/>
      <c r="AK20" s="494"/>
      <c r="AL20" s="494"/>
      <c r="AM20" s="285">
        <v>9</v>
      </c>
      <c r="AN20" s="289">
        <f>((1200000+1100000)/2)/(60*60*24)</f>
        <v>13.310185185185185</v>
      </c>
      <c r="AO20" s="298">
        <f>(0.0000058+0.0000061)/2</f>
        <v>5.9500000000000006E-6</v>
      </c>
      <c r="AP20" s="285" t="s">
        <v>600</v>
      </c>
      <c r="AQ20" s="287">
        <f>AO20*10^(9-AM20)</f>
        <v>5.9500000000000006E-6</v>
      </c>
      <c r="AR20" s="287">
        <f t="shared" si="2"/>
        <v>0.87407151335346489</v>
      </c>
      <c r="AS20" s="683">
        <f t="shared" si="3"/>
        <v>0.54824484455376576</v>
      </c>
      <c r="AT20" s="678">
        <f t="shared" si="4"/>
        <v>1.4633127683245625E-5</v>
      </c>
      <c r="AU20" s="678">
        <f t="shared" si="5"/>
        <v>1.4633127683245624</v>
      </c>
      <c r="AV20" s="493">
        <f>AVERAGE(AS20:AS22)</f>
        <v>0.65439191635211857</v>
      </c>
      <c r="AW20" s="493">
        <f>MEDIAN(AS20:AS22)</f>
        <v>0.65439191635211857</v>
      </c>
      <c r="AX20" s="493">
        <f>STDEV(AS20:AS22)</f>
        <v>0.15011462854342056</v>
      </c>
      <c r="AY20" s="494"/>
      <c r="AZ20" s="285"/>
      <c r="BA20" s="285"/>
      <c r="BB20" s="317"/>
      <c r="BC20" s="317"/>
      <c r="BD20" s="188"/>
      <c r="BE20" s="285"/>
      <c r="BF20" s="285"/>
    </row>
    <row r="21" spans="1:58" s="4" customFormat="1" x14ac:dyDescent="0.3">
      <c r="A21" s="115"/>
      <c r="B21" s="115"/>
      <c r="C21" s="115"/>
      <c r="D21" s="314"/>
      <c r="E21" s="115"/>
      <c r="F21" s="115"/>
      <c r="G21" s="115">
        <v>20</v>
      </c>
      <c r="H21" s="115">
        <f t="shared" si="0"/>
        <v>293.14999999999998</v>
      </c>
      <c r="I21" s="724">
        <f t="shared" si="1"/>
        <v>14.167030000755094</v>
      </c>
      <c r="J21" s="279">
        <v>17.899999999999999</v>
      </c>
      <c r="K21" s="115"/>
      <c r="L21" s="115"/>
      <c r="M21" s="115"/>
      <c r="N21" s="115"/>
      <c r="O21" s="280"/>
      <c r="P21" s="841"/>
      <c r="Q21" s="682"/>
      <c r="R21" s="670"/>
      <c r="S21" s="670"/>
      <c r="T21" s="343"/>
      <c r="U21" s="343"/>
      <c r="V21" s="343"/>
      <c r="W21" s="153"/>
      <c r="X21" s="153"/>
      <c r="Y21" s="153"/>
      <c r="Z21" s="115"/>
      <c r="AA21" s="115"/>
      <c r="AB21" s="115"/>
      <c r="AC21" s="115"/>
      <c r="AD21" s="280"/>
      <c r="AE21" s="682"/>
      <c r="AF21" s="670"/>
      <c r="AG21" s="413"/>
      <c r="AH21" s="413"/>
      <c r="AI21" s="413"/>
      <c r="AJ21" s="153"/>
      <c r="AK21" s="153"/>
      <c r="AL21" s="153"/>
      <c r="AM21" s="115">
        <v>12</v>
      </c>
      <c r="AN21" s="130" t="s">
        <v>606</v>
      </c>
      <c r="AO21" s="130" t="s">
        <v>607</v>
      </c>
      <c r="AP21" s="131" t="s">
        <v>600</v>
      </c>
      <c r="AQ21" s="280"/>
      <c r="AR21" s="280"/>
      <c r="AS21" s="682"/>
      <c r="AT21" s="670"/>
      <c r="AU21" s="670"/>
      <c r="AV21" s="343"/>
      <c r="AW21" s="343"/>
      <c r="AX21" s="343"/>
      <c r="AY21" s="153"/>
      <c r="AZ21" s="115"/>
      <c r="BA21" s="115"/>
      <c r="BB21" s="192"/>
      <c r="BC21" s="192"/>
      <c r="BD21" s="188"/>
      <c r="BE21" s="115"/>
      <c r="BF21" s="115"/>
    </row>
    <row r="22" spans="1:58" s="4" customFormat="1" x14ac:dyDescent="0.3">
      <c r="A22" s="115"/>
      <c r="B22" s="115"/>
      <c r="C22" s="115"/>
      <c r="D22" s="314"/>
      <c r="E22" s="115"/>
      <c r="F22" s="115"/>
      <c r="G22" s="115">
        <v>50</v>
      </c>
      <c r="H22" s="115">
        <f t="shared" si="0"/>
        <v>323.14999999999998</v>
      </c>
      <c r="I22" s="724">
        <f t="shared" si="1"/>
        <v>13.242382102408241</v>
      </c>
      <c r="J22" s="279">
        <v>17.899999999999999</v>
      </c>
      <c r="K22" s="115"/>
      <c r="L22" s="115"/>
      <c r="M22" s="283"/>
      <c r="N22" s="115"/>
      <c r="O22" s="280"/>
      <c r="P22" s="841"/>
      <c r="Q22" s="682"/>
      <c r="R22" s="670"/>
      <c r="S22" s="670"/>
      <c r="T22" s="343"/>
      <c r="U22" s="343"/>
      <c r="V22" s="343"/>
      <c r="W22" s="153"/>
      <c r="X22" s="153"/>
      <c r="Y22" s="153"/>
      <c r="Z22" s="115">
        <v>6</v>
      </c>
      <c r="AA22" s="115">
        <f>32000/24/3600</f>
        <v>0.37037037037037035</v>
      </c>
      <c r="AB22" s="283">
        <f>(0.000022+0.000021)/2</f>
        <v>2.1500000000000001E-5</v>
      </c>
      <c r="AC22" s="115" t="s">
        <v>600</v>
      </c>
      <c r="AD22" s="280">
        <f>AB22</f>
        <v>2.1500000000000001E-5</v>
      </c>
      <c r="AE22" s="682">
        <f>(LN(2)/AF22)/(60*60*24)</f>
        <v>3.8631817646515256</v>
      </c>
      <c r="AF22" s="670">
        <f>EXP(LN(AD22)+$J22*(1/$H22-1/298.15)/0.0019872)</f>
        <v>2.0766656349031684E-6</v>
      </c>
      <c r="AG22" s="413"/>
      <c r="AH22" s="413"/>
      <c r="AI22" s="413"/>
      <c r="AJ22" s="153"/>
      <c r="AK22" s="153"/>
      <c r="AL22" s="153"/>
      <c r="AM22" s="115">
        <v>9</v>
      </c>
      <c r="AN22" s="499">
        <f>((1200+1100)/2)/(60*60*24)</f>
        <v>1.3310185185185185E-2</v>
      </c>
      <c r="AO22" s="283">
        <f>((0.00061+0.00064)/2)</f>
        <v>6.2500000000000001E-4</v>
      </c>
      <c r="AP22" s="115" t="s">
        <v>600</v>
      </c>
      <c r="AQ22" s="280">
        <f>AO22*10^(9-AM22)</f>
        <v>6.2500000000000001E-4</v>
      </c>
      <c r="AR22" s="280">
        <f>AQ22*10^($I22-9)</f>
        <v>10.920992774084427</v>
      </c>
      <c r="AS22" s="682">
        <f>(LN(2)/AT22)/(60*60*24)</f>
        <v>0.76053898815047127</v>
      </c>
      <c r="AT22" s="670">
        <f>AU22*10^(9-14)</f>
        <v>1.0548488554868352E-5</v>
      </c>
      <c r="AU22" s="670">
        <f>EXP(LN(AR22)+$J22*(1/$H22-1/298.15)/0.0019872)</f>
        <v>1.0548488554868352</v>
      </c>
      <c r="AV22" s="343"/>
      <c r="AW22" s="343"/>
      <c r="AX22" s="343"/>
      <c r="AY22" s="153"/>
      <c r="AZ22" s="115"/>
      <c r="BA22" s="115"/>
      <c r="BB22" s="192"/>
      <c r="BC22" s="192"/>
      <c r="BD22" s="188"/>
      <c r="BE22" s="115"/>
      <c r="BF22" s="115"/>
    </row>
    <row r="23" spans="1:58" s="4" customFormat="1" x14ac:dyDescent="0.3">
      <c r="A23" s="115"/>
      <c r="B23" s="115"/>
      <c r="C23" s="115"/>
      <c r="D23" s="314"/>
      <c r="E23" s="115"/>
      <c r="F23" s="115"/>
      <c r="G23" s="115">
        <v>50</v>
      </c>
      <c r="H23" s="115">
        <f t="shared" si="0"/>
        <v>323.14999999999998</v>
      </c>
      <c r="I23" s="724">
        <f t="shared" si="1"/>
        <v>13.242382102408241</v>
      </c>
      <c r="J23" s="279">
        <v>17.899999999999999</v>
      </c>
      <c r="K23" s="115"/>
      <c r="L23" s="115"/>
      <c r="M23" s="115"/>
      <c r="N23" s="115"/>
      <c r="O23" s="280"/>
      <c r="P23" s="841"/>
      <c r="Q23" s="682"/>
      <c r="R23" s="670"/>
      <c r="S23" s="670"/>
      <c r="T23" s="343"/>
      <c r="U23" s="343"/>
      <c r="V23" s="343"/>
      <c r="W23" s="153"/>
      <c r="X23" s="153"/>
      <c r="Y23" s="153"/>
      <c r="Z23" s="115"/>
      <c r="AA23" s="115"/>
      <c r="AB23" s="115"/>
      <c r="AC23" s="115"/>
      <c r="AD23" s="280"/>
      <c r="AE23" s="682"/>
      <c r="AF23" s="670"/>
      <c r="AG23" s="413"/>
      <c r="AH23" s="413"/>
      <c r="AI23" s="413"/>
      <c r="AJ23" s="153"/>
      <c r="AK23" s="153"/>
      <c r="AL23" s="153"/>
      <c r="AM23" s="115">
        <v>12</v>
      </c>
      <c r="AN23" s="130" t="s">
        <v>606</v>
      </c>
      <c r="AO23" s="130" t="s">
        <v>607</v>
      </c>
      <c r="AP23" s="131" t="s">
        <v>600</v>
      </c>
      <c r="AQ23" s="280"/>
      <c r="AR23" s="280"/>
      <c r="AS23" s="682"/>
      <c r="AT23" s="670"/>
      <c r="AU23" s="670"/>
      <c r="AV23" s="343"/>
      <c r="AW23" s="343"/>
      <c r="AX23" s="343"/>
      <c r="AY23" s="153"/>
      <c r="AZ23" s="115"/>
      <c r="BA23" s="115"/>
      <c r="BB23" s="192"/>
      <c r="BC23" s="192"/>
      <c r="BD23" s="188"/>
      <c r="BE23" s="115"/>
      <c r="BF23" s="115"/>
    </row>
    <row r="24" spans="1:58" s="4" customFormat="1" x14ac:dyDescent="0.3">
      <c r="A24" s="115"/>
      <c r="B24" s="115"/>
      <c r="C24" s="115"/>
      <c r="D24" s="314"/>
      <c r="E24" s="115"/>
      <c r="F24" s="115"/>
      <c r="G24" s="115"/>
      <c r="H24" s="115"/>
      <c r="I24" s="724"/>
      <c r="J24" s="279"/>
      <c r="K24" s="115"/>
      <c r="L24" s="115"/>
      <c r="M24" s="115"/>
      <c r="N24" s="115"/>
      <c r="O24" s="280"/>
      <c r="P24" s="841"/>
      <c r="Q24" s="682"/>
      <c r="R24" s="670"/>
      <c r="S24" s="670"/>
      <c r="T24" s="343"/>
      <c r="U24" s="343"/>
      <c r="V24" s="343"/>
      <c r="W24" s="153"/>
      <c r="X24" s="153"/>
      <c r="Y24" s="153"/>
      <c r="Z24" s="115"/>
      <c r="AA24" s="115"/>
      <c r="AB24" s="115"/>
      <c r="AC24" s="115"/>
      <c r="AD24" s="280"/>
      <c r="AE24" s="682"/>
      <c r="AF24" s="670"/>
      <c r="AG24" s="413"/>
      <c r="AH24" s="413"/>
      <c r="AI24" s="413"/>
      <c r="AJ24" s="153"/>
      <c r="AK24" s="153"/>
      <c r="AL24" s="153"/>
      <c r="AM24" s="115"/>
      <c r="AN24" s="115"/>
      <c r="AO24" s="115"/>
      <c r="AP24" s="115"/>
      <c r="AQ24" s="280"/>
      <c r="AR24" s="280"/>
      <c r="AS24" s="682"/>
      <c r="AT24" s="670"/>
      <c r="AU24" s="670"/>
      <c r="AV24" s="343"/>
      <c r="AW24" s="343"/>
      <c r="AX24" s="343"/>
      <c r="AY24" s="153"/>
      <c r="AZ24" s="115"/>
      <c r="BA24" s="115"/>
      <c r="BB24" s="192"/>
      <c r="BC24" s="192"/>
      <c r="BD24" s="188"/>
      <c r="BE24" s="115"/>
      <c r="BF24" s="115"/>
    </row>
    <row r="25" spans="1:58" s="11" customFormat="1" x14ac:dyDescent="0.3">
      <c r="A25" s="285">
        <v>7</v>
      </c>
      <c r="B25" s="285" t="s">
        <v>231</v>
      </c>
      <c r="C25" s="285" t="s">
        <v>226</v>
      </c>
      <c r="D25" s="318" t="s">
        <v>906</v>
      </c>
      <c r="E25" s="285" t="s">
        <v>694</v>
      </c>
      <c r="F25" s="285" t="s">
        <v>227</v>
      </c>
      <c r="G25" s="285">
        <v>25</v>
      </c>
      <c r="H25" s="285">
        <f t="shared" si="0"/>
        <v>298.14999999999998</v>
      </c>
      <c r="I25" s="759">
        <f t="shared" si="1"/>
        <v>14</v>
      </c>
      <c r="J25" s="284">
        <v>17.899999999999999</v>
      </c>
      <c r="K25" s="285">
        <v>5</v>
      </c>
      <c r="L25" s="285">
        <v>46.5</v>
      </c>
      <c r="M25" s="285"/>
      <c r="N25" s="285" t="s">
        <v>605</v>
      </c>
      <c r="O25" s="287">
        <f>(LN(2)/L25)/(24*60*60)*10^(K25-5)</f>
        <v>1.7252767337712697E-7</v>
      </c>
      <c r="P25" s="842">
        <f>(LN(2)/L25)/(60*60*24)*10^K25</f>
        <v>1.7252767337712697E-2</v>
      </c>
      <c r="Q25" s="683">
        <f>(LN(2)/R25)/(60*60*24)</f>
        <v>46.500000000000007</v>
      </c>
      <c r="R25" s="678">
        <f>S25*10^-5</f>
        <v>1.7252767337712694E-7</v>
      </c>
      <c r="S25" s="678">
        <f>EXP(LN(P25)+$J25*(1/$H25-1/298.15)/0.0019872)</f>
        <v>1.7252767337712693E-2</v>
      </c>
      <c r="T25" s="493">
        <f>Q25</f>
        <v>46.500000000000007</v>
      </c>
      <c r="U25" s="493"/>
      <c r="V25" s="493"/>
      <c r="W25" s="494"/>
      <c r="X25" s="494"/>
      <c r="Y25" s="494"/>
      <c r="Z25" s="285">
        <v>7</v>
      </c>
      <c r="AA25" s="285">
        <v>2</v>
      </c>
      <c r="AB25" s="285"/>
      <c r="AC25" s="285" t="s">
        <v>605</v>
      </c>
      <c r="AD25" s="287">
        <f>(LN(2)/AA25)/(60*60*24)</f>
        <v>4.0112684060182019E-6</v>
      </c>
      <c r="AE25" s="683">
        <f>(LN(2)/AF25)/(60*60*24)</f>
        <v>1.9999999999999987</v>
      </c>
      <c r="AF25" s="678">
        <f>EXP(LN(AD25)+$J25*(1/$H25-1/298.15)/0.0019872)</f>
        <v>4.0112684060182044E-6</v>
      </c>
      <c r="AG25" s="498">
        <f>AE25</f>
        <v>1.9999999999999987</v>
      </c>
      <c r="AH25" s="498"/>
      <c r="AI25" s="498"/>
      <c r="AJ25" s="494"/>
      <c r="AK25" s="494"/>
      <c r="AL25" s="494"/>
      <c r="AM25" s="285">
        <v>9</v>
      </c>
      <c r="AN25" s="500">
        <f>43.8/60/24</f>
        <v>3.0416666666666665E-2</v>
      </c>
      <c r="AO25" s="285"/>
      <c r="AP25" s="285" t="s">
        <v>605</v>
      </c>
      <c r="AQ25" s="287">
        <f>(LN(2)/AN25)/(60*60*24)*10^(9-AM25)</f>
        <v>2.6375463491626534E-4</v>
      </c>
      <c r="AR25" s="287">
        <f>AQ25*10^($I25-9)</f>
        <v>26.375463491626533</v>
      </c>
      <c r="AS25" s="683">
        <f>(LN(2)/AT25)/(60*60*24)</f>
        <v>3.0416666666666668E-2</v>
      </c>
      <c r="AT25" s="678">
        <f>AU25*10^(9-14)</f>
        <v>2.6375463491626534E-4</v>
      </c>
      <c r="AU25" s="678">
        <f>EXP(LN(AR25)+$J25*(1/$H25-1/298.15)/0.0019872)</f>
        <v>26.375463491626533</v>
      </c>
      <c r="AV25" s="501">
        <f>AS25</f>
        <v>3.0416666666666668E-2</v>
      </c>
      <c r="AW25" s="493"/>
      <c r="AX25" s="493"/>
      <c r="AY25" s="494"/>
      <c r="AZ25" s="285"/>
      <c r="BA25" s="285"/>
      <c r="BB25" s="317" t="s">
        <v>228</v>
      </c>
      <c r="BC25" s="317" t="s">
        <v>229</v>
      </c>
      <c r="BD25" s="187"/>
      <c r="BE25" s="285"/>
      <c r="BF25" s="285"/>
    </row>
    <row r="26" spans="1:58" s="4" customFormat="1" x14ac:dyDescent="0.3">
      <c r="A26" s="115"/>
      <c r="B26" s="115"/>
      <c r="C26" s="115"/>
      <c r="D26" s="314"/>
      <c r="E26" s="115"/>
      <c r="F26" s="115"/>
      <c r="G26" s="115"/>
      <c r="H26" s="115"/>
      <c r="I26" s="724"/>
      <c r="J26" s="279"/>
      <c r="K26" s="115"/>
      <c r="L26" s="115"/>
      <c r="M26" s="115"/>
      <c r="N26" s="115"/>
      <c r="O26" s="280"/>
      <c r="P26" s="841"/>
      <c r="Q26" s="682"/>
      <c r="R26" s="670"/>
      <c r="S26" s="670"/>
      <c r="T26" s="343"/>
      <c r="U26" s="343"/>
      <c r="V26" s="343"/>
      <c r="W26" s="153"/>
      <c r="X26" s="153"/>
      <c r="Y26" s="153"/>
      <c r="Z26" s="115"/>
      <c r="AA26" s="115"/>
      <c r="AB26" s="115"/>
      <c r="AC26" s="115"/>
      <c r="AD26" s="280"/>
      <c r="AE26" s="682"/>
      <c r="AF26" s="670"/>
      <c r="AG26" s="413"/>
      <c r="AH26" s="413"/>
      <c r="AI26" s="413"/>
      <c r="AJ26" s="153"/>
      <c r="AK26" s="153"/>
      <c r="AL26" s="153"/>
      <c r="AM26" s="115"/>
      <c r="AN26" s="115"/>
      <c r="AO26" s="115"/>
      <c r="AP26" s="115"/>
      <c r="AQ26" s="280"/>
      <c r="AR26" s="280"/>
      <c r="AS26" s="682"/>
      <c r="AT26" s="670"/>
      <c r="AU26" s="670"/>
      <c r="AV26" s="343"/>
      <c r="AW26" s="343"/>
      <c r="AX26" s="343"/>
      <c r="AY26" s="153"/>
      <c r="AZ26" s="115"/>
      <c r="BA26" s="115"/>
      <c r="BB26" s="192"/>
      <c r="BC26" s="192"/>
      <c r="BD26" s="267"/>
      <c r="BE26" s="115"/>
      <c r="BF26" s="115"/>
    </row>
    <row r="27" spans="1:58" s="11" customFormat="1" x14ac:dyDescent="0.3">
      <c r="A27" s="285">
        <v>8</v>
      </c>
      <c r="B27" s="285" t="s">
        <v>232</v>
      </c>
      <c r="C27" s="285" t="s">
        <v>233</v>
      </c>
      <c r="D27" s="318" t="s">
        <v>904</v>
      </c>
      <c r="E27" s="285" t="s">
        <v>695</v>
      </c>
      <c r="F27" s="285" t="s">
        <v>234</v>
      </c>
      <c r="G27" s="285">
        <v>22</v>
      </c>
      <c r="H27" s="285">
        <f t="shared" si="0"/>
        <v>295.14999999999998</v>
      </c>
      <c r="I27" s="759">
        <f t="shared" si="1"/>
        <v>14.099538901686646</v>
      </c>
      <c r="J27" s="284">
        <v>17.899999999999999</v>
      </c>
      <c r="K27" s="285">
        <v>5</v>
      </c>
      <c r="L27" s="285">
        <v>70</v>
      </c>
      <c r="M27" s="285"/>
      <c r="N27" s="285" t="s">
        <v>605</v>
      </c>
      <c r="O27" s="287">
        <f>(LN(2)/L27)/(24*60*60)*10^(K27-5)</f>
        <v>1.146076687433772E-7</v>
      </c>
      <c r="P27" s="842">
        <f>(LN(2)/L27)/(60*60*24)*10^K27</f>
        <v>1.1460766874337719E-2</v>
      </c>
      <c r="Q27" s="683">
        <f>(LN(2)/R27)/(60*60*24)</f>
        <v>51.491292459710138</v>
      </c>
      <c r="R27" s="678">
        <f>S27*10^-5</f>
        <v>1.5580375688401522E-7</v>
      </c>
      <c r="S27" s="678">
        <f>EXP(LN(P27)+$J27*(1/$H27-1/298.15)/0.0019872)</f>
        <v>1.558037568840152E-2</v>
      </c>
      <c r="T27" s="493">
        <f>AVERAGE(Q27:Q28)</f>
        <v>45.245646229855062</v>
      </c>
      <c r="U27" s="493">
        <f>MEDIAN(Q27:Q28)</f>
        <v>45.245646229855062</v>
      </c>
      <c r="V27" s="493">
        <f>STDEV(Q27:Q28)</f>
        <v>8.8326776040454291</v>
      </c>
      <c r="W27" s="494"/>
      <c r="X27" s="494"/>
      <c r="Y27" s="494"/>
      <c r="Z27" s="285">
        <v>7</v>
      </c>
      <c r="AA27" s="285">
        <f>19.6/24</f>
        <v>0.81666666666666676</v>
      </c>
      <c r="AB27" s="285"/>
      <c r="AC27" s="285" t="s">
        <v>605</v>
      </c>
      <c r="AD27" s="287">
        <f>(LN(2)/AA27)/(60*60*24)</f>
        <v>9.8235144637180431E-6</v>
      </c>
      <c r="AE27" s="683">
        <f>(LN(2)/AF27)/(60*60*24)</f>
        <v>0.60073174536328577</v>
      </c>
      <c r="AF27" s="678">
        <f>EXP(LN(AD27)+$J27*(1/$H27-1/298.15)/0.0019872)</f>
        <v>1.3354607732915571E-5</v>
      </c>
      <c r="AG27" s="493">
        <f>AVERAGE(AE27:AE28)</f>
        <v>0.55036587268164316</v>
      </c>
      <c r="AH27" s="493">
        <f>MEDIAN(AE27:AE28)</f>
        <v>0.55036587268164316</v>
      </c>
      <c r="AI27" s="501">
        <f>STDEV(AE27:AE28)</f>
        <v>7.1228100227135618E-2</v>
      </c>
      <c r="AJ27" s="494"/>
      <c r="AK27" s="494"/>
      <c r="AL27" s="494"/>
      <c r="AM27" s="285">
        <v>9</v>
      </c>
      <c r="AN27" s="502">
        <f>0.17/24</f>
        <v>7.0833333333333338E-3</v>
      </c>
      <c r="AO27" s="285"/>
      <c r="AP27" s="285" t="s">
        <v>605</v>
      </c>
      <c r="AQ27" s="287">
        <f>(LN(2)/AN27)/(60*60*24)*10^(9-AM27)</f>
        <v>1.1325934322874921E-3</v>
      </c>
      <c r="AR27" s="287">
        <f>AQ27*10^($I27-9)</f>
        <v>142.43376050450786</v>
      </c>
      <c r="AS27" s="683">
        <f>(LN(2)/AT27)/(60*60*24)</f>
        <v>4.1431869582661514E-3</v>
      </c>
      <c r="AT27" s="678">
        <f>AU27*10^(9-14)</f>
        <v>1.9363202512574257E-3</v>
      </c>
      <c r="AU27" s="678">
        <f>EXP(LN(AR27)+$J27*(1/$H27-1/298.15)/0.0019872)</f>
        <v>193.63202512574256</v>
      </c>
      <c r="AV27" s="508">
        <f>AVERAGE(AS27:AS28)</f>
        <v>4.5021490346886309E-3</v>
      </c>
      <c r="AW27" s="508">
        <f>MEDIAN(AS27:AS28)</f>
        <v>4.5021490346886309E-3</v>
      </c>
      <c r="AX27" s="509">
        <f>STDEV(AS27:AS28)</f>
        <v>5.0764903685427722E-4</v>
      </c>
      <c r="AY27" s="494"/>
      <c r="AZ27" s="285"/>
      <c r="BA27" s="285"/>
      <c r="BB27" s="317" t="s">
        <v>235</v>
      </c>
      <c r="BC27" s="317" t="s">
        <v>236</v>
      </c>
      <c r="BD27" s="188"/>
      <c r="BE27" s="285"/>
      <c r="BF27" s="285"/>
    </row>
    <row r="28" spans="1:58" s="4" customFormat="1" x14ac:dyDescent="0.3">
      <c r="A28" s="115"/>
      <c r="B28" s="115"/>
      <c r="C28" s="115"/>
      <c r="D28" s="314"/>
      <c r="E28" s="115"/>
      <c r="F28" s="115"/>
      <c r="G28" s="115">
        <v>25</v>
      </c>
      <c r="H28" s="115">
        <f t="shared" si="0"/>
        <v>298.14999999999998</v>
      </c>
      <c r="I28" s="724">
        <f t="shared" si="1"/>
        <v>14</v>
      </c>
      <c r="J28" s="279">
        <v>17.899999999999999</v>
      </c>
      <c r="K28" s="115">
        <v>5</v>
      </c>
      <c r="L28" s="115">
        <v>39</v>
      </c>
      <c r="M28" s="115"/>
      <c r="N28" s="115" t="s">
        <v>605</v>
      </c>
      <c r="O28" s="280">
        <f>(LN(2)/L28)/(24*60*60)*10^(K28-5)</f>
        <v>2.0570607210349755E-7</v>
      </c>
      <c r="P28" s="841">
        <f>(LN(2)/L28)/(60*60*24)*10^K28</f>
        <v>2.0570607210349756E-2</v>
      </c>
      <c r="Q28" s="682">
        <f>(LN(2)/R28)/(60*60*24)</f>
        <v>38.999999999999986</v>
      </c>
      <c r="R28" s="670">
        <f>S28*10^-5</f>
        <v>2.057060721034976E-7</v>
      </c>
      <c r="S28" s="670">
        <f>EXP(LN(P28)+$J28*(1/$H28-1/298.15)/0.0019872)</f>
        <v>2.057060721034976E-2</v>
      </c>
      <c r="T28" s="343"/>
      <c r="U28" s="343"/>
      <c r="V28" s="343"/>
      <c r="W28" s="153"/>
      <c r="X28" s="153"/>
      <c r="Y28" s="153"/>
      <c r="Z28" s="115">
        <v>7</v>
      </c>
      <c r="AA28" s="115">
        <v>0.5</v>
      </c>
      <c r="AB28" s="115"/>
      <c r="AC28" s="115" t="s">
        <v>605</v>
      </c>
      <c r="AD28" s="280">
        <f>(LN(2)/AA28)/(60*60*24)</f>
        <v>1.6045073624072808E-5</v>
      </c>
      <c r="AE28" s="682">
        <f>(LN(2)/AF28)/(60*60*24)</f>
        <v>0.50000000000000044</v>
      </c>
      <c r="AF28" s="670">
        <f>EXP(LN(AD28)+$J28*(1/$H28-1/298.15)/0.0019872)</f>
        <v>1.6045073624072794E-5</v>
      </c>
      <c r="AG28" s="413"/>
      <c r="AH28" s="413"/>
      <c r="AI28" s="413"/>
      <c r="AJ28" s="153"/>
      <c r="AK28" s="153"/>
      <c r="AL28" s="153"/>
      <c r="AM28" s="115">
        <v>9</v>
      </c>
      <c r="AN28" s="503">
        <f>7/60/24</f>
        <v>4.8611111111111112E-3</v>
      </c>
      <c r="AO28" s="115"/>
      <c r="AP28" s="115" t="s">
        <v>605</v>
      </c>
      <c r="AQ28" s="280">
        <f>(LN(2)/AN28)/(60*60*24)*10^(9-AM28)</f>
        <v>1.6503504299046317E-3</v>
      </c>
      <c r="AR28" s="280">
        <f>AQ28*10^($I28-9)</f>
        <v>165.03504299046318</v>
      </c>
      <c r="AS28" s="682">
        <f>(LN(2)/AT28)/(60*60*24)</f>
        <v>4.8611111111111095E-3</v>
      </c>
      <c r="AT28" s="670">
        <f>AU28*10^(9-14)</f>
        <v>1.6503504299046322E-3</v>
      </c>
      <c r="AU28" s="670">
        <f>EXP(LN(AR28)+$J28*(1/$H28-1/298.15)/0.0019872)</f>
        <v>165.03504299046321</v>
      </c>
      <c r="AV28" s="343"/>
      <c r="AW28" s="343"/>
      <c r="AX28" s="343"/>
      <c r="AY28" s="153"/>
      <c r="AZ28" s="115"/>
      <c r="BA28" s="115"/>
      <c r="BB28" s="192" t="s">
        <v>238</v>
      </c>
      <c r="BC28" s="192" t="s">
        <v>237</v>
      </c>
      <c r="BD28" s="188"/>
      <c r="BE28" s="115"/>
      <c r="BF28" s="115"/>
    </row>
    <row r="29" spans="1:58" s="4" customFormat="1" x14ac:dyDescent="0.3">
      <c r="A29" s="115"/>
      <c r="B29" s="115"/>
      <c r="C29" s="115"/>
      <c r="D29" s="314"/>
      <c r="E29" s="115"/>
      <c r="F29" s="115"/>
      <c r="G29" s="115"/>
      <c r="H29" s="115"/>
      <c r="I29" s="724"/>
      <c r="J29" s="279"/>
      <c r="K29" s="115"/>
      <c r="L29" s="115"/>
      <c r="M29" s="115"/>
      <c r="N29" s="115"/>
      <c r="O29" s="280"/>
      <c r="P29" s="841"/>
      <c r="Q29" s="669"/>
      <c r="R29" s="670"/>
      <c r="S29" s="670"/>
      <c r="T29" s="343"/>
      <c r="U29" s="343"/>
      <c r="V29" s="343"/>
      <c r="W29" s="153"/>
      <c r="X29" s="153"/>
      <c r="Y29" s="153"/>
      <c r="Z29" s="115"/>
      <c r="AA29" s="115"/>
      <c r="AB29" s="115"/>
      <c r="AC29" s="115"/>
      <c r="AD29" s="280"/>
      <c r="AE29" s="682"/>
      <c r="AF29" s="670"/>
      <c r="AG29" s="413"/>
      <c r="AH29" s="413"/>
      <c r="AI29" s="413"/>
      <c r="AJ29" s="153"/>
      <c r="AK29" s="153"/>
      <c r="AL29" s="153"/>
      <c r="AM29" s="115"/>
      <c r="AN29" s="115"/>
      <c r="AO29" s="115"/>
      <c r="AP29" s="115"/>
      <c r="AQ29" s="280"/>
      <c r="AR29" s="280"/>
      <c r="AS29" s="682"/>
      <c r="AT29" s="670"/>
      <c r="AU29" s="670"/>
      <c r="AV29" s="343"/>
      <c r="AW29" s="343"/>
      <c r="AX29" s="343"/>
      <c r="AY29" s="153"/>
      <c r="AZ29" s="115"/>
      <c r="BA29" s="115"/>
      <c r="BB29" s="192"/>
      <c r="BC29" s="192"/>
      <c r="BD29" s="267"/>
      <c r="BE29" s="115"/>
      <c r="BF29" s="115"/>
    </row>
    <row r="30" spans="1:58" s="11" customFormat="1" x14ac:dyDescent="0.3">
      <c r="A30" s="486">
        <v>9</v>
      </c>
      <c r="B30" s="285" t="s">
        <v>609</v>
      </c>
      <c r="C30" s="285" t="s">
        <v>616</v>
      </c>
      <c r="D30" s="318" t="s">
        <v>904</v>
      </c>
      <c r="E30" s="285" t="s">
        <v>239</v>
      </c>
      <c r="F30" s="285"/>
      <c r="G30" s="285">
        <v>25</v>
      </c>
      <c r="H30" s="285">
        <f t="shared" si="0"/>
        <v>298.14999999999998</v>
      </c>
      <c r="I30" s="759">
        <f t="shared" si="1"/>
        <v>14</v>
      </c>
      <c r="J30" s="821">
        <v>17.899999999999999</v>
      </c>
      <c r="K30" s="285">
        <v>5</v>
      </c>
      <c r="L30" s="285" t="s">
        <v>116</v>
      </c>
      <c r="M30" s="285"/>
      <c r="N30" s="285"/>
      <c r="O30" s="287" t="s">
        <v>445</v>
      </c>
      <c r="P30" s="842"/>
      <c r="Q30" s="677"/>
      <c r="R30" s="678"/>
      <c r="S30" s="678"/>
      <c r="T30" s="493">
        <f>AVERAGE(Q32:Q34)</f>
        <v>11.935045801851981</v>
      </c>
      <c r="U30" s="493">
        <f>MEDIAN(Q32:Q34)</f>
        <v>11.935045801851981</v>
      </c>
      <c r="V30" s="493">
        <f>STDEV(Q32:Q34)</f>
        <v>0.54106791604736115</v>
      </c>
      <c r="W30" s="494"/>
      <c r="X30" s="494"/>
      <c r="Y30" s="494"/>
      <c r="Z30" s="285">
        <v>7</v>
      </c>
      <c r="AA30" s="285">
        <v>12</v>
      </c>
      <c r="AB30" s="285">
        <v>5.8000000000000003E-2</v>
      </c>
      <c r="AC30" s="285" t="s">
        <v>599</v>
      </c>
      <c r="AD30" s="287">
        <f>(AB30/24/60/60)</f>
        <v>6.712962962962963E-7</v>
      </c>
      <c r="AE30" s="683">
        <f>(LN(2)/AF30)/(60*60*24)</f>
        <v>11.95081345793009</v>
      </c>
      <c r="AF30" s="678">
        <f>EXP(LN(AD30)+$J30*(1/$H30-1/298.15)/0.0019872)</f>
        <v>6.712962962962963E-7</v>
      </c>
      <c r="AG30" s="493">
        <f>AVERAGE(AE30:AE35)</f>
        <v>9.1113565712942304</v>
      </c>
      <c r="AH30" s="493">
        <f>MEDIAN(AE30:AE370)</f>
        <v>12</v>
      </c>
      <c r="AI30" s="493">
        <f>STDEV(AE30:AE35)</f>
        <v>4.0155984388541208</v>
      </c>
      <c r="AJ30" s="494"/>
      <c r="AK30" s="494"/>
      <c r="AL30" s="494"/>
      <c r="AM30" s="285">
        <v>9</v>
      </c>
      <c r="AN30" s="285">
        <v>0.15</v>
      </c>
      <c r="AO30" s="285">
        <f>(0.236+0.184)/2</f>
        <v>0.21</v>
      </c>
      <c r="AP30" s="285" t="s">
        <v>610</v>
      </c>
      <c r="AQ30" s="287">
        <f>(AO30/60/60)*10^(9-AM30)</f>
        <v>5.8333333333333333E-5</v>
      </c>
      <c r="AR30" s="287">
        <f t="shared" si="2"/>
        <v>5.833333333333333</v>
      </c>
      <c r="AS30" s="683">
        <f t="shared" si="3"/>
        <v>0.13752920249205264</v>
      </c>
      <c r="AT30" s="678">
        <f t="shared" si="4"/>
        <v>5.8333333333333333E-5</v>
      </c>
      <c r="AU30" s="678">
        <f t="shared" si="5"/>
        <v>5.833333333333333</v>
      </c>
      <c r="AV30" s="501">
        <f>AVERAGE(AS30:AS38)</f>
        <v>9.1418775787709017E-2</v>
      </c>
      <c r="AW30" s="501">
        <f>MEDIAN(AS30:AS37)</f>
        <v>9.1104740837031323E-2</v>
      </c>
      <c r="AX30" s="501">
        <f>STDEV(AS30:AS37)</f>
        <v>5.0296461289876158E-2</v>
      </c>
      <c r="AY30" s="494"/>
      <c r="AZ30" s="285"/>
      <c r="BA30" s="285"/>
      <c r="BB30" s="317" t="s">
        <v>612</v>
      </c>
      <c r="BC30" s="317" t="s">
        <v>613</v>
      </c>
      <c r="BD30" s="188"/>
      <c r="BE30" s="285"/>
      <c r="BF30" s="285"/>
    </row>
    <row r="31" spans="1:58" s="4" customFormat="1" x14ac:dyDescent="0.3">
      <c r="A31" s="115"/>
      <c r="B31" s="115"/>
      <c r="C31" s="115"/>
      <c r="D31" s="314"/>
      <c r="E31" s="115"/>
      <c r="F31" s="115"/>
      <c r="G31" s="115">
        <v>25</v>
      </c>
      <c r="H31" s="115">
        <f t="shared" si="0"/>
        <v>298.14999999999998</v>
      </c>
      <c r="I31" s="724">
        <f t="shared" si="1"/>
        <v>14</v>
      </c>
      <c r="J31" s="820">
        <v>17.899999999999999</v>
      </c>
      <c r="K31" s="115">
        <v>3</v>
      </c>
      <c r="L31" s="115" t="s">
        <v>116</v>
      </c>
      <c r="M31" s="115"/>
      <c r="N31" s="115"/>
      <c r="O31" s="280" t="s">
        <v>445</v>
      </c>
      <c r="P31" s="841"/>
      <c r="Q31" s="669"/>
      <c r="R31" s="670"/>
      <c r="S31" s="670"/>
      <c r="T31" s="343"/>
      <c r="U31" s="343"/>
      <c r="V31" s="343"/>
      <c r="W31" s="153"/>
      <c r="X31" s="153"/>
      <c r="Y31" s="153"/>
      <c r="Z31" s="115"/>
      <c r="AA31" s="115"/>
      <c r="AB31" s="115"/>
      <c r="AC31" s="115"/>
      <c r="AD31" s="280"/>
      <c r="AE31" s="682"/>
      <c r="AF31" s="670"/>
      <c r="AG31" s="413"/>
      <c r="AH31" s="413"/>
      <c r="AI31" s="413"/>
      <c r="AJ31" s="153"/>
      <c r="AK31" s="153"/>
      <c r="AL31" s="153"/>
      <c r="AM31" s="115">
        <v>9</v>
      </c>
      <c r="AN31" s="115">
        <v>0.15</v>
      </c>
      <c r="AO31" s="115">
        <v>3.3400000000000001E-3</v>
      </c>
      <c r="AP31" s="115" t="s">
        <v>611</v>
      </c>
      <c r="AQ31" s="280">
        <f>(AO31/60)*10^(9-AM31)</f>
        <v>5.5666666666666667E-5</v>
      </c>
      <c r="AR31" s="280">
        <f t="shared" si="2"/>
        <v>5.5666666666666664</v>
      </c>
      <c r="AS31" s="682">
        <f t="shared" si="3"/>
        <v>0.14411742776113301</v>
      </c>
      <c r="AT31" s="670">
        <f t="shared" si="4"/>
        <v>5.5666666666666667E-5</v>
      </c>
      <c r="AU31" s="670">
        <f t="shared" si="5"/>
        <v>5.5666666666666664</v>
      </c>
      <c r="AV31" s="343"/>
      <c r="AW31" s="343"/>
      <c r="AX31" s="343"/>
      <c r="AY31" s="153"/>
      <c r="AZ31" s="115"/>
      <c r="BA31" s="115"/>
      <c r="BB31" s="192"/>
      <c r="BC31" s="192"/>
      <c r="BD31" s="188"/>
      <c r="BE31" s="115"/>
      <c r="BF31" s="115"/>
    </row>
    <row r="32" spans="1:58" s="4" customFormat="1" x14ac:dyDescent="0.3">
      <c r="A32" s="115"/>
      <c r="B32" s="115"/>
      <c r="C32" s="115"/>
      <c r="D32" s="314"/>
      <c r="E32" s="115"/>
      <c r="F32" s="115"/>
      <c r="G32" s="115">
        <v>25</v>
      </c>
      <c r="H32" s="115">
        <f t="shared" si="0"/>
        <v>298.14999999999998</v>
      </c>
      <c r="I32" s="724">
        <f t="shared" si="1"/>
        <v>14</v>
      </c>
      <c r="J32" s="820">
        <v>17.899999999999999</v>
      </c>
      <c r="K32" s="115">
        <v>6</v>
      </c>
      <c r="L32" s="115"/>
      <c r="M32" s="115">
        <v>6.0000000000000001E-3</v>
      </c>
      <c r="N32" s="115" t="s">
        <v>599</v>
      </c>
      <c r="O32" s="280">
        <f>(M32/24/60/60)*10^(K32-5)</f>
        <v>6.9444444444444448E-7</v>
      </c>
      <c r="P32" s="841">
        <f>(M32/24/60/60)*10^K32</f>
        <v>6.9444444444444448E-2</v>
      </c>
      <c r="Q32" s="669">
        <f>(LN(2)/R32)/(60*60*24)</f>
        <v>11.552453009332419</v>
      </c>
      <c r="R32" s="670">
        <f>S32*10^-5</f>
        <v>6.9444444444444458E-7</v>
      </c>
      <c r="S32" s="670">
        <f>EXP(LN(P32)+$J32*(1/$H32-1/298.15)/0.0019872)</f>
        <v>6.9444444444444448E-2</v>
      </c>
      <c r="T32" s="343"/>
      <c r="U32" s="343"/>
      <c r="V32" s="343"/>
      <c r="W32" s="153"/>
      <c r="X32" s="153"/>
      <c r="Y32" s="153"/>
      <c r="Z32" s="115"/>
      <c r="AA32" s="115"/>
      <c r="AB32" s="115"/>
      <c r="AC32" s="115"/>
      <c r="AD32" s="280"/>
      <c r="AE32" s="682"/>
      <c r="AF32" s="670"/>
      <c r="AG32" s="413"/>
      <c r="AH32" s="413"/>
      <c r="AI32" s="413"/>
      <c r="AJ32" s="153"/>
      <c r="AK32" s="153"/>
      <c r="AL32" s="153"/>
      <c r="AM32" s="115"/>
      <c r="AN32" s="115"/>
      <c r="AO32" s="115"/>
      <c r="AP32" s="115"/>
      <c r="AQ32" s="280"/>
      <c r="AR32" s="280"/>
      <c r="AS32" s="682"/>
      <c r="AT32" s="670"/>
      <c r="AU32" s="670"/>
      <c r="AV32" s="343"/>
      <c r="AW32" s="343"/>
      <c r="AX32" s="343"/>
      <c r="AY32" s="153"/>
      <c r="AZ32" s="115"/>
      <c r="BA32" s="115"/>
      <c r="BB32" s="192"/>
      <c r="BC32" s="192"/>
      <c r="BD32" s="188"/>
      <c r="BE32" s="115"/>
      <c r="BF32" s="115"/>
    </row>
    <row r="33" spans="1:58" s="4" customFormat="1" x14ac:dyDescent="0.3">
      <c r="A33" s="115"/>
      <c r="B33" s="115"/>
      <c r="C33" s="115"/>
      <c r="D33" s="314"/>
      <c r="E33" s="115"/>
      <c r="F33" s="115"/>
      <c r="G33" s="115">
        <v>35</v>
      </c>
      <c r="H33" s="115">
        <f t="shared" si="0"/>
        <v>308.14999999999998</v>
      </c>
      <c r="I33" s="724">
        <f t="shared" si="1"/>
        <v>13.682201234974167</v>
      </c>
      <c r="J33" s="820">
        <v>17.899999999999999</v>
      </c>
      <c r="K33" s="115">
        <v>3</v>
      </c>
      <c r="L33" s="115" t="s">
        <v>116</v>
      </c>
      <c r="M33" s="115"/>
      <c r="N33" s="115"/>
      <c r="O33" s="280"/>
      <c r="P33" s="841"/>
      <c r="Q33" s="669"/>
      <c r="R33" s="670"/>
      <c r="S33" s="670"/>
      <c r="T33" s="343"/>
      <c r="U33" s="343"/>
      <c r="V33" s="343"/>
      <c r="W33" s="153"/>
      <c r="X33" s="153"/>
      <c r="Y33" s="153"/>
      <c r="Z33" s="115"/>
      <c r="AA33" s="115"/>
      <c r="AB33" s="115"/>
      <c r="AC33" s="115"/>
      <c r="AD33" s="280"/>
      <c r="AE33" s="682"/>
      <c r="AF33" s="670"/>
      <c r="AG33" s="413"/>
      <c r="AH33" s="413"/>
      <c r="AI33" s="413"/>
      <c r="AJ33" s="153"/>
      <c r="AK33" s="153"/>
      <c r="AL33" s="153"/>
      <c r="AM33" s="115">
        <v>9</v>
      </c>
      <c r="AN33" s="115"/>
      <c r="AO33" s="115">
        <v>2.0619999999999999E-2</v>
      </c>
      <c r="AP33" s="115" t="s">
        <v>611</v>
      </c>
      <c r="AQ33" s="280">
        <f>(AO33/60)*10^(9-AM33)</f>
        <v>3.4366666666666665E-4</v>
      </c>
      <c r="AR33" s="280">
        <f t="shared" si="2"/>
        <v>16.532504345861224</v>
      </c>
      <c r="AS33" s="682">
        <f t="shared" si="3"/>
        <v>0.12934996887929437</v>
      </c>
      <c r="AT33" s="670">
        <f t="shared" si="4"/>
        <v>6.2021946209533314E-5</v>
      </c>
      <c r="AU33" s="670">
        <f t="shared" si="5"/>
        <v>6.202194620953331</v>
      </c>
      <c r="AV33" s="343"/>
      <c r="AW33" s="343"/>
      <c r="AX33" s="343"/>
      <c r="AY33" s="153"/>
      <c r="AZ33" s="115"/>
      <c r="BA33" s="115"/>
      <c r="BB33" s="192"/>
      <c r="BC33" s="192"/>
      <c r="BD33" s="188"/>
      <c r="BE33" s="115"/>
      <c r="BF33" s="115"/>
    </row>
    <row r="34" spans="1:58" s="4" customFormat="1" x14ac:dyDescent="0.3">
      <c r="A34" s="115"/>
      <c r="B34" s="115"/>
      <c r="C34" s="115"/>
      <c r="D34" s="314"/>
      <c r="E34" s="115"/>
      <c r="F34" s="115"/>
      <c r="G34" s="115">
        <v>35</v>
      </c>
      <c r="H34" s="115">
        <f t="shared" si="0"/>
        <v>308.14999999999998</v>
      </c>
      <c r="I34" s="724">
        <f t="shared" si="1"/>
        <v>13.682201234974167</v>
      </c>
      <c r="J34" s="820">
        <v>17.899999999999999</v>
      </c>
      <c r="K34" s="115">
        <v>6</v>
      </c>
      <c r="L34" s="115"/>
      <c r="M34" s="115">
        <v>1.4999999999999999E-2</v>
      </c>
      <c r="N34" s="115" t="s">
        <v>599</v>
      </c>
      <c r="O34" s="280">
        <f>(M34/24/60/60)*10^(K34-5)</f>
        <v>1.736111111111111E-6</v>
      </c>
      <c r="P34" s="841">
        <f>(M34/24/60/60)*10^K34</f>
        <v>0.1736111111111111</v>
      </c>
      <c r="Q34" s="669">
        <f>(LN(2)/R34)/(60*60*24)</f>
        <v>12.317638594371545</v>
      </c>
      <c r="R34" s="670">
        <f>S34*10^-5</f>
        <v>6.5130477327872272E-7</v>
      </c>
      <c r="S34" s="670">
        <f>EXP(LN(P34)+$J34*(1/$H34-1/298.15)/0.0019872)</f>
        <v>6.5130477327872263E-2</v>
      </c>
      <c r="T34" s="343"/>
      <c r="U34" s="343"/>
      <c r="V34" s="343"/>
      <c r="W34" s="153"/>
      <c r="X34" s="153"/>
      <c r="Y34" s="153"/>
      <c r="Z34" s="115"/>
      <c r="AA34" s="115"/>
      <c r="AB34" s="115"/>
      <c r="AC34" s="115"/>
      <c r="AD34" s="280"/>
      <c r="AE34" s="682"/>
      <c r="AF34" s="670"/>
      <c r="AG34" s="413"/>
      <c r="AH34" s="413"/>
      <c r="AI34" s="413"/>
      <c r="AJ34" s="153"/>
      <c r="AK34" s="153"/>
      <c r="AL34" s="153"/>
      <c r="AM34" s="115"/>
      <c r="AN34" s="115"/>
      <c r="AO34" s="115"/>
      <c r="AP34" s="115"/>
      <c r="AQ34" s="280"/>
      <c r="AR34" s="280"/>
      <c r="AS34" s="682"/>
      <c r="AT34" s="670"/>
      <c r="AU34" s="670"/>
      <c r="AV34" s="343"/>
      <c r="AW34" s="343"/>
      <c r="AX34" s="343"/>
      <c r="AY34" s="153"/>
      <c r="AZ34" s="115"/>
      <c r="BA34" s="115"/>
      <c r="BB34" s="192"/>
      <c r="BC34" s="192"/>
      <c r="BD34" s="188"/>
      <c r="BE34" s="115"/>
      <c r="BF34" s="115"/>
    </row>
    <row r="35" spans="1:58" s="4" customFormat="1" x14ac:dyDescent="0.3">
      <c r="A35" s="115"/>
      <c r="B35" s="115"/>
      <c r="C35" s="115"/>
      <c r="D35" s="314"/>
      <c r="E35" s="115" t="s">
        <v>615</v>
      </c>
      <c r="F35" s="115"/>
      <c r="G35" s="115">
        <v>20</v>
      </c>
      <c r="H35" s="115">
        <f t="shared" si="0"/>
        <v>293.14999999999998</v>
      </c>
      <c r="I35" s="724">
        <f t="shared" si="1"/>
        <v>14.167030000755094</v>
      </c>
      <c r="J35" s="820">
        <v>17.899999999999999</v>
      </c>
      <c r="K35" s="115"/>
      <c r="L35" s="115"/>
      <c r="M35" s="115"/>
      <c r="N35" s="115"/>
      <c r="O35" s="280"/>
      <c r="P35" s="841"/>
      <c r="Q35" s="669"/>
      <c r="R35" s="670"/>
      <c r="S35" s="670"/>
      <c r="T35" s="343"/>
      <c r="U35" s="343"/>
      <c r="V35" s="343"/>
      <c r="W35" s="153"/>
      <c r="X35" s="153"/>
      <c r="Y35" s="153"/>
      <c r="Z35" s="115">
        <v>7</v>
      </c>
      <c r="AA35" s="115">
        <v>10.5</v>
      </c>
      <c r="AB35" s="115"/>
      <c r="AC35" s="115" t="s">
        <v>605</v>
      </c>
      <c r="AD35" s="280">
        <f>(LN(2)/AA35)/(60*60*24)</f>
        <v>7.6405112495584806E-7</v>
      </c>
      <c r="AE35" s="682">
        <f>(LN(2)/AF35)/(60*60*24)</f>
        <v>6.2718996846583712</v>
      </c>
      <c r="AF35" s="670">
        <f>EXP(LN(AD35)+$J35*(1/$H35-1/298.15)/0.0019872)</f>
        <v>1.2791239043029096E-6</v>
      </c>
      <c r="AG35" s="413"/>
      <c r="AH35" s="413"/>
      <c r="AI35" s="413"/>
      <c r="AJ35" s="153"/>
      <c r="AK35" s="153"/>
      <c r="AL35" s="153"/>
      <c r="AM35" s="115">
        <v>8</v>
      </c>
      <c r="AN35" s="115">
        <v>1.3</v>
      </c>
      <c r="AO35" s="115"/>
      <c r="AP35" s="115" t="s">
        <v>605</v>
      </c>
      <c r="AQ35" s="280">
        <f>(LN(2)/AN35)/(60*60*24)*10^(9-AM35)</f>
        <v>6.1711821631049268E-5</v>
      </c>
      <c r="AR35" s="280">
        <f t="shared" si="2"/>
        <v>9.0656378697227424</v>
      </c>
      <c r="AS35" s="682">
        <f t="shared" si="3"/>
        <v>5.2859512794768297E-2</v>
      </c>
      <c r="AT35" s="670">
        <f t="shared" si="4"/>
        <v>1.5177091857022232E-4</v>
      </c>
      <c r="AU35" s="670">
        <f t="shared" si="5"/>
        <v>15.17709185702223</v>
      </c>
      <c r="AV35" s="343"/>
      <c r="AW35" s="343"/>
      <c r="AX35" s="343"/>
      <c r="AY35" s="153"/>
      <c r="AZ35" s="115"/>
      <c r="BA35" s="115"/>
      <c r="BB35" s="192"/>
      <c r="BC35" s="192"/>
      <c r="BD35" s="188"/>
      <c r="BE35" s="115"/>
      <c r="BF35" s="115"/>
    </row>
    <row r="36" spans="1:58" s="4" customFormat="1" x14ac:dyDescent="0.3">
      <c r="A36" s="115"/>
      <c r="B36" s="115"/>
      <c r="C36" s="115"/>
      <c r="D36" s="314"/>
      <c r="E36" s="115" t="s">
        <v>696</v>
      </c>
      <c r="F36" s="115"/>
      <c r="G36" s="115">
        <v>20</v>
      </c>
      <c r="H36" s="115">
        <f t="shared" si="0"/>
        <v>293.14999999999998</v>
      </c>
      <c r="I36" s="724">
        <f t="shared" si="1"/>
        <v>14.167030000755094</v>
      </c>
      <c r="J36" s="820">
        <v>17.899999999999999</v>
      </c>
      <c r="K36" s="115"/>
      <c r="L36" s="115"/>
      <c r="M36" s="115"/>
      <c r="N36" s="115"/>
      <c r="O36" s="280"/>
      <c r="P36" s="841"/>
      <c r="Q36" s="669"/>
      <c r="R36" s="670"/>
      <c r="S36" s="670"/>
      <c r="T36" s="343"/>
      <c r="U36" s="343"/>
      <c r="V36" s="343"/>
      <c r="W36" s="153"/>
      <c r="X36" s="153"/>
      <c r="Y36" s="153"/>
      <c r="Z36" s="115"/>
      <c r="AA36" s="115"/>
      <c r="AB36" s="115"/>
      <c r="AC36" s="115"/>
      <c r="AD36" s="280"/>
      <c r="AE36" s="682"/>
      <c r="AF36" s="670"/>
      <c r="AG36" s="413"/>
      <c r="AH36" s="413"/>
      <c r="AI36" s="413"/>
      <c r="AJ36" s="153"/>
      <c r="AK36" s="153"/>
      <c r="AL36" s="153"/>
      <c r="AM36" s="115">
        <v>9</v>
      </c>
      <c r="AN36" s="115">
        <v>0.1042</v>
      </c>
      <c r="AO36" s="115"/>
      <c r="AP36" s="115" t="s">
        <v>605</v>
      </c>
      <c r="AQ36" s="280">
        <f t="shared" ref="AQ36:AQ42" si="7">(LN(2)/AN36)/(60*60*24)*10^(9-AM36)</f>
        <v>7.6991716046414621E-5</v>
      </c>
      <c r="AR36" s="280">
        <f t="shared" si="2"/>
        <v>11.310296766448717</v>
      </c>
      <c r="AS36" s="682">
        <f t="shared" si="3"/>
        <v>4.23689325631912E-2</v>
      </c>
      <c r="AT36" s="670">
        <f t="shared" si="4"/>
        <v>1.8934951453098754E-4</v>
      </c>
      <c r="AU36" s="670">
        <f t="shared" si="5"/>
        <v>18.934951453098751</v>
      </c>
      <c r="AV36" s="343"/>
      <c r="AW36" s="343"/>
      <c r="AX36" s="343"/>
      <c r="AY36" s="153"/>
      <c r="AZ36" s="115"/>
      <c r="BA36" s="115"/>
      <c r="BB36" s="192"/>
      <c r="BC36" s="192"/>
      <c r="BD36" s="188"/>
      <c r="BE36" s="115"/>
      <c r="BF36" s="115"/>
    </row>
    <row r="37" spans="1:58" s="4" customFormat="1" x14ac:dyDescent="0.3">
      <c r="A37" s="115"/>
      <c r="B37" s="115"/>
      <c r="C37" s="115"/>
      <c r="D37" s="314"/>
      <c r="E37" s="115"/>
      <c r="F37" s="115"/>
      <c r="G37" s="115">
        <v>20</v>
      </c>
      <c r="H37" s="115">
        <f t="shared" si="0"/>
        <v>293.14999999999998</v>
      </c>
      <c r="I37" s="724">
        <f t="shared" si="1"/>
        <v>14.167030000755094</v>
      </c>
      <c r="J37" s="820">
        <v>17.899999999999999</v>
      </c>
      <c r="K37" s="115"/>
      <c r="L37" s="115"/>
      <c r="M37" s="115"/>
      <c r="N37" s="115"/>
      <c r="O37" s="280"/>
      <c r="P37" s="841"/>
      <c r="Q37" s="669"/>
      <c r="R37" s="670"/>
      <c r="S37" s="670"/>
      <c r="T37" s="343"/>
      <c r="U37" s="343"/>
      <c r="V37" s="343"/>
      <c r="W37" s="153"/>
      <c r="X37" s="153"/>
      <c r="Y37" s="153"/>
      <c r="Z37" s="115"/>
      <c r="AA37" s="115"/>
      <c r="AB37" s="115"/>
      <c r="AC37" s="115"/>
      <c r="AD37" s="280"/>
      <c r="AE37" s="682"/>
      <c r="AF37" s="670"/>
      <c r="AG37" s="413"/>
      <c r="AH37" s="413"/>
      <c r="AI37" s="413"/>
      <c r="AJ37" s="153"/>
      <c r="AK37" s="153"/>
      <c r="AL37" s="153"/>
      <c r="AM37" s="115">
        <v>10</v>
      </c>
      <c r="AN37" s="115">
        <v>1.04E-2</v>
      </c>
      <c r="AO37" s="115"/>
      <c r="AP37" s="115" t="s">
        <v>605</v>
      </c>
      <c r="AQ37" s="280">
        <f t="shared" si="7"/>
        <v>7.7139777038811585E-5</v>
      </c>
      <c r="AR37" s="280">
        <f t="shared" si="2"/>
        <v>11.332047337153428</v>
      </c>
      <c r="AS37" s="682">
        <f t="shared" si="3"/>
        <v>4.2287610235814621E-2</v>
      </c>
      <c r="AT37" s="670">
        <f t="shared" si="4"/>
        <v>1.8971364821277796E-4</v>
      </c>
      <c r="AU37" s="670">
        <f t="shared" si="5"/>
        <v>18.971364821277795</v>
      </c>
      <c r="AV37" s="343"/>
      <c r="AW37" s="343"/>
      <c r="AX37" s="343"/>
      <c r="AY37" s="153"/>
      <c r="AZ37" s="115"/>
      <c r="BA37" s="115"/>
      <c r="BB37" s="192"/>
      <c r="BC37" s="192"/>
      <c r="BD37" s="188"/>
      <c r="BE37" s="115"/>
      <c r="BF37" s="115"/>
    </row>
    <row r="38" spans="1:58" s="4" customFormat="1" x14ac:dyDescent="0.3">
      <c r="A38" s="115"/>
      <c r="B38" s="115"/>
      <c r="C38" s="115"/>
      <c r="D38" s="314"/>
      <c r="E38" s="115"/>
      <c r="F38" s="115"/>
      <c r="G38" s="115"/>
      <c r="H38" s="115"/>
      <c r="I38" s="724"/>
      <c r="J38" s="279"/>
      <c r="K38" s="115"/>
      <c r="L38" s="115"/>
      <c r="M38" s="115"/>
      <c r="N38" s="115"/>
      <c r="O38" s="280"/>
      <c r="P38" s="841"/>
      <c r="Q38" s="669"/>
      <c r="R38" s="670"/>
      <c r="S38" s="670"/>
      <c r="T38" s="343"/>
      <c r="U38" s="343"/>
      <c r="V38" s="343"/>
      <c r="W38" s="153"/>
      <c r="X38" s="153"/>
      <c r="Y38" s="153"/>
      <c r="Z38" s="115"/>
      <c r="AA38" s="115"/>
      <c r="AB38" s="115"/>
      <c r="AC38" s="115"/>
      <c r="AD38" s="280"/>
      <c r="AE38" s="682"/>
      <c r="AF38" s="670"/>
      <c r="AG38" s="413"/>
      <c r="AH38" s="413"/>
      <c r="AI38" s="413"/>
      <c r="AJ38" s="153"/>
      <c r="AK38" s="153"/>
      <c r="AL38" s="153"/>
      <c r="AM38" s="115"/>
      <c r="AN38" s="115"/>
      <c r="AO38" s="115"/>
      <c r="AP38" s="115"/>
      <c r="AQ38" s="280"/>
      <c r="AR38" s="280"/>
      <c r="AS38" s="682"/>
      <c r="AT38" s="670"/>
      <c r="AU38" s="670"/>
      <c r="AV38" s="343"/>
      <c r="AW38" s="343"/>
      <c r="AX38" s="343"/>
      <c r="AY38" s="153"/>
      <c r="AZ38" s="115"/>
      <c r="BA38" s="115"/>
      <c r="BB38" s="192"/>
      <c r="BC38" s="192"/>
      <c r="BD38" s="192"/>
      <c r="BE38" s="115"/>
      <c r="BF38" s="115"/>
    </row>
    <row r="39" spans="1:58" s="11" customFormat="1" x14ac:dyDescent="0.3">
      <c r="A39" s="285">
        <v>10</v>
      </c>
      <c r="B39" s="285" t="s">
        <v>240</v>
      </c>
      <c r="C39" s="285" t="s">
        <v>620</v>
      </c>
      <c r="D39" s="318" t="s">
        <v>906</v>
      </c>
      <c r="E39" s="285" t="s">
        <v>241</v>
      </c>
      <c r="F39" s="285"/>
      <c r="G39" s="285">
        <v>25</v>
      </c>
      <c r="H39" s="285">
        <f t="shared" si="0"/>
        <v>298.14999999999998</v>
      </c>
      <c r="I39" s="759">
        <f t="shared" si="1"/>
        <v>14</v>
      </c>
      <c r="J39" s="284">
        <v>17.899999999999999</v>
      </c>
      <c r="K39" s="285"/>
      <c r="L39" s="285"/>
      <c r="M39" s="285"/>
      <c r="N39" s="285"/>
      <c r="O39" s="287"/>
      <c r="P39" s="842"/>
      <c r="Q39" s="677"/>
      <c r="R39" s="678"/>
      <c r="S39" s="678"/>
      <c r="T39" s="493"/>
      <c r="U39" s="493"/>
      <c r="V39" s="493"/>
      <c r="W39" s="494"/>
      <c r="X39" s="494"/>
      <c r="Y39" s="494"/>
      <c r="Z39" s="285">
        <v>7</v>
      </c>
      <c r="AA39" s="285">
        <v>28</v>
      </c>
      <c r="AB39" s="285"/>
      <c r="AC39" s="285" t="s">
        <v>605</v>
      </c>
      <c r="AD39" s="287">
        <f>(LN(2)/AA39)/(60*60*24)</f>
        <v>2.8651917185844297E-7</v>
      </c>
      <c r="AE39" s="683">
        <f>(LN(2)/AF39)/(60*60*24)</f>
        <v>27.999999999999989</v>
      </c>
      <c r="AF39" s="678">
        <f>EXP(LN(AD39)+$J39*(1/$H39-1/298.15)/0.0019872)</f>
        <v>2.8651917185844313E-7</v>
      </c>
      <c r="AG39" s="504">
        <f>AVERAGE(AE39:AE43)</f>
        <v>23.803878657808021</v>
      </c>
      <c r="AH39" s="504">
        <f>MEDIAN(AE39:AE43)</f>
        <v>21.651816767656442</v>
      </c>
      <c r="AI39" s="493">
        <f>STDEV(AE39:AE43)</f>
        <v>17.115101611446335</v>
      </c>
      <c r="AJ39" s="494"/>
      <c r="AK39" s="494"/>
      <c r="AL39" s="494"/>
      <c r="AM39" s="285">
        <v>7.5</v>
      </c>
      <c r="AN39" s="285">
        <v>9.1</v>
      </c>
      <c r="AO39" s="285"/>
      <c r="AP39" s="285" t="s">
        <v>605</v>
      </c>
      <c r="AQ39" s="287">
        <f t="shared" si="7"/>
        <v>2.7878559273166125E-5</v>
      </c>
      <c r="AR39" s="287">
        <f t="shared" si="2"/>
        <v>2.7878559273166124</v>
      </c>
      <c r="AS39" s="683">
        <f t="shared" si="3"/>
        <v>0.28776726707532246</v>
      </c>
      <c r="AT39" s="678">
        <f t="shared" si="4"/>
        <v>2.7878559273166122E-5</v>
      </c>
      <c r="AU39" s="678">
        <f t="shared" si="5"/>
        <v>2.7878559273166119</v>
      </c>
      <c r="AV39" s="493">
        <f>AVERAGE(AS39:AS42)</f>
        <v>0.36005534726204314</v>
      </c>
      <c r="AW39" s="493">
        <f>MEDIAN(AS39:AS42)</f>
        <v>0.27888363353766121</v>
      </c>
      <c r="AX39" s="493">
        <f>STDEV(AS39:AS42)</f>
        <v>0.29404367057992253</v>
      </c>
      <c r="AY39" s="494"/>
      <c r="AZ39" s="285"/>
      <c r="BA39" s="285"/>
      <c r="BB39" s="317" t="s">
        <v>619</v>
      </c>
      <c r="BC39" s="317" t="s">
        <v>621</v>
      </c>
      <c r="BD39" s="317"/>
      <c r="BE39" s="285"/>
      <c r="BF39" s="285"/>
    </row>
    <row r="40" spans="1:58" s="4" customFormat="1" x14ac:dyDescent="0.3">
      <c r="A40" s="115"/>
      <c r="B40" s="115"/>
      <c r="C40" s="115"/>
      <c r="D40" s="314"/>
      <c r="E40" s="115"/>
      <c r="F40" s="115"/>
      <c r="G40" s="115">
        <v>25</v>
      </c>
      <c r="H40" s="115">
        <f t="shared" si="0"/>
        <v>298.14999999999998</v>
      </c>
      <c r="I40" s="724">
        <f t="shared" si="1"/>
        <v>14</v>
      </c>
      <c r="J40" s="279">
        <v>17.899999999999999</v>
      </c>
      <c r="K40" s="115"/>
      <c r="L40" s="115"/>
      <c r="M40" s="115"/>
      <c r="N40" s="115"/>
      <c r="O40" s="280"/>
      <c r="P40" s="841"/>
      <c r="Q40" s="669"/>
      <c r="R40" s="670"/>
      <c r="S40" s="670"/>
      <c r="T40" s="343"/>
      <c r="U40" s="343"/>
      <c r="V40" s="343"/>
      <c r="W40" s="153"/>
      <c r="X40" s="153"/>
      <c r="Y40" s="153"/>
      <c r="Z40" s="115"/>
      <c r="AA40" s="115"/>
      <c r="AB40" s="115"/>
      <c r="AC40" s="115"/>
      <c r="AD40" s="280"/>
      <c r="AE40" s="682"/>
      <c r="AF40" s="670"/>
      <c r="AG40" s="413"/>
      <c r="AH40" s="413"/>
      <c r="AI40" s="413"/>
      <c r="AJ40" s="153"/>
      <c r="AK40" s="153"/>
      <c r="AL40" s="153"/>
      <c r="AM40" s="115">
        <v>8</v>
      </c>
      <c r="AN40" s="115">
        <v>2.7</v>
      </c>
      <c r="AO40" s="115"/>
      <c r="AP40" s="115" t="s">
        <v>605</v>
      </c>
      <c r="AQ40" s="280">
        <f t="shared" si="7"/>
        <v>2.9713099303838534E-5</v>
      </c>
      <c r="AR40" s="280">
        <f t="shared" si="2"/>
        <v>2.9713099303838533</v>
      </c>
      <c r="AS40" s="682">
        <f t="shared" si="3"/>
        <v>0.27</v>
      </c>
      <c r="AT40" s="670">
        <f t="shared" si="4"/>
        <v>2.9713099303838534E-5</v>
      </c>
      <c r="AU40" s="670">
        <f t="shared" si="5"/>
        <v>2.9713099303838533</v>
      </c>
      <c r="AV40" s="343"/>
      <c r="AW40" s="343"/>
      <c r="AX40" s="343"/>
      <c r="AY40" s="153"/>
      <c r="AZ40" s="115"/>
      <c r="BA40" s="115"/>
      <c r="BB40" s="192"/>
      <c r="BC40" s="192"/>
      <c r="BD40" s="188"/>
      <c r="BE40" s="115"/>
      <c r="BF40" s="115"/>
    </row>
    <row r="41" spans="1:58" s="4" customFormat="1" x14ac:dyDescent="0.3">
      <c r="A41" s="115"/>
      <c r="B41" s="115"/>
      <c r="C41" s="115"/>
      <c r="D41" s="314"/>
      <c r="E41" s="115"/>
      <c r="F41" s="115"/>
      <c r="G41" s="115">
        <v>25</v>
      </c>
      <c r="H41" s="115">
        <f t="shared" si="0"/>
        <v>298.14999999999998</v>
      </c>
      <c r="I41" s="724">
        <f t="shared" si="1"/>
        <v>14</v>
      </c>
      <c r="J41" s="279">
        <v>17.899999999999999</v>
      </c>
      <c r="K41" s="115"/>
      <c r="L41" s="115"/>
      <c r="M41" s="115"/>
      <c r="N41" s="115"/>
      <c r="O41" s="280"/>
      <c r="P41" s="841"/>
      <c r="Q41" s="669"/>
      <c r="R41" s="670"/>
      <c r="S41" s="670"/>
      <c r="T41" s="343"/>
      <c r="U41" s="343"/>
      <c r="V41" s="343"/>
      <c r="W41" s="153"/>
      <c r="X41" s="153"/>
      <c r="Y41" s="153"/>
      <c r="Z41" s="115">
        <v>7</v>
      </c>
      <c r="AA41" s="115">
        <v>45.7</v>
      </c>
      <c r="AB41" s="115"/>
      <c r="AC41" s="115" t="s">
        <v>605</v>
      </c>
      <c r="AD41" s="280">
        <f>(LN(2)/AA41)/(60*60*24)</f>
        <v>1.7554785146687971E-7</v>
      </c>
      <c r="AE41" s="682">
        <f>(LN(2)/AF41)/(60*60*24)</f>
        <v>45.70000000000001</v>
      </c>
      <c r="AF41" s="670">
        <f>EXP(LN(AD41)+$J41*(1/$H41-1/298.15)/0.0019872)</f>
        <v>1.7554785146687968E-7</v>
      </c>
      <c r="AG41" s="413"/>
      <c r="AH41" s="413"/>
      <c r="AI41" s="413"/>
      <c r="AJ41" s="153"/>
      <c r="AK41" s="153"/>
      <c r="AL41" s="153"/>
      <c r="AM41" s="115">
        <v>9</v>
      </c>
      <c r="AN41" s="115">
        <v>0.1</v>
      </c>
      <c r="AO41" s="115"/>
      <c r="AP41" s="115" t="s">
        <v>605</v>
      </c>
      <c r="AQ41" s="280">
        <f t="shared" si="7"/>
        <v>8.0225368120364024E-5</v>
      </c>
      <c r="AR41" s="280">
        <f t="shared" si="2"/>
        <v>8.0225368120364031</v>
      </c>
      <c r="AS41" s="682">
        <f t="shared" si="3"/>
        <v>0.1</v>
      </c>
      <c r="AT41" s="670">
        <f t="shared" si="4"/>
        <v>8.0225368120364038E-5</v>
      </c>
      <c r="AU41" s="670">
        <f t="shared" si="5"/>
        <v>8.0225368120364031</v>
      </c>
      <c r="AV41" s="343"/>
      <c r="AW41" s="343"/>
      <c r="AX41" s="343"/>
      <c r="AY41" s="153"/>
      <c r="AZ41" s="115"/>
      <c r="BA41" s="115"/>
      <c r="BB41" s="192"/>
      <c r="BC41" s="192"/>
      <c r="BD41" s="188"/>
      <c r="BE41" s="115"/>
      <c r="BF41" s="115"/>
    </row>
    <row r="42" spans="1:58" s="4" customFormat="1" x14ac:dyDescent="0.3">
      <c r="A42" s="115"/>
      <c r="B42" s="115"/>
      <c r="C42" s="115"/>
      <c r="D42" s="314"/>
      <c r="E42" s="115"/>
      <c r="F42" s="115"/>
      <c r="G42" s="115">
        <v>40</v>
      </c>
      <c r="H42" s="115">
        <f t="shared" si="0"/>
        <v>313.14999999999998</v>
      </c>
      <c r="I42" s="724">
        <f t="shared" si="1"/>
        <v>13.530913191237214</v>
      </c>
      <c r="J42" s="279">
        <v>17.899999999999999</v>
      </c>
      <c r="K42" s="115"/>
      <c r="L42" s="115"/>
      <c r="M42" s="115"/>
      <c r="N42" s="115"/>
      <c r="O42" s="280"/>
      <c r="P42" s="841"/>
      <c r="Q42" s="669"/>
      <c r="R42" s="670"/>
      <c r="S42" s="670"/>
      <c r="T42" s="343"/>
      <c r="U42" s="343"/>
      <c r="V42" s="343"/>
      <c r="W42" s="153"/>
      <c r="X42" s="153"/>
      <c r="Y42" s="153"/>
      <c r="Z42" s="115">
        <v>7</v>
      </c>
      <c r="AA42" s="115">
        <v>3.6</v>
      </c>
      <c r="AB42" s="115"/>
      <c r="AC42" s="115" t="s">
        <v>605</v>
      </c>
      <c r="AD42" s="280">
        <f>(LN(2)/AA42)/(60*60*24)</f>
        <v>2.22848244778789E-6</v>
      </c>
      <c r="AE42" s="682">
        <f>(LN(2)/AF42)/(60*60*24)</f>
        <v>15.303633535312898</v>
      </c>
      <c r="AF42" s="670">
        <f>EXP(LN(AD42)+$J42*(1/$H42-1/298.15)/0.0019872)</f>
        <v>5.2422431532514969E-7</v>
      </c>
      <c r="AG42" s="413"/>
      <c r="AH42" s="413"/>
      <c r="AI42" s="413"/>
      <c r="AJ42" s="153"/>
      <c r="AK42" s="153"/>
      <c r="AL42" s="153"/>
      <c r="AM42" s="115">
        <v>9</v>
      </c>
      <c r="AN42" s="115">
        <v>6.25E-2</v>
      </c>
      <c r="AO42" s="115"/>
      <c r="AP42" s="115" t="s">
        <v>605</v>
      </c>
      <c r="AQ42" s="280">
        <f t="shared" si="7"/>
        <v>1.2836058899258246E-4</v>
      </c>
      <c r="AR42" s="280">
        <f t="shared" si="2"/>
        <v>4.3585787029704299</v>
      </c>
      <c r="AS42" s="682">
        <f t="shared" si="3"/>
        <v>0.78245412197285014</v>
      </c>
      <c r="AT42" s="670">
        <f t="shared" si="4"/>
        <v>1.0253044346943542E-5</v>
      </c>
      <c r="AU42" s="670">
        <f t="shared" si="5"/>
        <v>1.0253044346943541</v>
      </c>
      <c r="AV42" s="343"/>
      <c r="AW42" s="343"/>
      <c r="AX42" s="343"/>
      <c r="AY42" s="153"/>
      <c r="AZ42" s="115"/>
      <c r="BA42" s="115"/>
      <c r="BB42" s="192"/>
      <c r="BC42" s="192"/>
      <c r="BD42" s="188"/>
      <c r="BE42" s="115"/>
      <c r="BF42" s="115"/>
    </row>
    <row r="43" spans="1:58" s="4" customFormat="1" x14ac:dyDescent="0.3">
      <c r="A43" s="115"/>
      <c r="B43" s="115"/>
      <c r="C43" s="115"/>
      <c r="D43" s="314"/>
      <c r="E43" s="115"/>
      <c r="F43" s="115"/>
      <c r="G43" s="115">
        <v>50</v>
      </c>
      <c r="H43" s="115">
        <f t="shared" si="0"/>
        <v>323.14999999999998</v>
      </c>
      <c r="I43" s="724">
        <f t="shared" si="1"/>
        <v>13.242382102408241</v>
      </c>
      <c r="J43" s="279">
        <v>17.899999999999999</v>
      </c>
      <c r="K43" s="115"/>
      <c r="L43" s="115"/>
      <c r="M43" s="115"/>
      <c r="N43" s="115"/>
      <c r="O43" s="280"/>
      <c r="P43" s="841"/>
      <c r="Q43" s="669"/>
      <c r="R43" s="670"/>
      <c r="S43" s="670"/>
      <c r="T43" s="343"/>
      <c r="U43" s="343"/>
      <c r="V43" s="343"/>
      <c r="W43" s="153"/>
      <c r="X43" s="153"/>
      <c r="Y43" s="153"/>
      <c r="Z43" s="115">
        <v>7</v>
      </c>
      <c r="AA43" s="115">
        <v>0.6</v>
      </c>
      <c r="AB43" s="115"/>
      <c r="AC43" s="115" t="s">
        <v>605</v>
      </c>
      <c r="AD43" s="280">
        <f>(LN(2)/AA43)/(60*60*24)</f>
        <v>1.337089468672734E-5</v>
      </c>
      <c r="AE43" s="682">
        <f>(LN(2)/AF43)/(60*60*24)</f>
        <v>6.2118810959191793</v>
      </c>
      <c r="AF43" s="670">
        <f>EXP(LN(AD43)+$J43*(1/$H43-1/298.15)/0.0019872)</f>
        <v>1.2914826745970255E-6</v>
      </c>
      <c r="AG43" s="413"/>
      <c r="AH43" s="413"/>
      <c r="AI43" s="413"/>
      <c r="AJ43" s="153"/>
      <c r="AK43" s="153"/>
      <c r="AL43" s="153"/>
      <c r="AM43" s="115">
        <v>9</v>
      </c>
      <c r="AN43" s="131" t="s">
        <v>618</v>
      </c>
      <c r="AO43" s="131"/>
      <c r="AP43" s="131" t="s">
        <v>617</v>
      </c>
      <c r="AQ43" s="280"/>
      <c r="AR43" s="280"/>
      <c r="AS43" s="682"/>
      <c r="AT43" s="670"/>
      <c r="AU43" s="670"/>
      <c r="AV43" s="343"/>
      <c r="AW43" s="343"/>
      <c r="AX43" s="343"/>
      <c r="AY43" s="153"/>
      <c r="AZ43" s="115"/>
      <c r="BA43" s="115"/>
      <c r="BB43" s="192"/>
      <c r="BC43" s="192"/>
      <c r="BD43" s="188"/>
      <c r="BE43" s="115"/>
      <c r="BF43" s="115"/>
    </row>
    <row r="44" spans="1:58" s="4" customFormat="1" x14ac:dyDescent="0.3">
      <c r="A44" s="115"/>
      <c r="B44" s="115"/>
      <c r="C44" s="115"/>
      <c r="D44" s="314"/>
      <c r="E44" s="115"/>
      <c r="F44" s="115"/>
      <c r="G44" s="115"/>
      <c r="H44" s="115"/>
      <c r="I44" s="724"/>
      <c r="J44" s="279"/>
      <c r="K44" s="115"/>
      <c r="L44" s="115"/>
      <c r="M44" s="115"/>
      <c r="N44" s="115"/>
      <c r="O44" s="280"/>
      <c r="P44" s="841"/>
      <c r="Q44" s="669"/>
      <c r="R44" s="670"/>
      <c r="S44" s="670"/>
      <c r="T44" s="343"/>
      <c r="U44" s="343"/>
      <c r="V44" s="343"/>
      <c r="W44" s="153"/>
      <c r="X44" s="153"/>
      <c r="Y44" s="153"/>
      <c r="Z44" s="115"/>
      <c r="AA44" s="115"/>
      <c r="AB44" s="115"/>
      <c r="AC44" s="115"/>
      <c r="AD44" s="280"/>
      <c r="AE44" s="682"/>
      <c r="AF44" s="670"/>
      <c r="AG44" s="413"/>
      <c r="AH44" s="413"/>
      <c r="AI44" s="413"/>
      <c r="AJ44" s="153"/>
      <c r="AK44" s="153"/>
      <c r="AL44" s="153"/>
      <c r="AM44" s="115"/>
      <c r="AN44" s="115"/>
      <c r="AO44" s="115"/>
      <c r="AP44" s="115"/>
      <c r="AQ44" s="280"/>
      <c r="AR44" s="280"/>
      <c r="AS44" s="682"/>
      <c r="AT44" s="670"/>
      <c r="AU44" s="670"/>
      <c r="AV44" s="343"/>
      <c r="AW44" s="343"/>
      <c r="AX44" s="343"/>
      <c r="AY44" s="153"/>
      <c r="AZ44" s="115"/>
      <c r="BA44" s="115"/>
      <c r="BB44" s="192"/>
      <c r="BC44" s="192"/>
      <c r="BD44" s="192"/>
      <c r="BE44" s="115"/>
      <c r="BF44" s="115"/>
    </row>
    <row r="45" spans="1:58" s="11" customFormat="1" x14ac:dyDescent="0.3">
      <c r="A45" s="285">
        <v>11</v>
      </c>
      <c r="B45" s="285" t="s">
        <v>242</v>
      </c>
      <c r="C45" s="285" t="s">
        <v>243</v>
      </c>
      <c r="D45" s="318" t="s">
        <v>906</v>
      </c>
      <c r="E45" s="285" t="s">
        <v>622</v>
      </c>
      <c r="F45" s="285"/>
      <c r="G45" s="285">
        <v>20</v>
      </c>
      <c r="H45" s="285">
        <f>G45+273.15</f>
        <v>293.14999999999998</v>
      </c>
      <c r="I45" s="759">
        <f t="shared" si="1"/>
        <v>14.167030000755094</v>
      </c>
      <c r="J45" s="490">
        <v>16.39</v>
      </c>
      <c r="K45" s="285"/>
      <c r="L45" s="285"/>
      <c r="M45" s="285"/>
      <c r="N45" s="285"/>
      <c r="O45" s="287"/>
      <c r="P45" s="287"/>
      <c r="Q45" s="677"/>
      <c r="R45" s="678"/>
      <c r="S45" s="678"/>
      <c r="T45" s="493"/>
      <c r="U45" s="493"/>
      <c r="V45" s="493"/>
      <c r="W45" s="494"/>
      <c r="X45" s="494"/>
      <c r="Y45" s="494"/>
      <c r="Z45" s="285"/>
      <c r="AA45" s="285"/>
      <c r="AB45" s="285"/>
      <c r="AC45" s="285"/>
      <c r="AD45" s="287"/>
      <c r="AE45" s="677"/>
      <c r="AF45" s="678"/>
      <c r="AG45" s="498"/>
      <c r="AH45" s="498"/>
      <c r="AI45" s="498"/>
      <c r="AJ45" s="494"/>
      <c r="AK45" s="494"/>
      <c r="AL45" s="494"/>
      <c r="AM45" s="285">
        <v>8</v>
      </c>
      <c r="AN45" s="285">
        <v>16</v>
      </c>
      <c r="AO45" s="285"/>
      <c r="AP45" s="285" t="s">
        <v>605</v>
      </c>
      <c r="AQ45" s="287">
        <f>(LN(2)/AN45)/(60*60*24)*10^(9-AM45)</f>
        <v>5.0140855075227523E-6</v>
      </c>
      <c r="AR45" s="287">
        <f t="shared" si="2"/>
        <v>0.73658307691497271</v>
      </c>
      <c r="AS45" s="683">
        <f t="shared" si="3"/>
        <v>0.67948234523033602</v>
      </c>
      <c r="AT45" s="678">
        <f t="shared" si="4"/>
        <v>1.1806836289936075E-5</v>
      </c>
      <c r="AU45" s="678">
        <f t="shared" si="5"/>
        <v>1.1806836289936073</v>
      </c>
      <c r="AV45" s="493">
        <f>AVERAGE(AS45:AS47)</f>
        <v>0.70071616851878404</v>
      </c>
      <c r="AW45" s="493">
        <f>MEDIAN(AS45:AS47)</f>
        <v>0.67948234523033613</v>
      </c>
      <c r="AX45" s="501">
        <f>STDEV(AS45:AS47)</f>
        <v>3.6778060774531142E-2</v>
      </c>
      <c r="AY45" s="494"/>
      <c r="AZ45" s="285"/>
      <c r="BA45" s="285"/>
      <c r="BB45" s="317"/>
      <c r="BC45" s="317"/>
      <c r="BD45" s="317"/>
      <c r="BE45" s="285"/>
      <c r="BF45" s="285"/>
    </row>
    <row r="46" spans="1:58" s="4" customFormat="1" x14ac:dyDescent="0.3">
      <c r="A46" s="115"/>
      <c r="B46" s="115"/>
      <c r="C46" s="115"/>
      <c r="D46" s="314"/>
      <c r="E46" s="115"/>
      <c r="F46" s="115"/>
      <c r="G46" s="115">
        <v>20</v>
      </c>
      <c r="H46" s="115">
        <f>G46+273.15</f>
        <v>293.14999999999998</v>
      </c>
      <c r="I46" s="724">
        <f t="shared" si="1"/>
        <v>14.167030000755094</v>
      </c>
      <c r="J46" s="489">
        <v>16.39</v>
      </c>
      <c r="K46" s="115"/>
      <c r="L46" s="115"/>
      <c r="M46" s="115"/>
      <c r="N46" s="115"/>
      <c r="O46" s="280"/>
      <c r="P46" s="280"/>
      <c r="Q46" s="669"/>
      <c r="R46" s="670"/>
      <c r="S46" s="670"/>
      <c r="T46" s="343"/>
      <c r="U46" s="343"/>
      <c r="V46" s="343"/>
      <c r="W46" s="153"/>
      <c r="X46" s="153"/>
      <c r="Y46" s="153"/>
      <c r="Z46" s="115"/>
      <c r="AA46" s="115"/>
      <c r="AB46" s="115"/>
      <c r="AC46" s="115"/>
      <c r="AD46" s="280"/>
      <c r="AE46" s="669"/>
      <c r="AF46" s="670"/>
      <c r="AG46" s="413"/>
      <c r="AH46" s="413"/>
      <c r="AI46" s="413"/>
      <c r="AJ46" s="153"/>
      <c r="AK46" s="153"/>
      <c r="AL46" s="153"/>
      <c r="AM46" s="115">
        <v>9</v>
      </c>
      <c r="AN46" s="115">
        <v>1.6</v>
      </c>
      <c r="AO46" s="115"/>
      <c r="AP46" s="115" t="s">
        <v>605</v>
      </c>
      <c r="AQ46" s="280">
        <f>(LN(2)/AN46)/(60*60*24)*10^(9-AM46)</f>
        <v>5.0140855075227515E-6</v>
      </c>
      <c r="AR46" s="280">
        <f t="shared" si="2"/>
        <v>0.7365830769149726</v>
      </c>
      <c r="AS46" s="682">
        <f t="shared" si="3"/>
        <v>0.67948234523033613</v>
      </c>
      <c r="AT46" s="670">
        <f t="shared" si="4"/>
        <v>1.1806836289936073E-5</v>
      </c>
      <c r="AU46" s="670">
        <f t="shared" si="5"/>
        <v>1.1806836289936071</v>
      </c>
      <c r="AV46" s="343"/>
      <c r="AW46" s="343"/>
      <c r="AX46" s="343"/>
      <c r="AY46" s="153"/>
      <c r="AZ46" s="115"/>
      <c r="BA46" s="115"/>
      <c r="BB46" s="192"/>
      <c r="BC46" s="192"/>
      <c r="BD46" s="188"/>
      <c r="BE46" s="115"/>
      <c r="BF46" s="115"/>
    </row>
    <row r="47" spans="1:58" s="4" customFormat="1" x14ac:dyDescent="0.3">
      <c r="A47" s="115"/>
      <c r="B47" s="115"/>
      <c r="C47" s="115"/>
      <c r="D47" s="314"/>
      <c r="E47" s="115"/>
      <c r="F47" s="115"/>
      <c r="G47" s="115">
        <v>20</v>
      </c>
      <c r="H47" s="115">
        <f>G47+273.15</f>
        <v>293.14999999999998</v>
      </c>
      <c r="I47" s="724">
        <f t="shared" si="1"/>
        <v>14.167030000755094</v>
      </c>
      <c r="J47" s="489">
        <v>16.39</v>
      </c>
      <c r="K47" s="115"/>
      <c r="L47" s="115"/>
      <c r="M47" s="115"/>
      <c r="N47" s="115"/>
      <c r="O47" s="280"/>
      <c r="P47" s="280"/>
      <c r="Q47" s="669"/>
      <c r="R47" s="670"/>
      <c r="S47" s="670"/>
      <c r="T47" s="343"/>
      <c r="U47" s="343"/>
      <c r="V47" s="343"/>
      <c r="W47" s="153"/>
      <c r="X47" s="153"/>
      <c r="Y47" s="153"/>
      <c r="Z47" s="115"/>
      <c r="AA47" s="115"/>
      <c r="AB47" s="115"/>
      <c r="AC47" s="115"/>
      <c r="AD47" s="280"/>
      <c r="AE47" s="669"/>
      <c r="AF47" s="670"/>
      <c r="AG47" s="413"/>
      <c r="AH47" s="413"/>
      <c r="AI47" s="413"/>
      <c r="AJ47" s="153"/>
      <c r="AK47" s="153"/>
      <c r="AL47" s="153"/>
      <c r="AM47" s="115">
        <v>10</v>
      </c>
      <c r="AN47" s="115">
        <v>0.17499999999999999</v>
      </c>
      <c r="AO47" s="115"/>
      <c r="AP47" s="115" t="s">
        <v>605</v>
      </c>
      <c r="AQ47" s="280">
        <f>(LN(2)/AN47)/(60*60*24)*10^(9-AM47)</f>
        <v>4.5843067497350883E-6</v>
      </c>
      <c r="AR47" s="280">
        <f t="shared" si="2"/>
        <v>0.67344738460797515</v>
      </c>
      <c r="AS47" s="682">
        <f t="shared" si="3"/>
        <v>0.74318381509567999</v>
      </c>
      <c r="AT47" s="670">
        <f t="shared" si="4"/>
        <v>1.0794821750798698E-5</v>
      </c>
      <c r="AU47" s="670">
        <f t="shared" si="5"/>
        <v>1.0794821750798698</v>
      </c>
      <c r="AV47" s="343"/>
      <c r="AW47" s="343"/>
      <c r="AX47" s="343"/>
      <c r="AY47" s="153"/>
      <c r="AZ47" s="115"/>
      <c r="BA47" s="115"/>
      <c r="BB47" s="192"/>
      <c r="BC47" s="192"/>
      <c r="BD47" s="188"/>
      <c r="BE47" s="115"/>
      <c r="BF47" s="115"/>
    </row>
    <row r="48" spans="1:58" s="4" customFormat="1" x14ac:dyDescent="0.3">
      <c r="A48" s="115"/>
      <c r="B48" s="115"/>
      <c r="C48" s="115"/>
      <c r="D48" s="314"/>
      <c r="E48" s="115"/>
      <c r="F48" s="115"/>
      <c r="G48" s="115"/>
      <c r="H48" s="115"/>
      <c r="I48" s="724"/>
      <c r="J48" s="489"/>
      <c r="K48" s="115"/>
      <c r="L48" s="115"/>
      <c r="M48" s="115"/>
      <c r="N48" s="115"/>
      <c r="O48" s="280"/>
      <c r="P48" s="280"/>
      <c r="Q48" s="669"/>
      <c r="R48" s="670"/>
      <c r="S48" s="670"/>
      <c r="T48" s="343"/>
      <c r="U48" s="343"/>
      <c r="V48" s="343"/>
      <c r="W48" s="153"/>
      <c r="X48" s="153"/>
      <c r="Y48" s="153"/>
      <c r="Z48" s="115"/>
      <c r="AA48" s="115"/>
      <c r="AB48" s="115"/>
      <c r="AC48" s="115"/>
      <c r="AD48" s="280"/>
      <c r="AE48" s="669"/>
      <c r="AF48" s="670"/>
      <c r="AG48" s="413"/>
      <c r="AH48" s="413"/>
      <c r="AI48" s="413"/>
      <c r="AJ48" s="153"/>
      <c r="AK48" s="153"/>
      <c r="AL48" s="153"/>
      <c r="AM48" s="115"/>
      <c r="AN48" s="115"/>
      <c r="AO48" s="115"/>
      <c r="AP48" s="115"/>
      <c r="AQ48" s="280"/>
      <c r="AR48" s="280"/>
      <c r="AS48" s="682"/>
      <c r="AT48" s="670"/>
      <c r="AU48" s="670"/>
      <c r="AV48" s="343"/>
      <c r="AW48" s="343"/>
      <c r="AX48" s="343"/>
      <c r="AY48" s="153"/>
      <c r="AZ48" s="115"/>
      <c r="BA48" s="115"/>
      <c r="BB48" s="192"/>
      <c r="BC48" s="192"/>
      <c r="BD48" s="192"/>
      <c r="BE48" s="115"/>
      <c r="BF48" s="115"/>
    </row>
    <row r="49" spans="1:58" s="11" customFormat="1" x14ac:dyDescent="0.3">
      <c r="A49" s="285">
        <v>12</v>
      </c>
      <c r="B49" s="285" t="s">
        <v>244</v>
      </c>
      <c r="C49" s="285" t="s">
        <v>245</v>
      </c>
      <c r="D49" s="318" t="s">
        <v>907</v>
      </c>
      <c r="E49" s="285" t="s">
        <v>246</v>
      </c>
      <c r="F49" s="285"/>
      <c r="G49" s="285">
        <v>25</v>
      </c>
      <c r="H49" s="285">
        <f t="shared" si="0"/>
        <v>298.14999999999998</v>
      </c>
      <c r="I49" s="759">
        <f t="shared" si="1"/>
        <v>14</v>
      </c>
      <c r="J49" s="284">
        <v>17.899999999999999</v>
      </c>
      <c r="K49" s="285">
        <v>5</v>
      </c>
      <c r="L49" s="285" t="s">
        <v>116</v>
      </c>
      <c r="M49" s="285"/>
      <c r="N49" s="285"/>
      <c r="O49" s="287"/>
      <c r="P49" s="287"/>
      <c r="Q49" s="677"/>
      <c r="R49" s="678"/>
      <c r="S49" s="678"/>
      <c r="T49" s="493"/>
      <c r="U49" s="493"/>
      <c r="V49" s="493"/>
      <c r="W49" s="494"/>
      <c r="X49" s="494"/>
      <c r="Y49" s="494"/>
      <c r="Z49" s="285">
        <v>7</v>
      </c>
      <c r="AA49" s="285">
        <v>7.92</v>
      </c>
      <c r="AB49" s="285">
        <v>8.7400000000000005E-2</v>
      </c>
      <c r="AC49" s="285" t="s">
        <v>599</v>
      </c>
      <c r="AD49" s="287">
        <f>(AB49/24/60/60)</f>
        <v>1.011574074074074E-6</v>
      </c>
      <c r="AE49" s="677">
        <f>(LN(2)/AF49)/(60*60*24)</f>
        <v>7.9307457729970876</v>
      </c>
      <c r="AF49" s="678">
        <f>EXP(LN(AD49)+$J49*(1/$H49-1/298.15)/0.0019872)</f>
        <v>1.0115740740740738E-6</v>
      </c>
      <c r="AG49" s="493">
        <f>AE49</f>
        <v>7.9307457729970876</v>
      </c>
      <c r="AH49" s="498"/>
      <c r="AI49" s="498"/>
      <c r="AJ49" s="494" t="s">
        <v>961</v>
      </c>
      <c r="AK49" s="310" t="s">
        <v>962</v>
      </c>
      <c r="AL49" s="310" t="s">
        <v>957</v>
      </c>
      <c r="AM49" s="285">
        <v>9</v>
      </c>
      <c r="AN49" s="289">
        <f>2.86/24</f>
        <v>0.11916666666666666</v>
      </c>
      <c r="AO49" s="285">
        <v>0.24199999999999999</v>
      </c>
      <c r="AP49" s="285" t="s">
        <v>610</v>
      </c>
      <c r="AQ49" s="287">
        <f>(AO49/60/60)*10^(9-AM49)</f>
        <v>6.7222222222222219E-5</v>
      </c>
      <c r="AR49" s="287">
        <f t="shared" si="2"/>
        <v>6.7222222222222223</v>
      </c>
      <c r="AS49" s="683">
        <f t="shared" si="3"/>
        <v>0.11934352282368202</v>
      </c>
      <c r="AT49" s="678">
        <f t="shared" si="4"/>
        <v>6.7222222222222233E-5</v>
      </c>
      <c r="AU49" s="678">
        <f t="shared" si="5"/>
        <v>6.7222222222222223</v>
      </c>
      <c r="AV49" s="493">
        <f>AS49</f>
        <v>0.11934352282368202</v>
      </c>
      <c r="AW49" s="493"/>
      <c r="AX49" s="493"/>
      <c r="AY49" s="494" t="s">
        <v>961</v>
      </c>
      <c r="AZ49" s="310" t="s">
        <v>962</v>
      </c>
      <c r="BA49" s="310" t="s">
        <v>957</v>
      </c>
      <c r="BB49" s="317"/>
      <c r="BC49" s="317"/>
      <c r="BD49" s="317"/>
      <c r="BE49" s="285"/>
      <c r="BF49" s="285"/>
    </row>
    <row r="50" spans="1:58" s="4" customFormat="1" x14ac:dyDescent="0.3">
      <c r="A50" s="115"/>
      <c r="B50" s="115"/>
      <c r="C50" s="115"/>
      <c r="D50" s="314"/>
      <c r="E50" s="115"/>
      <c r="F50" s="115"/>
      <c r="G50" s="115"/>
      <c r="H50" s="115"/>
      <c r="I50" s="668"/>
      <c r="J50" s="115"/>
      <c r="K50" s="115"/>
      <c r="L50" s="115"/>
      <c r="M50" s="115"/>
      <c r="N50" s="115"/>
      <c r="O50" s="280"/>
      <c r="P50" s="280"/>
      <c r="Q50" s="669"/>
      <c r="R50" s="670"/>
      <c r="S50" s="670"/>
      <c r="T50" s="343"/>
      <c r="U50" s="343"/>
      <c r="V50" s="343"/>
      <c r="W50" s="153"/>
      <c r="X50" s="153"/>
      <c r="Y50" s="153"/>
      <c r="Z50" s="115"/>
      <c r="AA50" s="115"/>
      <c r="AB50" s="115"/>
      <c r="AC50" s="115"/>
      <c r="AD50" s="290"/>
      <c r="AE50" s="669"/>
      <c r="AF50" s="668"/>
      <c r="AG50" s="413"/>
      <c r="AH50" s="413"/>
      <c r="AI50" s="413"/>
      <c r="AJ50" s="153"/>
      <c r="AK50" s="115"/>
      <c r="AL50" s="115"/>
      <c r="AM50" s="115"/>
      <c r="AN50" s="115"/>
      <c r="AO50" s="115"/>
      <c r="AP50" s="115"/>
      <c r="AQ50" s="290"/>
      <c r="AR50" s="280"/>
      <c r="AS50" s="682"/>
      <c r="AT50" s="670"/>
      <c r="AU50" s="670"/>
      <c r="AV50" s="343"/>
      <c r="AW50" s="343"/>
      <c r="AX50" s="343"/>
      <c r="AY50" s="153"/>
      <c r="AZ50" s="115"/>
      <c r="BA50" s="115"/>
      <c r="BB50" s="192"/>
      <c r="BC50" s="192"/>
      <c r="BD50" s="188"/>
      <c r="BE50" s="115"/>
      <c r="BF50" s="115"/>
    </row>
    <row r="51" spans="1:58" s="4" customFormat="1" x14ac:dyDescent="0.3">
      <c r="A51" s="115"/>
      <c r="B51" s="115"/>
      <c r="C51" s="115"/>
      <c r="D51" s="314"/>
      <c r="E51" s="115"/>
      <c r="F51" s="115"/>
      <c r="G51" s="115"/>
      <c r="H51" s="115"/>
      <c r="I51" s="668"/>
      <c r="J51" s="115"/>
      <c r="K51" s="115"/>
      <c r="L51" s="115"/>
      <c r="M51" s="115"/>
      <c r="N51" s="115"/>
      <c r="O51" s="280"/>
      <c r="P51" s="280"/>
      <c r="Q51" s="653"/>
      <c r="R51" s="670"/>
      <c r="S51" s="670"/>
      <c r="T51" s="343"/>
      <c r="U51" s="343"/>
      <c r="V51" s="343"/>
      <c r="W51" s="153"/>
      <c r="X51" s="153"/>
      <c r="Y51" s="153"/>
      <c r="Z51" s="115"/>
      <c r="AA51" s="115"/>
      <c r="AB51" s="115"/>
      <c r="AC51" s="115"/>
      <c r="AD51" s="290"/>
      <c r="AE51" s="653"/>
      <c r="AF51" s="668"/>
      <c r="AG51" s="413"/>
      <c r="AH51" s="413"/>
      <c r="AI51" s="413"/>
      <c r="AJ51" s="153"/>
      <c r="AK51" s="115"/>
      <c r="AL51" s="307"/>
      <c r="AM51" s="115"/>
      <c r="AN51" s="115"/>
      <c r="AO51" s="115"/>
      <c r="AP51" s="115"/>
      <c r="AQ51" s="290"/>
      <c r="AR51" s="280"/>
      <c r="AS51" s="669"/>
      <c r="AT51" s="670"/>
      <c r="AU51" s="670"/>
      <c r="AV51" s="343"/>
      <c r="AW51" s="343"/>
      <c r="AX51" s="343"/>
      <c r="AY51" s="153"/>
      <c r="AZ51" s="115"/>
      <c r="BA51" s="307"/>
      <c r="BB51" s="192"/>
      <c r="BC51" s="192"/>
      <c r="BD51" s="188"/>
      <c r="BE51" s="115"/>
      <c r="BF51" s="115"/>
    </row>
    <row r="52" spans="1:58" s="11" customFormat="1" ht="15" thickBot="1" x14ac:dyDescent="0.35">
      <c r="A52" s="285">
        <v>13</v>
      </c>
      <c r="B52" s="285" t="s">
        <v>1260</v>
      </c>
      <c r="C52" s="285" t="s">
        <v>1261</v>
      </c>
      <c r="D52" s="318"/>
      <c r="E52" s="805" t="s">
        <v>614</v>
      </c>
      <c r="F52" s="285"/>
      <c r="G52" s="285">
        <v>25</v>
      </c>
      <c r="H52" s="285">
        <f t="shared" ref="H52" si="8">G52+273.15</f>
        <v>298.14999999999998</v>
      </c>
      <c r="I52" s="759">
        <f t="shared" ref="I52" si="9">-LOG10(EXP(LN(10^-14)+13.36*(1/298.15-1/H52)/0.0019872))</f>
        <v>14</v>
      </c>
      <c r="J52" s="821">
        <v>17.899999999999999</v>
      </c>
      <c r="K52" s="285"/>
      <c r="L52" s="285"/>
      <c r="M52" s="285"/>
      <c r="N52" s="285"/>
      <c r="O52" s="287"/>
      <c r="P52" s="287"/>
      <c r="Q52" s="749"/>
      <c r="R52" s="678"/>
      <c r="S52" s="678"/>
      <c r="T52" s="493"/>
      <c r="U52" s="493"/>
      <c r="V52" s="493"/>
      <c r="W52" s="494"/>
      <c r="X52" s="494"/>
      <c r="Y52" s="494"/>
      <c r="Z52" s="285"/>
      <c r="AA52" s="285"/>
      <c r="AB52" s="285"/>
      <c r="AC52" s="285"/>
      <c r="AD52" s="291"/>
      <c r="AE52" s="749"/>
      <c r="AF52" s="680"/>
      <c r="AG52" s="498"/>
      <c r="AH52" s="498"/>
      <c r="AI52" s="498"/>
      <c r="AJ52" s="494"/>
      <c r="AK52" s="285"/>
      <c r="AL52" s="310"/>
      <c r="AM52" s="285">
        <v>9</v>
      </c>
      <c r="AN52" s="285">
        <v>76.7</v>
      </c>
      <c r="AO52" s="285"/>
      <c r="AP52" s="285" t="s">
        <v>605</v>
      </c>
      <c r="AQ52" s="287">
        <f t="shared" ref="AQ52" si="10">((LN(2)/AN52)/(60*60*24))*10^(9-AM52)</f>
        <v>1.0459630784923602E-7</v>
      </c>
      <c r="AR52" s="287">
        <f t="shared" ref="AR52" si="11">AQ52*10^($I52-9)</f>
        <v>1.0459630784923603E-2</v>
      </c>
      <c r="AS52" s="683">
        <f t="shared" ref="AS52" si="12">(LN(2)/AT52)/(60*60*24)</f>
        <v>76.700000000000017</v>
      </c>
      <c r="AT52" s="678">
        <f t="shared" ref="AT52" si="13">AU52*10^(9-14)</f>
        <v>1.0459630784923601E-7</v>
      </c>
      <c r="AU52" s="678">
        <f t="shared" ref="AU52" si="14">EXP(LN(AR52)+$J52*(1/$H52-1/298.15)/0.0019872)</f>
        <v>1.0459630784923599E-2</v>
      </c>
      <c r="AV52" s="889">
        <f>AS52</f>
        <v>76.700000000000017</v>
      </c>
      <c r="AW52" s="848"/>
      <c r="AX52" s="493"/>
      <c r="AY52" s="494"/>
      <c r="AZ52" s="285"/>
      <c r="BA52" s="310"/>
      <c r="BB52" s="317"/>
      <c r="BC52" s="317"/>
      <c r="BD52" s="317"/>
      <c r="BE52" s="285"/>
      <c r="BF52" s="285"/>
    </row>
    <row r="53" spans="1:58" s="25" customFormat="1" x14ac:dyDescent="0.3">
      <c r="A53" s="488"/>
      <c r="B53" s="488"/>
      <c r="C53" s="488"/>
      <c r="D53" s="514"/>
      <c r="E53" s="488"/>
      <c r="F53" s="488"/>
      <c r="G53" s="488"/>
      <c r="H53" s="488"/>
      <c r="I53" s="756"/>
      <c r="J53" s="488"/>
      <c r="K53" s="488"/>
      <c r="L53" s="488"/>
      <c r="M53" s="488"/>
      <c r="N53" s="488" t="s">
        <v>790</v>
      </c>
      <c r="O53" s="491"/>
      <c r="P53" s="491"/>
      <c r="Q53" s="757">
        <f>AVERAGE(Q6:Q34)</f>
        <v>80.310230677235666</v>
      </c>
      <c r="R53" s="758"/>
      <c r="S53" s="758"/>
      <c r="T53" s="495">
        <f>AVERAGE(T6:T30)</f>
        <v>106.17017300792673</v>
      </c>
      <c r="U53" s="495"/>
      <c r="V53" s="495"/>
      <c r="W53" s="488" t="s">
        <v>790</v>
      </c>
      <c r="X53" s="496"/>
      <c r="Y53" s="496"/>
      <c r="Z53" s="488"/>
      <c r="AA53" s="488"/>
      <c r="AB53" s="488"/>
      <c r="AC53" s="488" t="s">
        <v>790</v>
      </c>
      <c r="AD53" s="497"/>
      <c r="AE53" s="757">
        <f>AVERAGE(AE6:AE49)</f>
        <v>12.694407254736037</v>
      </c>
      <c r="AF53" s="756"/>
      <c r="AG53" s="495">
        <f>AVERAGE(AG6:AG49)</f>
        <v>10.179932662776077</v>
      </c>
      <c r="AH53" s="505"/>
      <c r="AI53" s="505"/>
      <c r="AJ53" s="496"/>
      <c r="AK53" s="496"/>
      <c r="AL53" s="496"/>
      <c r="AM53" s="488" t="s">
        <v>790</v>
      </c>
      <c r="AN53" s="488"/>
      <c r="AO53" s="488"/>
      <c r="AP53" s="488" t="s">
        <v>790</v>
      </c>
      <c r="AQ53" s="497"/>
      <c r="AR53" s="491"/>
      <c r="AS53" s="757">
        <f>AVERAGE(AS6:AS52)</f>
        <v>6376.8000196495832</v>
      </c>
      <c r="AT53" s="758"/>
      <c r="AU53" s="758"/>
      <c r="AV53" s="495">
        <f>AVERAGE(AV5:AV52)</f>
        <v>13728.124088388829</v>
      </c>
      <c r="AW53" s="495"/>
      <c r="AX53" s="495"/>
      <c r="AY53" s="496"/>
      <c r="AZ53" s="488"/>
      <c r="BA53" s="488"/>
      <c r="BB53" s="510" t="s">
        <v>790</v>
      </c>
      <c r="BC53" s="510"/>
      <c r="BD53" s="510"/>
      <c r="BE53" s="488"/>
      <c r="BF53" s="488"/>
    </row>
    <row r="54" spans="1:58" s="1" customFormat="1" x14ac:dyDescent="0.3">
      <c r="A54" s="108"/>
      <c r="B54" s="108"/>
      <c r="C54" s="108"/>
      <c r="D54" s="72"/>
      <c r="E54" s="108"/>
      <c r="F54" s="108"/>
      <c r="G54" s="108"/>
      <c r="H54" s="108"/>
      <c r="I54" s="552"/>
      <c r="J54" s="108"/>
      <c r="K54" s="108"/>
      <c r="L54" s="108"/>
      <c r="M54" s="108"/>
      <c r="N54" s="108" t="s">
        <v>791</v>
      </c>
      <c r="O54" s="492"/>
      <c r="P54" s="492"/>
      <c r="Q54" s="753">
        <f>STDEV(Q6:Q34)</f>
        <v>119.13218514042364</v>
      </c>
      <c r="R54" s="590"/>
      <c r="S54" s="551"/>
      <c r="T54" s="484">
        <f>STDEV(T6:T30)</f>
        <v>144.11157861753861</v>
      </c>
      <c r="U54" s="484"/>
      <c r="V54" s="484"/>
      <c r="W54" s="108" t="s">
        <v>791</v>
      </c>
      <c r="X54" s="143"/>
      <c r="Y54" s="143"/>
      <c r="Z54" s="108"/>
      <c r="AA54" s="108"/>
      <c r="AB54" s="108"/>
      <c r="AC54" s="108" t="s">
        <v>791</v>
      </c>
      <c r="AD54" s="483"/>
      <c r="AE54" s="753">
        <f>STDEV(AE6:AE49)</f>
        <v>13.658475250976949</v>
      </c>
      <c r="AF54" s="552"/>
      <c r="AG54" s="484">
        <f>STDEV(AG6:AG49)</f>
        <v>9.8518023651410207</v>
      </c>
      <c r="AH54" s="506"/>
      <c r="AI54" s="506"/>
      <c r="AJ54" s="143"/>
      <c r="AK54" s="143"/>
      <c r="AL54" s="143"/>
      <c r="AM54" s="108" t="s">
        <v>791</v>
      </c>
      <c r="AN54" s="108"/>
      <c r="AO54" s="108"/>
      <c r="AP54" s="108" t="s">
        <v>791</v>
      </c>
      <c r="AQ54" s="483"/>
      <c r="AR54" s="492"/>
      <c r="AS54" s="753">
        <f>STDEV(AS6:AS50)</f>
        <v>34308.290653352597</v>
      </c>
      <c r="AT54" s="590"/>
      <c r="AU54" s="590"/>
      <c r="AV54" s="484">
        <f>STDEV(AV5:AV52)</f>
        <v>49441.269799193593</v>
      </c>
      <c r="AW54" s="484"/>
      <c r="AX54" s="484"/>
      <c r="AY54" s="143"/>
      <c r="AZ54" s="108"/>
      <c r="BA54" s="108"/>
      <c r="BB54" s="319" t="s">
        <v>791</v>
      </c>
      <c r="BC54" s="319"/>
      <c r="BD54" s="185"/>
      <c r="BE54" s="108"/>
      <c r="BF54" s="108"/>
    </row>
    <row r="55" spans="1:58" s="1" customFormat="1" x14ac:dyDescent="0.3">
      <c r="A55" s="108"/>
      <c r="B55" s="108"/>
      <c r="C55" s="108"/>
      <c r="D55" s="72"/>
      <c r="E55" s="108"/>
      <c r="F55" s="108"/>
      <c r="G55" s="108"/>
      <c r="H55" s="108"/>
      <c r="I55" s="552"/>
      <c r="J55" s="108"/>
      <c r="K55" s="108"/>
      <c r="L55" s="108"/>
      <c r="M55" s="108"/>
      <c r="N55" s="108" t="s">
        <v>800</v>
      </c>
      <c r="O55" s="492"/>
      <c r="P55" s="492"/>
      <c r="Q55" s="753">
        <f>MEDIAN(Q6:Q34)</f>
        <v>42.75</v>
      </c>
      <c r="R55" s="552"/>
      <c r="S55" s="590"/>
      <c r="T55" s="484">
        <f>MEDIAN(T6:T31)</f>
        <v>45.872823114927535</v>
      </c>
      <c r="U55" s="484"/>
      <c r="V55" s="484"/>
      <c r="W55" s="108" t="s">
        <v>800</v>
      </c>
      <c r="X55" s="143"/>
      <c r="Y55" s="143"/>
      <c r="Z55" s="108"/>
      <c r="AA55" s="108"/>
      <c r="AB55" s="108"/>
      <c r="AC55" s="108" t="s">
        <v>800</v>
      </c>
      <c r="AD55" s="483"/>
      <c r="AE55" s="753">
        <f>MEDIAN(AE6:AE49)</f>
        <v>7.1013227288277294</v>
      </c>
      <c r="AF55" s="552"/>
      <c r="AG55" s="484">
        <f>MEDIAN(AG6:AG49)</f>
        <v>7.9307457729970876</v>
      </c>
      <c r="AH55" s="506"/>
      <c r="AI55" s="506"/>
      <c r="AJ55" s="143"/>
      <c r="AK55" s="143"/>
      <c r="AL55" s="143"/>
      <c r="AM55" s="108" t="s">
        <v>800</v>
      </c>
      <c r="AN55" s="108"/>
      <c r="AO55" s="108"/>
      <c r="AP55" s="108" t="s">
        <v>800</v>
      </c>
      <c r="AQ55" s="483"/>
      <c r="AR55" s="492"/>
      <c r="AS55" s="753">
        <f>MEDIAN(AS6:AS52)</f>
        <v>0.41800605581454409</v>
      </c>
      <c r="AT55" s="590"/>
      <c r="AU55" s="590"/>
      <c r="AV55" s="484">
        <f>MEDIAN(AV5:AV52)</f>
        <v>0.65439191635211857</v>
      </c>
      <c r="AW55" s="484"/>
      <c r="AX55" s="484"/>
      <c r="AY55" s="143"/>
      <c r="AZ55" s="108"/>
      <c r="BA55" s="108"/>
      <c r="BB55" s="319" t="s">
        <v>800</v>
      </c>
      <c r="BC55" s="319"/>
      <c r="BD55" s="185"/>
      <c r="BE55" s="108"/>
      <c r="BF55" s="108"/>
    </row>
    <row r="56" spans="1:58" s="1" customFormat="1" x14ac:dyDescent="0.3">
      <c r="A56" s="108"/>
      <c r="B56" s="108"/>
      <c r="C56" s="108"/>
      <c r="D56" s="72"/>
      <c r="E56" s="108"/>
      <c r="F56" s="108"/>
      <c r="G56" s="108"/>
      <c r="H56" s="108"/>
      <c r="I56" s="552"/>
      <c r="J56" s="108"/>
      <c r="K56" s="108"/>
      <c r="L56" s="108"/>
      <c r="M56" s="108"/>
      <c r="N56" s="108" t="s">
        <v>789</v>
      </c>
      <c r="O56" s="492"/>
      <c r="P56" s="492"/>
      <c r="Q56" s="753">
        <f>COUNT(Q6:Q34)</f>
        <v>6</v>
      </c>
      <c r="R56" s="552"/>
      <c r="S56" s="590"/>
      <c r="T56" s="485">
        <f>COUNT(T6:T30)</f>
        <v>4</v>
      </c>
      <c r="U56" s="484"/>
      <c r="V56" s="484"/>
      <c r="W56" s="108" t="s">
        <v>789</v>
      </c>
      <c r="X56" s="143"/>
      <c r="Y56" s="143"/>
      <c r="Z56" s="108"/>
      <c r="AA56" s="108"/>
      <c r="AB56" s="108"/>
      <c r="AC56" s="108" t="s">
        <v>789</v>
      </c>
      <c r="AD56" s="483"/>
      <c r="AE56" s="753">
        <f>COUNT(AE6:AE49)</f>
        <v>12</v>
      </c>
      <c r="AF56" s="552"/>
      <c r="AG56" s="506">
        <f>COUNT(AG6:AG49)</f>
        <v>7</v>
      </c>
      <c r="AH56" s="506"/>
      <c r="AI56" s="506"/>
      <c r="AJ56" s="143"/>
      <c r="AK56" s="143"/>
      <c r="AL56" s="143"/>
      <c r="AM56" s="108" t="s">
        <v>789</v>
      </c>
      <c r="AN56" s="108"/>
      <c r="AO56" s="108"/>
      <c r="AP56" s="108" t="s">
        <v>789</v>
      </c>
      <c r="AQ56" s="483"/>
      <c r="AR56" s="492"/>
      <c r="AS56" s="753">
        <f>COUNT(AS6:AS52)</f>
        <v>28</v>
      </c>
      <c r="AT56" s="590"/>
      <c r="AU56" s="590"/>
      <c r="AV56" s="485">
        <f>COUNT(AV5:AV52)</f>
        <v>13</v>
      </c>
      <c r="AW56" s="484"/>
      <c r="AX56" s="484"/>
      <c r="AY56" s="143"/>
      <c r="AZ56" s="108"/>
      <c r="BA56" s="108"/>
      <c r="BB56" s="319" t="s">
        <v>789</v>
      </c>
      <c r="BC56" s="319"/>
      <c r="BD56" s="185"/>
      <c r="BE56" s="108"/>
      <c r="BF56" s="108"/>
    </row>
    <row r="57" spans="1:58" s="1" customFormat="1" x14ac:dyDescent="0.3">
      <c r="A57" s="108"/>
      <c r="B57" s="108"/>
      <c r="C57" s="108"/>
      <c r="D57" s="72"/>
      <c r="E57" s="108"/>
      <c r="F57" s="108"/>
      <c r="G57" s="108"/>
      <c r="H57" s="108"/>
      <c r="I57" s="552"/>
      <c r="J57" s="108"/>
      <c r="K57" s="108"/>
      <c r="L57" s="108"/>
      <c r="M57" s="108"/>
      <c r="N57" s="108" t="s">
        <v>803</v>
      </c>
      <c r="O57" s="492"/>
      <c r="P57" s="492"/>
      <c r="Q57" s="753">
        <f>MIN(Q6:Q34)</f>
        <v>11.552453009332419</v>
      </c>
      <c r="R57" s="552"/>
      <c r="S57" s="590"/>
      <c r="T57" s="484">
        <f>MIN(T6:T31)</f>
        <v>11.935045801851981</v>
      </c>
      <c r="U57" s="484"/>
      <c r="V57" s="484"/>
      <c r="W57" s="108" t="s">
        <v>803</v>
      </c>
      <c r="X57" s="143"/>
      <c r="Y57" s="143"/>
      <c r="Z57" s="108"/>
      <c r="AA57" s="108"/>
      <c r="AB57" s="108"/>
      <c r="AC57" s="108" t="s">
        <v>803</v>
      </c>
      <c r="AD57" s="483"/>
      <c r="AE57" s="753">
        <f>MIN(AE6:AE49)</f>
        <v>0.50000000000000044</v>
      </c>
      <c r="AF57" s="552"/>
      <c r="AG57" s="506">
        <f>MIN(AG5:AG50)</f>
        <v>0.55036587268164316</v>
      </c>
      <c r="AH57" s="506"/>
      <c r="AI57" s="506"/>
      <c r="AJ57" s="143"/>
      <c r="AK57" s="143"/>
      <c r="AL57" s="143"/>
      <c r="AM57" s="108" t="s">
        <v>787</v>
      </c>
      <c r="AN57" s="108"/>
      <c r="AO57" s="108"/>
      <c r="AP57" s="108" t="s">
        <v>787</v>
      </c>
      <c r="AQ57" s="483"/>
      <c r="AR57" s="492"/>
      <c r="AS57" s="753">
        <f>MIN(AS6:AS52)</f>
        <v>4.1431869582661514E-3</v>
      </c>
      <c r="AT57" s="590"/>
      <c r="AU57" s="590"/>
      <c r="AV57" s="511">
        <f>MIN(AV5:AV52)</f>
        <v>4.5021490346886309E-3</v>
      </c>
      <c r="AW57" s="484"/>
      <c r="AX57" s="484"/>
      <c r="AY57" s="143"/>
      <c r="AZ57" s="108"/>
      <c r="BA57" s="108"/>
      <c r="BB57" s="319" t="s">
        <v>787</v>
      </c>
      <c r="BC57" s="319"/>
      <c r="BD57" s="185"/>
      <c r="BE57" s="108"/>
      <c r="BF57" s="108"/>
    </row>
    <row r="58" spans="1:58" s="1" customFormat="1" x14ac:dyDescent="0.3">
      <c r="A58" s="108"/>
      <c r="B58" s="108"/>
      <c r="C58" s="108"/>
      <c r="D58" s="72"/>
      <c r="E58" s="108"/>
      <c r="F58" s="108"/>
      <c r="G58" s="108"/>
      <c r="H58" s="108"/>
      <c r="I58" s="552"/>
      <c r="J58" s="108"/>
      <c r="K58" s="108"/>
      <c r="L58" s="108"/>
      <c r="M58" s="108"/>
      <c r="N58" s="108" t="s">
        <v>804</v>
      </c>
      <c r="O58" s="492"/>
      <c r="P58" s="492"/>
      <c r="Q58" s="753">
        <f>MAX(Q6:Q35)</f>
        <v>320.99999999999989</v>
      </c>
      <c r="R58" s="552"/>
      <c r="S58" s="590"/>
      <c r="T58" s="484">
        <f>MAX(T6:T30)</f>
        <v>320.99999999999989</v>
      </c>
      <c r="U58" s="484"/>
      <c r="V58" s="484"/>
      <c r="W58" s="108" t="s">
        <v>804</v>
      </c>
      <c r="X58" s="143"/>
      <c r="Y58" s="143"/>
      <c r="Z58" s="108"/>
      <c r="AA58" s="108"/>
      <c r="AB58" s="108"/>
      <c r="AC58" s="108" t="s">
        <v>804</v>
      </c>
      <c r="AD58" s="483"/>
      <c r="AE58" s="753">
        <f>MAX(AE6:AE50)</f>
        <v>45.70000000000001</v>
      </c>
      <c r="AF58" s="552"/>
      <c r="AG58" s="506">
        <f>MAX(AG6:AG49)</f>
        <v>24.000000000000018</v>
      </c>
      <c r="AH58" s="506"/>
      <c r="AI58" s="506"/>
      <c r="AJ58" s="143"/>
      <c r="AK58" s="143"/>
      <c r="AL58" s="143"/>
      <c r="AM58" s="108" t="s">
        <v>788</v>
      </c>
      <c r="AN58" s="108"/>
      <c r="AO58" s="108"/>
      <c r="AP58" s="108" t="s">
        <v>788</v>
      </c>
      <c r="AQ58" s="483"/>
      <c r="AR58" s="492"/>
      <c r="AS58" s="753">
        <f>MAX(AS5:AS52)</f>
        <v>178278.5958230313</v>
      </c>
      <c r="AT58" s="590"/>
      <c r="AU58" s="590"/>
      <c r="AV58" s="484">
        <f>MAX(AV5:AV52)</f>
        <v>178278.5958230313</v>
      </c>
      <c r="AW58" s="484"/>
      <c r="AX58" s="484"/>
      <c r="AY58" s="143"/>
      <c r="AZ58" s="108"/>
      <c r="BA58" s="108"/>
      <c r="BB58" s="319" t="s">
        <v>788</v>
      </c>
      <c r="BC58" s="319"/>
      <c r="BD58" s="185"/>
      <c r="BE58" s="108"/>
      <c r="BF58" s="108"/>
    </row>
    <row r="59" spans="1:58" x14ac:dyDescent="0.3">
      <c r="Q59" s="649"/>
      <c r="S59" s="843" t="s">
        <v>1276</v>
      </c>
      <c r="T59" s="157">
        <f>QUARTILE(T$6:T51,3)-QUARTILE(T$6:T51,1)</f>
        <v>78.207003877145681</v>
      </c>
      <c r="U59" s="119"/>
      <c r="AE59" s="649"/>
      <c r="AF59" s="843" t="s">
        <v>1276</v>
      </c>
      <c r="AG59" s="157">
        <f>QUARTILE(AG$6:AG51,3)-QUARTILE(AG$6:AG51,1)</f>
        <v>13.526026732225363</v>
      </c>
      <c r="AH59" s="119"/>
      <c r="AS59" s="649"/>
      <c r="AU59" s="843" t="s">
        <v>1276</v>
      </c>
      <c r="AV59" s="157">
        <f>QUARTILE(AV$6:AV51,3)-QUARTILE(AV$6:AV51,1)</f>
        <v>26.943424699853598</v>
      </c>
      <c r="AW59" s="119"/>
    </row>
    <row r="60" spans="1:58" x14ac:dyDescent="0.3">
      <c r="Q60" s="649"/>
      <c r="S60" s="843" t="s">
        <v>1277</v>
      </c>
      <c r="T60" s="157">
        <f>MAX(T55-2*T59,0)</f>
        <v>0</v>
      </c>
      <c r="U60" s="844" t="str">
        <f>IF(T57&lt;T60,"Outlier Flag","")</f>
        <v/>
      </c>
      <c r="AE60" s="649"/>
      <c r="AF60" s="843" t="s">
        <v>1277</v>
      </c>
      <c r="AG60" s="157">
        <f>MAX(AG55-2*AG59,0)</f>
        <v>0</v>
      </c>
      <c r="AH60" s="844" t="str">
        <f>IF(AG57&lt;AG60,"Outlier Flag","")</f>
        <v/>
      </c>
      <c r="AS60" s="753"/>
      <c r="AU60" s="843" t="s">
        <v>1277</v>
      </c>
      <c r="AV60" s="157">
        <f>MAX(AV55-2*AV59,0)</f>
        <v>0</v>
      </c>
      <c r="AW60" s="844" t="str">
        <f>IF(AV57&lt;AV60,"Outlier Flag","")</f>
        <v/>
      </c>
    </row>
    <row r="61" spans="1:58" x14ac:dyDescent="0.3">
      <c r="Q61" s="649"/>
      <c r="S61" s="843" t="s">
        <v>1278</v>
      </c>
      <c r="T61" s="157">
        <f>T55+2.2*T59</f>
        <v>217.92823164464806</v>
      </c>
      <c r="U61" s="844" t="str">
        <f>IF(T58&gt;T61,"Outlier Flag","")</f>
        <v>Outlier Flag</v>
      </c>
      <c r="AE61" s="649"/>
      <c r="AF61" s="843" t="s">
        <v>1278</v>
      </c>
      <c r="AG61" s="157">
        <f>AG55+2.2*AG59</f>
        <v>37.688004583892891</v>
      </c>
      <c r="AH61" s="844" t="str">
        <f>IF(AG58&gt;AG61,"Outlier Flag","")</f>
        <v/>
      </c>
      <c r="AS61" s="649"/>
      <c r="AU61" s="843" t="s">
        <v>1278</v>
      </c>
      <c r="AV61" s="157">
        <f>AV55+2.2*AV59</f>
        <v>59.929926256030036</v>
      </c>
      <c r="AW61" s="844" t="str">
        <f>IF(AV58&gt;AV61,"Outlier Flag","")</f>
        <v>Outlier Flag</v>
      </c>
    </row>
    <row r="63" spans="1:58" x14ac:dyDescent="0.3">
      <c r="AP63" s="31" t="s">
        <v>790</v>
      </c>
      <c r="AS63" s="583">
        <v>6376.8000196495832</v>
      </c>
      <c r="AV63" s="412">
        <v>10.028847820313835</v>
      </c>
    </row>
    <row r="64" spans="1:58" x14ac:dyDescent="0.3">
      <c r="N64" s="31" t="s">
        <v>790</v>
      </c>
      <c r="Q64" s="583">
        <v>80.310230677235666</v>
      </c>
      <c r="T64" s="412">
        <v>34.560230677235687</v>
      </c>
      <c r="AP64" s="31" t="s">
        <v>791</v>
      </c>
      <c r="AS64" s="583">
        <v>34308.290653352597</v>
      </c>
      <c r="AV64" s="412">
        <v>18.103101997159683</v>
      </c>
    </row>
    <row r="65" spans="14:48" x14ac:dyDescent="0.3">
      <c r="N65" s="31" t="s">
        <v>791</v>
      </c>
      <c r="Q65" s="583">
        <v>119.13218514042364</v>
      </c>
      <c r="T65" s="412">
        <v>19.604019838521324</v>
      </c>
      <c r="AP65" s="31" t="s">
        <v>800</v>
      </c>
      <c r="AS65" s="583">
        <v>0.41800605581454409</v>
      </c>
      <c r="AV65" s="412">
        <v>0.36005534726204314</v>
      </c>
    </row>
    <row r="66" spans="14:48" x14ac:dyDescent="0.3">
      <c r="N66" s="31" t="s">
        <v>800</v>
      </c>
      <c r="Q66" s="583">
        <v>42.75</v>
      </c>
      <c r="T66" s="412">
        <v>45.245646229855062</v>
      </c>
      <c r="AP66" s="31" t="s">
        <v>789</v>
      </c>
      <c r="AS66" s="583">
        <v>28</v>
      </c>
      <c r="AV66" s="412">
        <v>11</v>
      </c>
    </row>
    <row r="67" spans="14:48" x14ac:dyDescent="0.3">
      <c r="N67" s="31" t="s">
        <v>789</v>
      </c>
      <c r="Q67" s="583">
        <v>6</v>
      </c>
      <c r="T67" s="412">
        <v>3</v>
      </c>
      <c r="AP67" s="31" t="s">
        <v>787</v>
      </c>
      <c r="AS67" s="583">
        <v>4.1431869582661514E-3</v>
      </c>
      <c r="AV67" s="412">
        <v>4.5021490346886309E-3</v>
      </c>
    </row>
    <row r="68" spans="14:48" x14ac:dyDescent="0.3">
      <c r="N68" s="31" t="s">
        <v>803</v>
      </c>
      <c r="Q68" s="583">
        <v>11.552453009332419</v>
      </c>
      <c r="T68" s="412">
        <v>11.935045801851981</v>
      </c>
      <c r="AP68" s="31" t="s">
        <v>788</v>
      </c>
      <c r="AS68" s="583">
        <v>178278.5958230313</v>
      </c>
      <c r="AV68" s="412">
        <v>54</v>
      </c>
    </row>
    <row r="69" spans="14:48" x14ac:dyDescent="0.3">
      <c r="N69" s="31" t="s">
        <v>804</v>
      </c>
      <c r="Q69" s="583">
        <v>320.99999999999989</v>
      </c>
      <c r="T69" s="412">
        <v>46.500000000000007</v>
      </c>
    </row>
  </sheetData>
  <sheetProtection formatCells="0" formatColumns="0" formatRows="0" insertColumns="0" insertRows="0" insertHyperlinks="0" deleteColumns="0" deleteRows="0" sort="0"/>
  <mergeCells count="1">
    <mergeCell ref="A1:B1"/>
  </mergeCells>
  <pageMargins left="0.7" right="0.7" top="0.75" bottom="0.75" header="0.3" footer="0.3"/>
  <pageSetup scale="59" fitToWidth="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5"/>
  <sheetViews>
    <sheetView workbookViewId="0">
      <selection sqref="A1:B1"/>
    </sheetView>
  </sheetViews>
  <sheetFormatPr defaultRowHeight="14.4" x14ac:dyDescent="0.3"/>
  <cols>
    <col min="1" max="1" width="3.6640625" style="31" customWidth="1"/>
    <col min="2" max="2" width="13" style="31" customWidth="1"/>
    <col min="3" max="3" width="32.5546875" style="31" bestFit="1" customWidth="1"/>
    <col min="4" max="4" width="18.6640625" style="40" customWidth="1"/>
    <col min="5" max="5" width="24" style="31" customWidth="1"/>
    <col min="6" max="6" width="31.88671875" style="31" customWidth="1"/>
    <col min="7" max="8" width="12.33203125" style="31" customWidth="1"/>
    <col min="9" max="9" width="8.88671875" style="31" customWidth="1"/>
    <col min="10" max="10" width="9.33203125" style="31" bestFit="1" customWidth="1"/>
    <col min="11" max="11" width="8.88671875" style="31" customWidth="1"/>
    <col min="12" max="12" width="10.44140625" style="31" customWidth="1"/>
    <col min="13" max="13" width="11.44140625" style="31" customWidth="1"/>
    <col min="14" max="14" width="10.88671875" style="31" customWidth="1"/>
    <col min="15" max="15" width="10.33203125" style="103" customWidth="1"/>
    <col min="16" max="16" width="12.33203125" style="103" bestFit="1" customWidth="1"/>
    <col min="17" max="17" width="8.88671875" style="31" customWidth="1"/>
    <col min="18" max="18" width="10.33203125" style="103" customWidth="1"/>
    <col min="19" max="19" width="12.6640625" style="103" bestFit="1" customWidth="1"/>
    <col min="20" max="22" width="10.109375" style="129" customWidth="1"/>
    <col min="23" max="23" width="14.88671875" style="146" bestFit="1" customWidth="1"/>
    <col min="24" max="24" width="14.44140625" style="146" bestFit="1" customWidth="1"/>
    <col min="25" max="25" width="13.5546875" style="146" customWidth="1"/>
    <col min="26" max="26" width="8" style="31" customWidth="1"/>
    <col min="27" max="27" width="10.5546875" style="31" customWidth="1"/>
    <col min="28" max="28" width="12.109375" style="31" customWidth="1"/>
    <col min="29" max="29" width="10.109375" style="31" customWidth="1"/>
    <col min="30" max="30" width="14.88671875" style="31" bestFit="1" customWidth="1"/>
    <col min="31" max="31" width="9.88671875" style="31" customWidth="1"/>
    <col min="32" max="32" width="10.44140625" style="31" customWidth="1"/>
    <col min="33" max="35" width="9.109375" style="175" customWidth="1"/>
    <col min="36" max="36" width="14.88671875" style="157" bestFit="1" customWidth="1"/>
    <col min="37" max="37" width="14.44140625" style="157" bestFit="1" customWidth="1"/>
    <col min="38" max="38" width="14.6640625" style="157" customWidth="1"/>
    <col min="39" max="39" width="8.88671875" style="31"/>
    <col min="40" max="40" width="10.109375" style="31" customWidth="1"/>
    <col min="41" max="41" width="11.33203125" style="31" customWidth="1"/>
    <col min="42" max="42" width="10.6640625" style="31" customWidth="1"/>
    <col min="43" max="43" width="10.33203125" style="31" customWidth="1"/>
    <col min="44" max="44" width="12.6640625" style="31" bestFit="1" customWidth="1"/>
    <col min="45" max="45" width="9" style="31" customWidth="1"/>
    <col min="46" max="46" width="10.33203125" style="31" customWidth="1"/>
    <col min="47" max="47" width="12.6640625" style="31" bestFit="1" customWidth="1"/>
    <col min="48" max="50" width="8.88671875" style="31"/>
    <col min="51" max="51" width="14.88671875" style="31" bestFit="1" customWidth="1"/>
    <col min="52" max="52" width="14.44140625" style="31" bestFit="1" customWidth="1"/>
    <col min="53" max="53" width="14.6640625" style="31" customWidth="1"/>
    <col min="54" max="54" width="16.33203125" style="185" bestFit="1" customWidth="1"/>
    <col min="55" max="55" width="16.5546875" style="185" bestFit="1" customWidth="1"/>
    <col min="56" max="56" width="14.6640625" style="185" customWidth="1"/>
    <col min="57" max="58" width="8.88671875" style="31"/>
  </cols>
  <sheetData>
    <row r="1" spans="1:56" x14ac:dyDescent="0.3">
      <c r="A1" s="899" t="s">
        <v>18</v>
      </c>
      <c r="B1" s="899"/>
      <c r="D1" s="32"/>
      <c r="I1" s="583"/>
      <c r="J1" s="92"/>
      <c r="K1" s="108" t="s">
        <v>626</v>
      </c>
      <c r="O1" s="86" t="s">
        <v>601</v>
      </c>
      <c r="P1" s="87"/>
      <c r="Q1" s="583" t="s">
        <v>602</v>
      </c>
      <c r="R1" s="586"/>
      <c r="S1" s="586"/>
      <c r="T1" s="118"/>
      <c r="U1" s="118"/>
      <c r="V1" s="118"/>
      <c r="W1" s="587"/>
      <c r="X1" s="587"/>
      <c r="Y1" s="587"/>
      <c r="Z1" s="108" t="s">
        <v>89</v>
      </c>
      <c r="AD1" s="87" t="s">
        <v>601</v>
      </c>
      <c r="AE1" s="583" t="s">
        <v>602</v>
      </c>
      <c r="AF1" s="586"/>
      <c r="AG1" s="156"/>
      <c r="AH1" s="156"/>
      <c r="AI1" s="156"/>
      <c r="AJ1" s="587"/>
      <c r="AK1" s="587"/>
      <c r="AL1" s="587"/>
      <c r="AM1" s="108" t="s">
        <v>627</v>
      </c>
      <c r="AQ1" s="86" t="s">
        <v>601</v>
      </c>
      <c r="AR1" s="86"/>
      <c r="AS1" s="583" t="s">
        <v>602</v>
      </c>
      <c r="AT1" s="586"/>
      <c r="AU1" s="586"/>
      <c r="AV1" s="118"/>
      <c r="AW1" s="118"/>
      <c r="AX1" s="118"/>
      <c r="AY1" s="587"/>
      <c r="AZ1" s="587"/>
      <c r="BA1" s="587"/>
    </row>
    <row r="2" spans="1:56" x14ac:dyDescent="0.3">
      <c r="D2" s="32"/>
      <c r="G2" s="584"/>
      <c r="H2" s="584"/>
      <c r="I2" s="583"/>
      <c r="J2" s="92"/>
      <c r="K2" s="108"/>
      <c r="O2" s="588" t="s">
        <v>603</v>
      </c>
      <c r="P2" s="589"/>
      <c r="Q2" s="590" t="s">
        <v>603</v>
      </c>
      <c r="R2" s="590" t="s">
        <v>603</v>
      </c>
      <c r="S2" s="590"/>
      <c r="T2" s="591" t="s">
        <v>801</v>
      </c>
      <c r="U2" s="591"/>
      <c r="V2" s="591"/>
      <c r="W2" s="592"/>
      <c r="X2" s="592"/>
      <c r="Y2" s="592"/>
      <c r="AD2" s="589"/>
      <c r="AE2" s="583"/>
      <c r="AF2" s="590"/>
      <c r="AG2" s="593" t="s">
        <v>801</v>
      </c>
      <c r="AH2" s="593"/>
      <c r="AI2" s="593"/>
      <c r="AJ2" s="592"/>
      <c r="AK2" s="592"/>
      <c r="AL2" s="592"/>
      <c r="AM2" s="108"/>
      <c r="AQ2" s="588" t="s">
        <v>604</v>
      </c>
      <c r="AR2" s="588"/>
      <c r="AS2" s="590" t="s">
        <v>604</v>
      </c>
      <c r="AT2" s="590" t="s">
        <v>604</v>
      </c>
      <c r="AU2" s="590"/>
      <c r="AV2" s="591" t="s">
        <v>801</v>
      </c>
      <c r="AW2" s="591"/>
      <c r="AX2" s="591"/>
      <c r="AY2" s="592"/>
      <c r="AZ2" s="592"/>
      <c r="BA2" s="592"/>
    </row>
    <row r="3" spans="1:56" ht="43.2" x14ac:dyDescent="0.3">
      <c r="B3" s="108" t="s">
        <v>1</v>
      </c>
      <c r="C3" s="108" t="s">
        <v>2</v>
      </c>
      <c r="D3" s="378" t="s">
        <v>930</v>
      </c>
      <c r="E3" s="108" t="s">
        <v>5</v>
      </c>
      <c r="F3" s="108" t="s">
        <v>7</v>
      </c>
      <c r="G3" s="594" t="s">
        <v>1176</v>
      </c>
      <c r="H3" s="594" t="s">
        <v>1176</v>
      </c>
      <c r="I3" s="595" t="s">
        <v>593</v>
      </c>
      <c r="J3" s="533"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row>
    <row r="4" spans="1:56" x14ac:dyDescent="0.3">
      <c r="D4" s="32"/>
      <c r="G4" s="33" t="s">
        <v>85</v>
      </c>
      <c r="H4" s="33" t="s">
        <v>522</v>
      </c>
      <c r="I4" s="595"/>
      <c r="J4" s="601" t="s">
        <v>595</v>
      </c>
      <c r="L4" s="31" t="s">
        <v>88</v>
      </c>
      <c r="O4" s="86" t="s">
        <v>596</v>
      </c>
      <c r="P4" s="87" t="s">
        <v>597</v>
      </c>
      <c r="Q4" s="583" t="s">
        <v>88</v>
      </c>
      <c r="R4" s="586" t="s">
        <v>596</v>
      </c>
      <c r="S4" s="586" t="s">
        <v>597</v>
      </c>
      <c r="T4" s="117" t="s">
        <v>88</v>
      </c>
      <c r="U4" s="117" t="s">
        <v>88</v>
      </c>
      <c r="V4" s="117" t="s">
        <v>88</v>
      </c>
      <c r="W4" s="592"/>
      <c r="X4" s="592"/>
      <c r="Y4" s="592"/>
      <c r="AA4" s="31" t="s">
        <v>88</v>
      </c>
      <c r="AD4" s="87" t="s">
        <v>596</v>
      </c>
      <c r="AE4" s="583" t="s">
        <v>88</v>
      </c>
      <c r="AF4" s="586" t="s">
        <v>596</v>
      </c>
      <c r="AG4" s="292" t="s">
        <v>88</v>
      </c>
      <c r="AH4" s="292" t="s">
        <v>88</v>
      </c>
      <c r="AI4" s="292" t="s">
        <v>88</v>
      </c>
      <c r="AJ4" s="602"/>
      <c r="AK4" s="602"/>
      <c r="AL4" s="602"/>
      <c r="AN4" s="31" t="s">
        <v>88</v>
      </c>
      <c r="AQ4" s="86" t="s">
        <v>596</v>
      </c>
      <c r="AR4" s="86" t="s">
        <v>597</v>
      </c>
      <c r="AS4" s="583" t="s">
        <v>88</v>
      </c>
      <c r="AT4" s="586" t="s">
        <v>596</v>
      </c>
      <c r="AU4" s="586" t="s">
        <v>597</v>
      </c>
      <c r="AV4" s="302" t="s">
        <v>88</v>
      </c>
      <c r="AW4" s="302" t="s">
        <v>88</v>
      </c>
      <c r="AX4" s="302" t="s">
        <v>88</v>
      </c>
      <c r="AY4" s="602"/>
      <c r="AZ4" s="602"/>
      <c r="BA4" s="648"/>
      <c r="BB4" s="319"/>
      <c r="BC4" s="192"/>
      <c r="BD4" s="603"/>
    </row>
    <row r="5" spans="1:56" x14ac:dyDescent="0.3">
      <c r="A5" s="242"/>
      <c r="B5" s="57"/>
      <c r="C5" s="440"/>
      <c r="D5" s="441"/>
      <c r="E5" s="760"/>
      <c r="F5" s="520"/>
      <c r="I5" s="595"/>
      <c r="J5" s="92"/>
      <c r="O5" s="262"/>
      <c r="P5" s="262"/>
      <c r="Q5" s="583"/>
      <c r="R5" s="586"/>
      <c r="S5" s="586"/>
      <c r="T5" s="412"/>
      <c r="U5" s="412"/>
      <c r="V5" s="412"/>
      <c r="AD5" s="85"/>
      <c r="AE5" s="583"/>
      <c r="AF5" s="583"/>
      <c r="AG5" s="184"/>
      <c r="AH5" s="184"/>
      <c r="AI5" s="184"/>
      <c r="AQ5" s="85"/>
      <c r="AR5" s="85"/>
      <c r="AS5" s="583"/>
      <c r="AT5" s="583"/>
      <c r="AU5" s="583"/>
    </row>
    <row r="6" spans="1:56" x14ac:dyDescent="0.3">
      <c r="A6" s="31">
        <v>1</v>
      </c>
      <c r="B6" s="31" t="s">
        <v>307</v>
      </c>
      <c r="C6" s="31" t="s">
        <v>308</v>
      </c>
      <c r="D6" s="32" t="s">
        <v>908</v>
      </c>
      <c r="E6" s="512" t="s">
        <v>309</v>
      </c>
      <c r="F6" s="31" t="s">
        <v>299</v>
      </c>
      <c r="G6" s="31">
        <v>60</v>
      </c>
      <c r="H6" s="31">
        <f t="shared" ref="H6:H16" si="0">273.15+G6</f>
        <v>333.15</v>
      </c>
      <c r="I6" s="717">
        <f t="shared" ref="I6:I16" si="1">-LOG10(EXP(LN(10^-14)+13.36*(1/298.15-1/H6)/0.0019872))</f>
        <v>12.971172405674658</v>
      </c>
      <c r="J6" s="92">
        <v>17.5</v>
      </c>
      <c r="O6" s="262"/>
      <c r="P6" s="262"/>
      <c r="Q6" s="653"/>
      <c r="R6" s="209"/>
      <c r="S6" s="209"/>
      <c r="T6" s="412"/>
      <c r="U6" s="412"/>
      <c r="V6" s="412"/>
      <c r="Z6" s="31">
        <v>3.3</v>
      </c>
      <c r="AB6" s="103">
        <v>1.72E-6</v>
      </c>
      <c r="AC6" s="31" t="s">
        <v>650</v>
      </c>
      <c r="AD6" s="262">
        <f t="shared" ref="AD6:AD12" si="2">AB6</f>
        <v>1.72E-6</v>
      </c>
      <c r="AE6" s="653">
        <f t="shared" ref="AE6:AE8" si="3">(LN(2)/AF6)/(60*60*24)</f>
        <v>103.85423411829443</v>
      </c>
      <c r="AF6" s="209">
        <f t="shared" ref="AF6:AF7" si="4">EXP(LN(AD6)+$J6*(1/$H6-1/298.15)/0.0019872)</f>
        <v>7.7248047517238343E-8</v>
      </c>
      <c r="AG6" s="806">
        <f>AVERAGE(AE6:AE16)</f>
        <v>160.52551713843948</v>
      </c>
      <c r="AH6" s="806">
        <f>MEDIAN(AE6:AE16)</f>
        <v>100.35352959745303</v>
      </c>
      <c r="AI6" s="806">
        <f>STDEV(AE6:AE16)</f>
        <v>153.25825791688317</v>
      </c>
      <c r="AJ6" s="146"/>
      <c r="AK6" s="146"/>
      <c r="AL6" s="146"/>
      <c r="AQ6" s="262"/>
      <c r="AR6" s="262"/>
      <c r="AS6" s="208"/>
      <c r="AT6" s="209"/>
      <c r="AU6" s="209"/>
    </row>
    <row r="7" spans="1:56" x14ac:dyDescent="0.3">
      <c r="D7" s="32"/>
      <c r="F7" s="31" t="s">
        <v>300</v>
      </c>
      <c r="G7" s="31">
        <v>60</v>
      </c>
      <c r="H7" s="31">
        <f t="shared" si="0"/>
        <v>333.15</v>
      </c>
      <c r="I7" s="717">
        <f t="shared" si="1"/>
        <v>12.971172405674658</v>
      </c>
      <c r="J7" s="92">
        <v>17.5</v>
      </c>
      <c r="O7" s="262"/>
      <c r="P7" s="262"/>
      <c r="Q7" s="653"/>
      <c r="R7" s="209"/>
      <c r="S7" s="209"/>
      <c r="T7" s="412"/>
      <c r="U7" s="412"/>
      <c r="V7" s="412"/>
      <c r="Z7" s="31">
        <v>4.2</v>
      </c>
      <c r="AB7" s="103">
        <v>1.9E-6</v>
      </c>
      <c r="AC7" s="31" t="s">
        <v>650</v>
      </c>
      <c r="AD7" s="262">
        <f t="shared" si="2"/>
        <v>1.9E-6</v>
      </c>
      <c r="AE7" s="653">
        <f t="shared" si="3"/>
        <v>94.015411938666588</v>
      </c>
      <c r="AF7" s="209">
        <f t="shared" si="4"/>
        <v>8.533214551322835E-8</v>
      </c>
      <c r="AG7" s="184"/>
      <c r="AH7" s="184"/>
      <c r="AI7" s="184"/>
      <c r="AQ7" s="262"/>
      <c r="AR7" s="262"/>
      <c r="AS7" s="208"/>
      <c r="AT7" s="209"/>
      <c r="AU7" s="209"/>
    </row>
    <row r="8" spans="1:56" x14ac:dyDescent="0.3">
      <c r="D8" s="32"/>
      <c r="F8" s="31" t="s">
        <v>301</v>
      </c>
      <c r="G8" s="31">
        <v>60</v>
      </c>
      <c r="H8" s="31">
        <f t="shared" si="0"/>
        <v>333.15</v>
      </c>
      <c r="I8" s="717">
        <f t="shared" si="1"/>
        <v>12.971172405674658</v>
      </c>
      <c r="J8" s="92">
        <v>17.5</v>
      </c>
      <c r="N8" s="103"/>
      <c r="O8" s="262"/>
      <c r="P8" s="262"/>
      <c r="Q8" s="653"/>
      <c r="R8" s="209"/>
      <c r="S8" s="209"/>
      <c r="T8" s="412"/>
      <c r="U8" s="412"/>
      <c r="V8" s="412"/>
      <c r="Z8" s="31">
        <v>12</v>
      </c>
      <c r="AB8" s="103">
        <v>3.32E-6</v>
      </c>
      <c r="AC8" s="31" t="s">
        <v>650</v>
      </c>
      <c r="AD8" s="262">
        <f t="shared" si="2"/>
        <v>3.32E-6</v>
      </c>
      <c r="AE8" s="653">
        <f t="shared" si="3"/>
        <v>53.804000808273074</v>
      </c>
      <c r="AF8" s="209">
        <f t="shared" ref="AF8" si="5">EXP(LN(AD8)+$J8*(1/$H8-1/298.15)/0.0019872)</f>
        <v>1.4910669637048315E-7</v>
      </c>
      <c r="AG8" s="184"/>
      <c r="AH8" s="184"/>
      <c r="AI8" s="184"/>
      <c r="AQ8" s="262"/>
      <c r="AR8" s="262"/>
      <c r="AS8" s="701"/>
      <c r="AT8" s="209"/>
      <c r="AU8" s="209"/>
    </row>
    <row r="9" spans="1:56" x14ac:dyDescent="0.3">
      <c r="D9" s="32"/>
      <c r="F9" s="31" t="s">
        <v>302</v>
      </c>
      <c r="G9" s="31">
        <v>60</v>
      </c>
      <c r="H9" s="31">
        <f t="shared" si="0"/>
        <v>333.15</v>
      </c>
      <c r="I9" s="717">
        <f t="shared" si="1"/>
        <v>12.971172405674658</v>
      </c>
      <c r="J9" s="92">
        <v>17.5</v>
      </c>
      <c r="O9" s="262"/>
      <c r="P9" s="262"/>
      <c r="Q9" s="653"/>
      <c r="R9" s="209"/>
      <c r="S9" s="209"/>
      <c r="T9" s="412"/>
      <c r="U9" s="412"/>
      <c r="V9" s="412"/>
      <c r="Z9" s="31">
        <v>6.6</v>
      </c>
      <c r="AB9" s="103">
        <v>2.48E-6</v>
      </c>
      <c r="AC9" s="31" t="s">
        <v>650</v>
      </c>
      <c r="AD9" s="262">
        <f t="shared" si="2"/>
        <v>2.48E-6</v>
      </c>
      <c r="AE9" s="653">
        <f>(LN(2)/AF9)/(60*60*24)</f>
        <v>72.027936565914032</v>
      </c>
      <c r="AF9" s="209">
        <f>EXP(LN(AD9)+$J9*(1/$H9-1/298.15)/0.0019872)</f>
        <v>1.1138090572252946E-7</v>
      </c>
      <c r="AG9" s="184"/>
      <c r="AH9" s="184"/>
      <c r="AI9" s="184"/>
      <c r="AQ9" s="262"/>
      <c r="AR9" s="262"/>
      <c r="AS9" s="763"/>
      <c r="AT9" s="209"/>
      <c r="AU9" s="209"/>
    </row>
    <row r="10" spans="1:56" x14ac:dyDescent="0.3">
      <c r="D10" s="32"/>
      <c r="F10" s="31" t="s">
        <v>303</v>
      </c>
      <c r="G10" s="31">
        <v>60</v>
      </c>
      <c r="H10" s="31">
        <f t="shared" si="0"/>
        <v>333.15</v>
      </c>
      <c r="I10" s="717">
        <f t="shared" si="1"/>
        <v>12.971172405674658</v>
      </c>
      <c r="J10" s="92">
        <v>17.5</v>
      </c>
      <c r="O10" s="262"/>
      <c r="P10" s="262"/>
      <c r="Q10" s="653"/>
      <c r="R10" s="209"/>
      <c r="S10" s="209"/>
      <c r="T10" s="412"/>
      <c r="U10" s="412"/>
      <c r="V10" s="412"/>
      <c r="Z10" s="31">
        <v>6.5</v>
      </c>
      <c r="AB10" s="103">
        <v>2.4499999999999998E-6</v>
      </c>
      <c r="AC10" s="31" t="s">
        <v>650</v>
      </c>
      <c r="AD10" s="262">
        <f t="shared" si="2"/>
        <v>2.4499999999999998E-6</v>
      </c>
      <c r="AE10" s="653">
        <f>(LN(2)/AF10)/(60*60*24)</f>
        <v>72.909911299374059</v>
      </c>
      <c r="AF10" s="209">
        <f>EXP(LN(AD10)+$J10*(1/$H10-1/298.15)/0.0019872)</f>
        <v>1.1003355605653134E-7</v>
      </c>
      <c r="AG10" s="184"/>
      <c r="AH10" s="184"/>
      <c r="AI10" s="184"/>
      <c r="AP10" s="103"/>
      <c r="AQ10" s="262"/>
      <c r="AR10" s="262"/>
      <c r="AS10" s="763"/>
      <c r="AT10" s="209"/>
      <c r="AU10" s="209"/>
    </row>
    <row r="11" spans="1:56" x14ac:dyDescent="0.3">
      <c r="D11" s="32"/>
      <c r="F11" s="31" t="s">
        <v>301</v>
      </c>
      <c r="G11" s="31">
        <v>60</v>
      </c>
      <c r="H11" s="31">
        <f t="shared" si="0"/>
        <v>333.15</v>
      </c>
      <c r="I11" s="717">
        <f t="shared" si="1"/>
        <v>12.971172405674658</v>
      </c>
      <c r="J11" s="92">
        <v>17.5</v>
      </c>
      <c r="O11" s="262"/>
      <c r="P11" s="262"/>
      <c r="Q11" s="653"/>
      <c r="R11" s="209"/>
      <c r="S11" s="209"/>
      <c r="T11" s="412"/>
      <c r="U11" s="412"/>
      <c r="V11" s="412"/>
      <c r="Z11" s="31">
        <v>6.2</v>
      </c>
      <c r="AB11" s="103">
        <v>1.9999999999999999E-6</v>
      </c>
      <c r="AC11" s="31" t="s">
        <v>650</v>
      </c>
      <c r="AD11" s="262">
        <f t="shared" si="2"/>
        <v>1.9999999999999999E-6</v>
      </c>
      <c r="AE11" s="653">
        <f>(LN(2)/AF11)/(60*60*24)</f>
        <v>89.314641341733136</v>
      </c>
      <c r="AF11" s="209">
        <f>EXP(LN(AD11)+$J11*(1/$H11-1/298.15)/0.0019872)</f>
        <v>8.9823311066556288E-8</v>
      </c>
      <c r="AG11" s="184"/>
      <c r="AH11" s="184"/>
      <c r="AI11" s="184"/>
      <c r="AP11" s="103"/>
      <c r="AQ11" s="262"/>
      <c r="AR11" s="262"/>
      <c r="AS11" s="208"/>
      <c r="AT11" s="209"/>
      <c r="AU11" s="209"/>
    </row>
    <row r="12" spans="1:56" x14ac:dyDescent="0.3">
      <c r="D12" s="32"/>
      <c r="F12" s="31" t="s">
        <v>304</v>
      </c>
      <c r="G12" s="31">
        <v>60</v>
      </c>
      <c r="H12" s="31">
        <f t="shared" si="0"/>
        <v>333.15</v>
      </c>
      <c r="I12" s="717">
        <f t="shared" si="1"/>
        <v>12.971172405674658</v>
      </c>
      <c r="J12" s="92">
        <v>17.5</v>
      </c>
      <c r="N12" s="103"/>
      <c r="O12" s="262"/>
      <c r="P12" s="262"/>
      <c r="Q12" s="653"/>
      <c r="R12" s="209"/>
      <c r="S12" s="209"/>
      <c r="T12" s="412"/>
      <c r="U12" s="412"/>
      <c r="V12" s="412"/>
      <c r="Z12" s="31">
        <v>10.3</v>
      </c>
      <c r="AB12" s="103">
        <v>1.7799999999999999E-6</v>
      </c>
      <c r="AC12" s="31" t="s">
        <v>650</v>
      </c>
      <c r="AD12" s="262">
        <f t="shared" si="2"/>
        <v>1.7799999999999999E-6</v>
      </c>
      <c r="AE12" s="653">
        <f>(LN(2)/AF12)/(60*60*24)</f>
        <v>100.35352959745303</v>
      </c>
      <c r="AF12" s="209">
        <f>EXP(LN(AD12)+$J12*(1/$H12-1/298.15)/0.0019872)</f>
        <v>7.9942746849235043E-8</v>
      </c>
      <c r="AG12" s="184"/>
      <c r="AH12" s="184"/>
      <c r="AI12" s="184"/>
      <c r="AQ12" s="262"/>
      <c r="AR12" s="262"/>
      <c r="AS12" s="674"/>
      <c r="AT12" s="209"/>
      <c r="AU12" s="209"/>
    </row>
    <row r="13" spans="1:56" x14ac:dyDescent="0.3">
      <c r="D13" s="32"/>
      <c r="F13" s="31" t="s">
        <v>301</v>
      </c>
      <c r="G13" s="31">
        <v>60</v>
      </c>
      <c r="H13" s="31">
        <f t="shared" si="0"/>
        <v>333.15</v>
      </c>
      <c r="I13" s="717">
        <f t="shared" si="1"/>
        <v>12.971172405674658</v>
      </c>
      <c r="J13" s="92">
        <v>17.5</v>
      </c>
      <c r="N13" s="103"/>
      <c r="O13" s="262"/>
      <c r="P13" s="262"/>
      <c r="Q13" s="653"/>
      <c r="R13" s="209"/>
      <c r="S13" s="209"/>
      <c r="T13" s="412"/>
      <c r="U13" s="412"/>
      <c r="V13" s="412"/>
      <c r="Z13" s="31">
        <v>7.2</v>
      </c>
      <c r="AB13" s="103">
        <v>1.53E-6</v>
      </c>
      <c r="AC13" s="31" t="s">
        <v>650</v>
      </c>
      <c r="AD13" s="262">
        <f t="shared" ref="AD13:AD14" si="6">AB13</f>
        <v>1.53E-6</v>
      </c>
      <c r="AE13" s="653">
        <f t="shared" ref="AE13:AE16" si="7">(LN(2)/AF13)/(60*60*24)</f>
        <v>116.75116515259263</v>
      </c>
      <c r="AF13" s="209">
        <f t="shared" ref="AF13:AF14" si="8">EXP(LN(AD13)+$J13*(1/$H13-1/298.15)/0.0019872)</f>
        <v>6.8714832965915388E-8</v>
      </c>
      <c r="AG13" s="184"/>
      <c r="AH13" s="184"/>
      <c r="AI13" s="184"/>
      <c r="AP13" s="103"/>
      <c r="AQ13" s="262"/>
      <c r="AR13" s="262"/>
      <c r="AS13" s="674"/>
      <c r="AT13" s="209"/>
      <c r="AU13" s="209"/>
    </row>
    <row r="14" spans="1:56" x14ac:dyDescent="0.3">
      <c r="D14" s="32"/>
      <c r="F14" s="31" t="s">
        <v>301</v>
      </c>
      <c r="G14" s="31">
        <v>60</v>
      </c>
      <c r="H14" s="31">
        <f t="shared" si="0"/>
        <v>333.15</v>
      </c>
      <c r="I14" s="717">
        <f t="shared" si="1"/>
        <v>12.971172405674658</v>
      </c>
      <c r="J14" s="92">
        <v>17.5</v>
      </c>
      <c r="O14" s="262"/>
      <c r="P14" s="262"/>
      <c r="Q14" s="653"/>
      <c r="R14" s="209"/>
      <c r="S14" s="209"/>
      <c r="T14" s="412"/>
      <c r="U14" s="412"/>
      <c r="V14" s="412"/>
      <c r="Z14" s="31">
        <v>8.4</v>
      </c>
      <c r="AB14" s="103">
        <v>8.8000000000000004E-7</v>
      </c>
      <c r="AC14" s="31" t="s">
        <v>650</v>
      </c>
      <c r="AD14" s="262">
        <f t="shared" si="6"/>
        <v>8.8000000000000004E-7</v>
      </c>
      <c r="AE14" s="653">
        <f t="shared" si="7"/>
        <v>202.98782123121171</v>
      </c>
      <c r="AF14" s="209">
        <f t="shared" si="8"/>
        <v>3.9522256869284758E-8</v>
      </c>
      <c r="AG14" s="184"/>
      <c r="AH14" s="184"/>
      <c r="AI14" s="184"/>
      <c r="AQ14" s="262"/>
      <c r="AR14" s="262"/>
      <c r="AS14" s="674"/>
      <c r="AT14" s="209"/>
      <c r="AU14" s="209"/>
    </row>
    <row r="15" spans="1:56" x14ac:dyDescent="0.3">
      <c r="D15" s="32"/>
      <c r="F15" s="31" t="s">
        <v>305</v>
      </c>
      <c r="G15" s="31">
        <v>60</v>
      </c>
      <c r="H15" s="31">
        <f t="shared" si="0"/>
        <v>333.15</v>
      </c>
      <c r="I15" s="717">
        <f t="shared" si="1"/>
        <v>12.971172405674658</v>
      </c>
      <c r="J15" s="92">
        <v>17.5</v>
      </c>
      <c r="N15" s="103"/>
      <c r="O15" s="262"/>
      <c r="P15" s="262"/>
      <c r="Q15" s="653"/>
      <c r="R15" s="209"/>
      <c r="S15" s="209"/>
      <c r="T15" s="412"/>
      <c r="U15" s="412"/>
      <c r="V15" s="412"/>
      <c r="Z15" s="31">
        <v>5.3</v>
      </c>
      <c r="AB15" s="103">
        <v>6.3E-7</v>
      </c>
      <c r="AC15" s="31" t="s">
        <v>650</v>
      </c>
      <c r="AD15" s="262">
        <f t="shared" ref="AD15:AD16" si="9">AB15</f>
        <v>6.3E-7</v>
      </c>
      <c r="AE15" s="653">
        <f t="shared" si="7"/>
        <v>283.53854394200994</v>
      </c>
      <c r="AF15" s="209">
        <f t="shared" ref="AF15:AF16" si="10">EXP(LN(AD15)+$J15*(1/$H15-1/298.15)/0.0019872)</f>
        <v>2.8294342985965235E-8</v>
      </c>
      <c r="AG15" s="184"/>
      <c r="AH15" s="184"/>
      <c r="AI15" s="184"/>
      <c r="AQ15" s="262"/>
      <c r="AR15" s="262"/>
      <c r="AS15" s="208"/>
      <c r="AT15" s="209"/>
      <c r="AU15" s="209"/>
    </row>
    <row r="16" spans="1:56" x14ac:dyDescent="0.3">
      <c r="D16" s="32"/>
      <c r="F16" s="31" t="s">
        <v>306</v>
      </c>
      <c r="G16" s="31">
        <v>60</v>
      </c>
      <c r="H16" s="31">
        <f t="shared" si="0"/>
        <v>333.15</v>
      </c>
      <c r="I16" s="717">
        <f t="shared" si="1"/>
        <v>12.971172405674658</v>
      </c>
      <c r="J16" s="92">
        <v>17.5</v>
      </c>
      <c r="O16" s="262"/>
      <c r="P16" s="262"/>
      <c r="Q16" s="653"/>
      <c r="R16" s="209"/>
      <c r="S16" s="209"/>
      <c r="T16" s="412"/>
      <c r="U16" s="412"/>
      <c r="V16" s="412"/>
      <c r="Z16" s="31">
        <v>5.4</v>
      </c>
      <c r="AB16" s="103">
        <v>3.1E-7</v>
      </c>
      <c r="AC16" s="31" t="s">
        <v>650</v>
      </c>
      <c r="AD16" s="262">
        <f t="shared" si="9"/>
        <v>3.1E-7</v>
      </c>
      <c r="AE16" s="653">
        <f t="shared" si="7"/>
        <v>576.22349252731146</v>
      </c>
      <c r="AF16" s="209">
        <f t="shared" si="10"/>
        <v>1.3922613215316204E-8</v>
      </c>
      <c r="AG16" s="184"/>
      <c r="AH16" s="184"/>
      <c r="AI16" s="184"/>
      <c r="AQ16" s="262"/>
      <c r="AR16" s="262"/>
      <c r="AS16" s="208"/>
      <c r="AT16" s="209"/>
      <c r="AU16" s="209"/>
    </row>
    <row r="17" spans="1:58" x14ac:dyDescent="0.3">
      <c r="D17" s="32"/>
      <c r="I17" s="717"/>
      <c r="J17" s="92"/>
      <c r="M17" s="103"/>
      <c r="O17" s="262"/>
      <c r="P17" s="262"/>
      <c r="Q17" s="653"/>
      <c r="R17" s="209"/>
      <c r="S17" s="209"/>
      <c r="T17" s="412"/>
      <c r="U17" s="412"/>
      <c r="V17" s="412"/>
      <c r="AD17" s="85"/>
      <c r="AE17" s="653"/>
      <c r="AF17" s="208"/>
      <c r="AG17" s="184"/>
      <c r="AH17" s="184"/>
      <c r="AI17" s="184"/>
      <c r="AQ17" s="262"/>
      <c r="AR17" s="262"/>
      <c r="AS17" s="208"/>
      <c r="AT17" s="209"/>
      <c r="AU17" s="209"/>
    </row>
    <row r="18" spans="1:58" s="9" customFormat="1" x14ac:dyDescent="0.3">
      <c r="A18" s="42">
        <v>2</v>
      </c>
      <c r="B18" s="42" t="s">
        <v>310</v>
      </c>
      <c r="C18" s="42" t="s">
        <v>909</v>
      </c>
      <c r="D18" s="43" t="s">
        <v>910</v>
      </c>
      <c r="E18" s="42" t="s">
        <v>311</v>
      </c>
      <c r="F18" s="42"/>
      <c r="G18" s="42">
        <v>20</v>
      </c>
      <c r="H18" s="42">
        <f t="shared" ref="H18:H23" si="11">273.15+G18</f>
        <v>293.14999999999998</v>
      </c>
      <c r="I18" s="744">
        <f t="shared" ref="I18:I23" si="12">-LOG10(EXP(LN(10^-14)+13.36*(1/298.15-1/H18)/0.0019872))</f>
        <v>14.167030000755094</v>
      </c>
      <c r="J18" s="93">
        <v>17.5</v>
      </c>
      <c r="K18" s="42">
        <v>5</v>
      </c>
      <c r="L18" s="42">
        <v>46.3</v>
      </c>
      <c r="M18" s="42"/>
      <c r="N18" s="126" t="s">
        <v>605</v>
      </c>
      <c r="O18" s="455">
        <f>(LN(2)/L18/24/3600)*10^(K18-5)</f>
        <v>1.7327293330532191E-7</v>
      </c>
      <c r="P18" s="455">
        <f>O18*10^5</f>
        <v>1.7327293330532192E-2</v>
      </c>
      <c r="Q18" s="749">
        <f>(LN(2)/R18)/(60*60*24)</f>
        <v>27.976391292972266</v>
      </c>
      <c r="R18" s="217">
        <f>S18*10^-5</f>
        <v>2.8676095955419676E-7</v>
      </c>
      <c r="S18" s="217">
        <f>EXP(LN(P18)+$J18*(1/$H18-1/298.15)/0.0019872)</f>
        <v>2.8676095955419676E-2</v>
      </c>
      <c r="T18" s="475">
        <f>AVERAGE(Q18:Q19)</f>
        <v>37.079931206307386</v>
      </c>
      <c r="U18" s="475">
        <f>MEDIAN(Q18:Q19)</f>
        <v>37.079931206307386</v>
      </c>
      <c r="V18" s="475">
        <f>STDEV(Q18:Q19)</f>
        <v>12.874349611043328</v>
      </c>
      <c r="W18" s="476"/>
      <c r="X18" s="476"/>
      <c r="Y18" s="476"/>
      <c r="Z18" s="42">
        <v>7</v>
      </c>
      <c r="AA18" s="42">
        <v>156</v>
      </c>
      <c r="AB18" s="42"/>
      <c r="AC18" s="126" t="s">
        <v>605</v>
      </c>
      <c r="AD18" s="464">
        <f>(LN(2)/(AA18))/(24*60*60)</f>
        <v>5.1426518025874388E-8</v>
      </c>
      <c r="AE18" s="749">
        <f>(LN(2)/AF18)/(60*60*24)</f>
        <v>94.261707164226266</v>
      </c>
      <c r="AF18" s="216">
        <f>EXP(LN(AD18)+$J18*(1/$H18-1/298.15)/0.0019872)</f>
        <v>8.5109182226662201E-8</v>
      </c>
      <c r="AG18" s="475">
        <f>AVERAGE(AE18:AE23)</f>
        <v>119.42873734880908</v>
      </c>
      <c r="AH18" s="475">
        <f>MEDIAN(AE18:AE23)</f>
        <v>119.0122197781955</v>
      </c>
      <c r="AI18" s="475">
        <f>STDEV(AE18:AE23)</f>
        <v>26.782693027067673</v>
      </c>
      <c r="AJ18" s="476"/>
      <c r="AK18" s="476"/>
      <c r="AL18" s="476"/>
      <c r="AM18" s="42"/>
      <c r="AN18" s="42"/>
      <c r="AO18" s="42"/>
      <c r="AP18" s="126"/>
      <c r="AQ18" s="455"/>
      <c r="AR18" s="455"/>
      <c r="AS18" s="688"/>
      <c r="AT18" s="217"/>
      <c r="AU18" s="217"/>
      <c r="AV18" s="42"/>
      <c r="AW18" s="42"/>
      <c r="AX18" s="42"/>
      <c r="AY18" s="42"/>
      <c r="AZ18" s="42"/>
      <c r="BA18" s="42"/>
      <c r="BB18" s="187"/>
      <c r="BC18" s="187"/>
      <c r="BD18" s="187"/>
      <c r="BE18" s="42"/>
      <c r="BF18" s="42"/>
    </row>
    <row r="19" spans="1:58" x14ac:dyDescent="0.3">
      <c r="D19" s="32"/>
      <c r="G19" s="31">
        <v>50</v>
      </c>
      <c r="H19" s="31">
        <f t="shared" si="11"/>
        <v>323.14999999999998</v>
      </c>
      <c r="I19" s="717">
        <f t="shared" si="12"/>
        <v>13.242382102408241</v>
      </c>
      <c r="J19" s="92">
        <v>17.5</v>
      </c>
      <c r="K19" s="31">
        <v>5</v>
      </c>
      <c r="L19" s="31">
        <v>4.7</v>
      </c>
      <c r="N19" s="31" t="s">
        <v>605</v>
      </c>
      <c r="O19" s="262">
        <f>(LN(2)/L19/24/3600)*10^(K19-5)</f>
        <v>1.706922725965192E-6</v>
      </c>
      <c r="P19" s="262">
        <f>O19*10^5</f>
        <v>0.1706922725965192</v>
      </c>
      <c r="Q19" s="653">
        <f>(LN(2)/R19)/(60*60*24)</f>
        <v>46.183471119642505</v>
      </c>
      <c r="R19" s="209">
        <f>S19*10^-5</f>
        <v>1.7371013086593878E-7</v>
      </c>
      <c r="S19" s="209">
        <f>EXP(LN(P19)+$J19*(1/$H19-1/298.15)/0.0019872)</f>
        <v>1.7371013086593876E-2</v>
      </c>
      <c r="T19" s="412"/>
      <c r="U19" s="412"/>
      <c r="V19" s="412"/>
      <c r="Z19" s="31">
        <v>7</v>
      </c>
      <c r="AA19" s="31">
        <v>14.2</v>
      </c>
      <c r="AC19" s="31" t="s">
        <v>605</v>
      </c>
      <c r="AD19" s="85">
        <f>(LN(2)/(AA19))/(24*60*60)</f>
        <v>5.6496738112932429E-7</v>
      </c>
      <c r="AE19" s="653">
        <f>(LN(2)/AF19)/(60*60*24)</f>
        <v>139.53304040402637</v>
      </c>
      <c r="AF19" s="208">
        <f>EXP(LN(AD19)+$J19*(1/$H19-1/298.15)/0.0019872)</f>
        <v>5.7495606695064213E-8</v>
      </c>
      <c r="AG19" s="184"/>
      <c r="AH19" s="184"/>
      <c r="AI19" s="184"/>
      <c r="AQ19" s="262"/>
      <c r="AR19" s="262"/>
      <c r="AS19" s="674"/>
      <c r="AT19" s="209"/>
      <c r="AU19" s="209"/>
    </row>
    <row r="20" spans="1:58" x14ac:dyDescent="0.3">
      <c r="D20" s="32"/>
      <c r="G20" s="31">
        <v>20</v>
      </c>
      <c r="H20" s="31">
        <f t="shared" si="11"/>
        <v>293.14999999999998</v>
      </c>
      <c r="I20" s="717">
        <f t="shared" si="12"/>
        <v>14.167030000755094</v>
      </c>
      <c r="J20" s="92">
        <v>17.5</v>
      </c>
      <c r="K20" s="40"/>
      <c r="L20" s="40"/>
      <c r="M20" s="40"/>
      <c r="N20" s="119"/>
      <c r="O20" s="119"/>
      <c r="P20" s="119"/>
      <c r="Q20" s="653"/>
      <c r="R20" s="209"/>
      <c r="S20" s="209"/>
      <c r="T20" s="146"/>
      <c r="U20" s="146"/>
      <c r="V20" s="146"/>
      <c r="Z20" s="40"/>
      <c r="AB20" s="40"/>
      <c r="AC20" s="119"/>
      <c r="AD20" s="85"/>
      <c r="AE20" s="653"/>
      <c r="AF20" s="208"/>
      <c r="AG20" s="184"/>
      <c r="AH20" s="184"/>
      <c r="AI20" s="184"/>
      <c r="AM20" s="40"/>
      <c r="AN20" s="40"/>
      <c r="AO20" s="40"/>
      <c r="AP20" s="119"/>
      <c r="AQ20" s="262"/>
      <c r="AR20" s="262"/>
      <c r="AS20" s="674"/>
      <c r="AT20" s="209"/>
      <c r="AU20" s="209"/>
    </row>
    <row r="21" spans="1:58" x14ac:dyDescent="0.3">
      <c r="D21" s="32"/>
      <c r="G21" s="31">
        <v>50</v>
      </c>
      <c r="H21" s="31">
        <f t="shared" si="11"/>
        <v>323.14999999999998</v>
      </c>
      <c r="I21" s="717">
        <f t="shared" si="12"/>
        <v>13.242382102408241</v>
      </c>
      <c r="J21" s="92">
        <v>17.5</v>
      </c>
      <c r="K21" s="40"/>
      <c r="L21" s="40"/>
      <c r="M21" s="40"/>
      <c r="N21" s="119"/>
      <c r="O21" s="119"/>
      <c r="P21" s="119"/>
      <c r="Q21" s="653"/>
      <c r="R21" s="209"/>
      <c r="S21" s="209"/>
      <c r="T21" s="146"/>
      <c r="U21" s="146"/>
      <c r="V21" s="146"/>
      <c r="Z21" s="40"/>
      <c r="AB21" s="40"/>
      <c r="AC21" s="119"/>
      <c r="AD21" s="85"/>
      <c r="AE21" s="653"/>
      <c r="AF21" s="208"/>
      <c r="AG21" s="184"/>
      <c r="AH21" s="184"/>
      <c r="AI21" s="184"/>
      <c r="AM21" s="40"/>
      <c r="AN21" s="40"/>
      <c r="AO21" s="40"/>
      <c r="AP21" s="119"/>
      <c r="AQ21" s="262"/>
      <c r="AR21" s="262"/>
      <c r="AS21" s="674"/>
      <c r="AT21" s="209"/>
      <c r="AU21" s="209"/>
    </row>
    <row r="22" spans="1:58" x14ac:dyDescent="0.3">
      <c r="D22" s="32"/>
      <c r="G22" s="31">
        <v>20</v>
      </c>
      <c r="H22" s="31">
        <f t="shared" si="11"/>
        <v>293.14999999999998</v>
      </c>
      <c r="I22" s="717">
        <f t="shared" si="12"/>
        <v>14.167030000755094</v>
      </c>
      <c r="J22" s="92">
        <v>17.5</v>
      </c>
      <c r="K22" s="40"/>
      <c r="L22" s="40"/>
      <c r="M22" s="40"/>
      <c r="N22" s="119"/>
      <c r="O22" s="119"/>
      <c r="P22" s="119"/>
      <c r="Q22" s="653"/>
      <c r="R22" s="209"/>
      <c r="S22" s="209"/>
      <c r="T22" s="146"/>
      <c r="U22" s="146"/>
      <c r="V22" s="146"/>
      <c r="Z22" s="40">
        <v>9</v>
      </c>
      <c r="AA22" s="31">
        <v>163</v>
      </c>
      <c r="AB22" s="40"/>
      <c r="AC22" s="119" t="s">
        <v>605</v>
      </c>
      <c r="AD22" s="85">
        <f t="shared" ref="AD22:AD23" si="13">(LN(2)/(AA22))/(24*60*60)</f>
        <v>4.9218017251757085E-8</v>
      </c>
      <c r="AE22" s="653">
        <f t="shared" ref="AE22:AE23" si="14">(LN(2)/AF22)/(60*60*24)</f>
        <v>98.491399152364636</v>
      </c>
      <c r="AF22" s="208">
        <f t="shared" ref="AF22:AF23" si="15">EXP(LN(AD22)+$J22*(1/$H22-1/298.15)/0.0019872)</f>
        <v>8.1454186670915973E-8</v>
      </c>
      <c r="AG22" s="184"/>
      <c r="AH22" s="184"/>
      <c r="AI22" s="184"/>
      <c r="AM22" s="40"/>
      <c r="AN22" s="40"/>
      <c r="AO22" s="40"/>
      <c r="AP22" s="119"/>
      <c r="AQ22" s="262"/>
      <c r="AR22" s="262"/>
      <c r="AS22" s="674"/>
      <c r="AT22" s="209"/>
      <c r="AU22" s="209"/>
    </row>
    <row r="23" spans="1:58" x14ac:dyDescent="0.3">
      <c r="D23" s="32"/>
      <c r="G23" s="31">
        <v>50</v>
      </c>
      <c r="H23" s="31">
        <f t="shared" si="11"/>
        <v>323.14999999999998</v>
      </c>
      <c r="I23" s="717">
        <f t="shared" si="12"/>
        <v>13.242382102408241</v>
      </c>
      <c r="J23" s="92">
        <v>17.5</v>
      </c>
      <c r="K23" s="40"/>
      <c r="L23" s="40"/>
      <c r="M23" s="40"/>
      <c r="N23" s="119"/>
      <c r="O23" s="119"/>
      <c r="P23" s="119"/>
      <c r="Q23" s="653"/>
      <c r="R23" s="209"/>
      <c r="S23" s="209"/>
      <c r="T23" s="146"/>
      <c r="U23" s="146"/>
      <c r="V23" s="146"/>
      <c r="Z23" s="40">
        <v>9</v>
      </c>
      <c r="AA23" s="31">
        <v>14.8</v>
      </c>
      <c r="AB23" s="40"/>
      <c r="AC23" s="119" t="s">
        <v>605</v>
      </c>
      <c r="AD23" s="85">
        <f t="shared" si="13"/>
        <v>5.4206329811056779E-7</v>
      </c>
      <c r="AE23" s="653">
        <f t="shared" si="14"/>
        <v>145.42880267461911</v>
      </c>
      <c r="AF23" s="208">
        <f t="shared" si="15"/>
        <v>5.5164703720939963E-8</v>
      </c>
      <c r="AG23" s="184"/>
      <c r="AH23" s="184"/>
      <c r="AI23" s="184"/>
      <c r="AM23" s="40"/>
      <c r="AN23" s="40"/>
      <c r="AO23" s="40"/>
      <c r="AP23" s="119"/>
      <c r="AQ23" s="262"/>
      <c r="AR23" s="262"/>
      <c r="AS23" s="674"/>
      <c r="AT23" s="209"/>
      <c r="AU23" s="209"/>
    </row>
    <row r="24" spans="1:58" ht="15" thickBot="1" x14ac:dyDescent="0.35">
      <c r="D24" s="32"/>
      <c r="I24" s="717"/>
      <c r="J24" s="92"/>
      <c r="K24" s="40"/>
      <c r="L24" s="40"/>
      <c r="M24" s="40"/>
      <c r="N24" s="119"/>
      <c r="O24" s="119"/>
      <c r="P24" s="119"/>
      <c r="Q24" s="653"/>
      <c r="R24" s="209"/>
      <c r="S24" s="209"/>
      <c r="T24" s="146"/>
      <c r="U24" s="146"/>
      <c r="V24" s="146"/>
      <c r="Z24" s="40"/>
      <c r="AB24" s="40"/>
      <c r="AC24" s="119"/>
      <c r="AD24" s="85"/>
      <c r="AE24" s="653"/>
      <c r="AF24" s="208"/>
      <c r="AG24" s="184"/>
      <c r="AH24" s="184"/>
      <c r="AI24" s="184"/>
      <c r="AM24" s="40"/>
      <c r="AN24" s="40"/>
      <c r="AO24" s="40"/>
      <c r="AP24" s="119"/>
      <c r="AQ24" s="262"/>
      <c r="AR24" s="262"/>
      <c r="AS24" s="674"/>
      <c r="AT24" s="209"/>
      <c r="AU24" s="209"/>
    </row>
    <row r="25" spans="1:58" s="25" customFormat="1" x14ac:dyDescent="0.3">
      <c r="A25" s="488"/>
      <c r="B25" s="488"/>
      <c r="C25" s="488"/>
      <c r="D25" s="514"/>
      <c r="E25" s="488"/>
      <c r="F25" s="488"/>
      <c r="G25" s="488"/>
      <c r="H25" s="488"/>
      <c r="I25" s="761"/>
      <c r="J25" s="513"/>
      <c r="K25" s="514"/>
      <c r="L25" s="514"/>
      <c r="M25" s="514"/>
      <c r="N25" s="515"/>
      <c r="O25" s="515"/>
      <c r="P25" s="515" t="s">
        <v>790</v>
      </c>
      <c r="Q25" s="517">
        <f>AVERAGE(Q7:Q19)</f>
        <v>37.079931206307386</v>
      </c>
      <c r="R25" s="515"/>
      <c r="S25" s="515"/>
      <c r="T25" s="496">
        <f>AVERAGE(T18)</f>
        <v>37.079931206307386</v>
      </c>
      <c r="U25" s="496"/>
      <c r="V25" s="496"/>
      <c r="W25" s="496"/>
      <c r="X25" s="496"/>
      <c r="Y25" s="496"/>
      <c r="Z25" s="514"/>
      <c r="AA25" s="514"/>
      <c r="AB25" s="514"/>
      <c r="AC25" s="515" t="s">
        <v>790</v>
      </c>
      <c r="AD25" s="515"/>
      <c r="AE25" s="517">
        <f>AVERAGE(AE6:AE19,AE22:AE23)</f>
        <v>149.56637586120468</v>
      </c>
      <c r="AF25" s="515"/>
      <c r="AG25" s="496">
        <f>AVERAGE(AG6:AG18)</f>
        <v>139.9771272436243</v>
      </c>
      <c r="AH25" s="517"/>
      <c r="AI25" s="517"/>
      <c r="AJ25" s="517"/>
      <c r="AK25" s="517"/>
      <c r="AL25" s="517"/>
      <c r="AM25" s="514" t="s">
        <v>792</v>
      </c>
      <c r="AN25" s="514"/>
      <c r="AO25" s="514"/>
      <c r="AP25" s="515"/>
      <c r="AQ25" s="515"/>
      <c r="AR25" s="515"/>
      <c r="AS25" s="514"/>
      <c r="AT25" s="515"/>
      <c r="AU25" s="515"/>
      <c r="AV25" s="488"/>
      <c r="AW25" s="488"/>
      <c r="AX25" s="488"/>
      <c r="AY25" s="488"/>
      <c r="AZ25" s="488"/>
      <c r="BA25" s="488"/>
      <c r="BB25" s="510"/>
      <c r="BC25" s="510"/>
      <c r="BD25" s="510"/>
      <c r="BE25" s="488"/>
      <c r="BF25" s="488"/>
    </row>
    <row r="26" spans="1:58" s="1" customFormat="1" x14ac:dyDescent="0.3">
      <c r="A26" s="108"/>
      <c r="B26" s="108"/>
      <c r="C26" s="108"/>
      <c r="D26" s="72"/>
      <c r="E26" s="108"/>
      <c r="F26" s="108"/>
      <c r="G26" s="108"/>
      <c r="H26" s="108"/>
      <c r="I26" s="762"/>
      <c r="J26" s="516"/>
      <c r="K26" s="72"/>
      <c r="L26" s="72"/>
      <c r="M26" s="72"/>
      <c r="N26" s="339"/>
      <c r="O26" s="339"/>
      <c r="P26" s="339" t="s">
        <v>791</v>
      </c>
      <c r="Q26" s="425">
        <f>STDEV(Q7:Q19)</f>
        <v>12.874349611043328</v>
      </c>
      <c r="R26" s="339"/>
      <c r="S26" s="339"/>
      <c r="T26" s="143"/>
      <c r="U26" s="143"/>
      <c r="V26" s="143"/>
      <c r="W26" s="143"/>
      <c r="X26" s="143"/>
      <c r="Y26" s="143"/>
      <c r="Z26" s="72"/>
      <c r="AA26" s="72"/>
      <c r="AB26" s="72"/>
      <c r="AC26" s="339" t="s">
        <v>791</v>
      </c>
      <c r="AD26" s="72"/>
      <c r="AE26" s="425">
        <f>STDEV(AE6:AE19,AE22:AE23)</f>
        <v>131.47164651084577</v>
      </c>
      <c r="AF26" s="72"/>
      <c r="AG26" s="143">
        <f>STDEV(AG6:AG18)</f>
        <v>29.059811674177798</v>
      </c>
      <c r="AH26" s="425"/>
      <c r="AI26" s="425"/>
      <c r="AJ26" s="425"/>
      <c r="AK26" s="425"/>
      <c r="AL26" s="425"/>
      <c r="AM26" s="72" t="s">
        <v>791</v>
      </c>
      <c r="AN26" s="72"/>
      <c r="AO26" s="72"/>
      <c r="AP26" s="339"/>
      <c r="AQ26" s="72"/>
      <c r="AR26" s="72" t="s">
        <v>476</v>
      </c>
      <c r="AS26" s="72"/>
      <c r="AT26" s="72"/>
      <c r="AU26" s="72"/>
      <c r="AV26" s="108"/>
      <c r="AW26" s="108"/>
      <c r="AX26" s="108"/>
      <c r="AY26" s="108"/>
      <c r="AZ26" s="108"/>
      <c r="BA26" s="108"/>
      <c r="BB26" s="319"/>
      <c r="BC26" s="319"/>
      <c r="BD26" s="319"/>
      <c r="BE26" s="108"/>
      <c r="BF26" s="108"/>
    </row>
    <row r="27" spans="1:58" s="1" customFormat="1" x14ac:dyDescent="0.3">
      <c r="A27" s="108"/>
      <c r="B27" s="108"/>
      <c r="C27" s="108"/>
      <c r="D27" s="72"/>
      <c r="E27" s="108"/>
      <c r="F27" s="108"/>
      <c r="G27" s="108"/>
      <c r="H27" s="108"/>
      <c r="I27" s="72"/>
      <c r="J27" s="72"/>
      <c r="K27" s="72"/>
      <c r="L27" s="72"/>
      <c r="M27" s="72"/>
      <c r="N27" s="72"/>
      <c r="O27" s="339"/>
      <c r="P27" s="339" t="s">
        <v>800</v>
      </c>
      <c r="Q27" s="425">
        <f>MEDIAN(Q18:Q19)</f>
        <v>37.079931206307386</v>
      </c>
      <c r="R27" s="339"/>
      <c r="S27" s="339"/>
      <c r="T27" s="143">
        <f>MEDIAN(T18:T19)</f>
        <v>37.079931206307386</v>
      </c>
      <c r="U27" s="143"/>
      <c r="V27" s="143"/>
      <c r="W27" s="143"/>
      <c r="X27" s="143"/>
      <c r="Y27" s="143"/>
      <c r="Z27" s="72"/>
      <c r="AA27" s="72"/>
      <c r="AB27" s="72"/>
      <c r="AC27" s="72" t="s">
        <v>800</v>
      </c>
      <c r="AD27" s="72"/>
      <c r="AE27" s="425">
        <f>MEDIAN(AE6:AE23)</f>
        <v>100.35352959745303</v>
      </c>
      <c r="AF27" s="72"/>
      <c r="AG27" s="143">
        <f>MEDIAN(AG6:AG18)</f>
        <v>139.9771272436243</v>
      </c>
      <c r="AH27" s="425"/>
      <c r="AI27" s="425"/>
      <c r="AJ27" s="425"/>
      <c r="AK27" s="425"/>
      <c r="AL27" s="425"/>
      <c r="AM27" s="72" t="s">
        <v>800</v>
      </c>
      <c r="AN27" s="72"/>
      <c r="AO27" s="72"/>
      <c r="AP27" s="72"/>
      <c r="AQ27" s="72"/>
      <c r="AR27" s="72"/>
      <c r="AS27" s="72"/>
      <c r="AT27" s="72"/>
      <c r="AU27" s="72"/>
      <c r="AV27" s="108"/>
      <c r="AW27" s="108"/>
      <c r="AX27" s="108"/>
      <c r="AY27" s="108"/>
      <c r="AZ27" s="108"/>
      <c r="BA27" s="108"/>
      <c r="BB27" s="319"/>
      <c r="BC27" s="319"/>
      <c r="BD27" s="319"/>
      <c r="BE27" s="108"/>
      <c r="BF27" s="108"/>
    </row>
    <row r="28" spans="1:58" s="1" customFormat="1" x14ac:dyDescent="0.3">
      <c r="A28" s="108"/>
      <c r="B28" s="108"/>
      <c r="C28" s="108"/>
      <c r="D28" s="72"/>
      <c r="E28" s="108"/>
      <c r="F28" s="108"/>
      <c r="G28" s="108"/>
      <c r="H28" s="108"/>
      <c r="I28" s="72"/>
      <c r="J28" s="72"/>
      <c r="K28" s="72"/>
      <c r="L28" s="72"/>
      <c r="M28" s="72"/>
      <c r="N28" s="72"/>
      <c r="O28" s="339"/>
      <c r="P28" s="339" t="s">
        <v>789</v>
      </c>
      <c r="Q28" s="425">
        <f>COUNT(Q18:Q19)</f>
        <v>2</v>
      </c>
      <c r="R28" s="339"/>
      <c r="S28" s="339"/>
      <c r="T28" s="143">
        <v>1</v>
      </c>
      <c r="U28" s="143"/>
      <c r="V28" s="143"/>
      <c r="W28" s="143"/>
      <c r="X28" s="143"/>
      <c r="Y28" s="143"/>
      <c r="Z28" s="72"/>
      <c r="AA28" s="72"/>
      <c r="AB28" s="72"/>
      <c r="AC28" s="339" t="s">
        <v>789</v>
      </c>
      <c r="AD28" s="72"/>
      <c r="AE28" s="425">
        <f>COUNT(AE6:AE23)</f>
        <v>15</v>
      </c>
      <c r="AF28" s="72"/>
      <c r="AG28" s="425">
        <f>COUNT(AG6:AG18)</f>
        <v>2</v>
      </c>
      <c r="AH28" s="425"/>
      <c r="AI28" s="425"/>
      <c r="AJ28" s="425"/>
      <c r="AK28" s="425"/>
      <c r="AL28" s="425"/>
      <c r="AM28" s="72" t="s">
        <v>789</v>
      </c>
      <c r="AN28" s="72"/>
      <c r="AO28" s="72"/>
      <c r="AP28" s="72"/>
      <c r="AQ28" s="72"/>
      <c r="AR28" s="72"/>
      <c r="AS28" s="72"/>
      <c r="AT28" s="72"/>
      <c r="AU28" s="72"/>
      <c r="AV28" s="108"/>
      <c r="AW28" s="108"/>
      <c r="AX28" s="108"/>
      <c r="AY28" s="108"/>
      <c r="AZ28" s="108"/>
      <c r="BA28" s="108"/>
      <c r="BB28" s="319"/>
      <c r="BC28" s="319"/>
      <c r="BD28" s="319"/>
      <c r="BE28" s="108"/>
      <c r="BF28" s="108"/>
    </row>
    <row r="29" spans="1:58" s="1" customFormat="1" x14ac:dyDescent="0.3">
      <c r="A29" s="108"/>
      <c r="B29" s="108"/>
      <c r="C29" s="108"/>
      <c r="D29" s="72"/>
      <c r="E29" s="108"/>
      <c r="F29" s="108"/>
      <c r="G29" s="108"/>
      <c r="H29" s="108"/>
      <c r="I29" s="72"/>
      <c r="J29" s="72"/>
      <c r="K29" s="72"/>
      <c r="L29" s="72"/>
      <c r="M29" s="72"/>
      <c r="N29" s="72"/>
      <c r="O29" s="339"/>
      <c r="P29" s="339" t="s">
        <v>803</v>
      </c>
      <c r="Q29" s="425">
        <f>MIN(Q18:Q19)</f>
        <v>27.976391292972266</v>
      </c>
      <c r="R29" s="339"/>
      <c r="S29" s="339"/>
      <c r="T29" s="143"/>
      <c r="U29" s="143"/>
      <c r="V29" s="143"/>
      <c r="W29" s="143"/>
      <c r="X29" s="143"/>
      <c r="Y29" s="143"/>
      <c r="Z29" s="72"/>
      <c r="AA29" s="72"/>
      <c r="AB29" s="72"/>
      <c r="AC29" s="339" t="s">
        <v>787</v>
      </c>
      <c r="AD29" s="72"/>
      <c r="AE29" s="425">
        <f>MIN(AE6:AE23)</f>
        <v>53.804000808273074</v>
      </c>
      <c r="AF29" s="72"/>
      <c r="AG29" s="143">
        <f>MIN(AG6:AG18)</f>
        <v>119.42873734880908</v>
      </c>
      <c r="AH29" s="425"/>
      <c r="AI29" s="425"/>
      <c r="AJ29" s="425"/>
      <c r="AK29" s="425"/>
      <c r="AL29" s="425"/>
      <c r="AM29" s="72" t="s">
        <v>787</v>
      </c>
      <c r="AN29" s="72"/>
      <c r="AO29" s="72"/>
      <c r="AP29" s="72"/>
      <c r="AQ29" s="72"/>
      <c r="AR29" s="72"/>
      <c r="AS29" s="72"/>
      <c r="AT29" s="72"/>
      <c r="AU29" s="72"/>
      <c r="AV29" s="108"/>
      <c r="AW29" s="108"/>
      <c r="AX29" s="108"/>
      <c r="AY29" s="108"/>
      <c r="AZ29" s="108"/>
      <c r="BA29" s="108"/>
      <c r="BB29" s="319"/>
      <c r="BC29" s="319"/>
      <c r="BD29" s="319"/>
      <c r="BE29" s="108"/>
      <c r="BF29" s="108"/>
    </row>
    <row r="30" spans="1:58" s="1" customFormat="1" x14ac:dyDescent="0.3">
      <c r="A30" s="108"/>
      <c r="B30" s="108"/>
      <c r="C30" s="108"/>
      <c r="D30" s="72"/>
      <c r="E30" s="108"/>
      <c r="F30" s="108"/>
      <c r="G30" s="108"/>
      <c r="H30" s="108"/>
      <c r="I30" s="108"/>
      <c r="J30" s="108"/>
      <c r="K30" s="108"/>
      <c r="L30" s="108"/>
      <c r="M30" s="108"/>
      <c r="N30" s="108"/>
      <c r="O30" s="207"/>
      <c r="P30" s="207" t="s">
        <v>804</v>
      </c>
      <c r="Q30" s="176">
        <f>MAX(Q18:Q19)</f>
        <v>46.183471119642505</v>
      </c>
      <c r="R30" s="207"/>
      <c r="S30" s="207"/>
      <c r="T30" s="142"/>
      <c r="U30" s="142"/>
      <c r="V30" s="142"/>
      <c r="W30" s="143"/>
      <c r="X30" s="143"/>
      <c r="Y30" s="143"/>
      <c r="Z30" s="108"/>
      <c r="AA30" s="108"/>
      <c r="AB30" s="108"/>
      <c r="AC30" s="339" t="s">
        <v>788</v>
      </c>
      <c r="AD30" s="108"/>
      <c r="AE30" s="176">
        <f>MAX(AE6:AE24)</f>
        <v>576.22349252731146</v>
      </c>
      <c r="AF30" s="108"/>
      <c r="AG30" s="142">
        <f>MAX(AG6:AG19)</f>
        <v>160.52551713843948</v>
      </c>
      <c r="AH30" s="176"/>
      <c r="AI30" s="176"/>
      <c r="AJ30" s="425"/>
      <c r="AK30" s="425"/>
      <c r="AL30" s="425"/>
      <c r="AM30" s="72" t="s">
        <v>788</v>
      </c>
      <c r="AN30" s="108"/>
      <c r="AO30" s="108"/>
      <c r="AP30" s="108"/>
      <c r="AQ30" s="108"/>
      <c r="AR30" s="108"/>
      <c r="AS30" s="108"/>
      <c r="AT30" s="108"/>
      <c r="AU30" s="108"/>
      <c r="AV30" s="108"/>
      <c r="AW30" s="108"/>
      <c r="AX30" s="108"/>
      <c r="AY30" s="108"/>
      <c r="AZ30" s="108"/>
      <c r="BA30" s="108"/>
      <c r="BB30" s="319"/>
      <c r="BC30" s="319"/>
      <c r="BD30" s="319"/>
      <c r="BE30" s="108"/>
      <c r="BF30" s="108"/>
    </row>
    <row r="31" spans="1:58" x14ac:dyDescent="0.3">
      <c r="AE31" s="175"/>
    </row>
    <row r="32" spans="1:58" x14ac:dyDescent="0.3">
      <c r="AE32" s="175"/>
    </row>
    <row r="33" spans="17:31" x14ac:dyDescent="0.3">
      <c r="AE33" s="175"/>
    </row>
    <row r="34" spans="17:31" x14ac:dyDescent="0.3">
      <c r="Q34" s="103"/>
      <c r="AE34" s="175"/>
    </row>
    <row r="35" spans="17:31" x14ac:dyDescent="0.3">
      <c r="AD35" s="143"/>
      <c r="AE35" s="175"/>
    </row>
  </sheetData>
  <sheetProtection formatCells="0" formatColumns="0" formatRows="0" insertColumns="0" insertRows="0" insertHyperlinks="0" deleteColumns="0" deleteRows="0" sort="0"/>
  <mergeCells count="1">
    <mergeCell ref="A1:B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64"/>
  <sheetViews>
    <sheetView zoomScaleNormal="100" workbookViewId="0">
      <selection sqref="A1:B1"/>
    </sheetView>
  </sheetViews>
  <sheetFormatPr defaultRowHeight="14.4" x14ac:dyDescent="0.3"/>
  <cols>
    <col min="1" max="1" width="3.6640625" style="31" customWidth="1"/>
    <col min="2" max="2" width="20.109375" style="31" bestFit="1" customWidth="1"/>
    <col min="3" max="3" width="31.88671875" style="31" customWidth="1"/>
    <col min="4" max="4" width="37.44140625" style="32" bestFit="1" customWidth="1"/>
    <col min="5" max="5" width="49.33203125" style="31" customWidth="1"/>
    <col min="6" max="6" width="49.88671875" style="31" customWidth="1"/>
    <col min="7" max="8" width="12.33203125" style="31" customWidth="1"/>
    <col min="9" max="9" width="8.88671875" style="583" customWidth="1"/>
    <col min="10" max="10" width="9.33203125" style="92" bestFit="1" customWidth="1"/>
    <col min="11" max="11" width="8.88671875" style="31" customWidth="1"/>
    <col min="12" max="12" width="9.5546875" style="31" customWidth="1"/>
    <col min="13" max="13" width="11.44140625" style="31" customWidth="1"/>
    <col min="14" max="14" width="12.109375" style="31" customWidth="1"/>
    <col min="15" max="15" width="10.33203125" style="250" customWidth="1"/>
    <col min="16" max="16" width="12.6640625" style="247" bestFit="1" customWidth="1"/>
    <col min="17" max="17" width="9" style="583" customWidth="1"/>
    <col min="18" max="18" width="10.33203125" style="583" customWidth="1"/>
    <col min="19" max="19" width="12.6640625" style="583" bestFit="1" customWidth="1"/>
    <col min="20" max="22" width="10.33203125" style="412" customWidth="1"/>
    <col min="23" max="24" width="16" style="146" customWidth="1"/>
    <col min="25" max="25" width="29" style="146" customWidth="1"/>
    <col min="26" max="26" width="6.109375" style="31" customWidth="1"/>
    <col min="27" max="27" width="8.88671875" style="31"/>
    <col min="28" max="28" width="11.44140625" style="31" customWidth="1"/>
    <col min="29" max="29" width="10.33203125" style="31" customWidth="1"/>
    <col min="30" max="30" width="14.88671875" style="247" bestFit="1" customWidth="1"/>
    <col min="31" max="31" width="10.109375" style="583" customWidth="1"/>
    <col min="32" max="32" width="11.44140625" style="586" customWidth="1"/>
    <col min="33" max="35" width="10.109375" style="184" customWidth="1"/>
    <col min="36" max="38" width="16" style="157" customWidth="1"/>
    <col min="39" max="39" width="8.88671875" style="31"/>
    <col min="40" max="40" width="9.6640625" style="31" customWidth="1"/>
    <col min="41" max="42" width="11.44140625" style="31" customWidth="1"/>
    <col min="43" max="43" width="10.33203125" style="250" customWidth="1"/>
    <col min="44" max="44" width="12.6640625" style="250" bestFit="1" customWidth="1"/>
    <col min="45" max="45" width="9.88671875" style="583" customWidth="1"/>
    <col min="46" max="46" width="10.33203125" style="586" customWidth="1"/>
    <col min="47" max="47" width="12.6640625" style="586" bestFit="1" customWidth="1"/>
    <col min="48" max="50" width="10.33203125" style="412" customWidth="1"/>
    <col min="51" max="53" width="16" style="157" customWidth="1"/>
    <col min="54" max="54" width="31.33203125" style="185" customWidth="1"/>
    <col min="55" max="55" width="25.77734375" style="185" customWidth="1"/>
    <col min="56" max="56" width="9.109375" style="185"/>
    <col min="57" max="58" width="8.88671875" style="31"/>
  </cols>
  <sheetData>
    <row r="1" spans="1:58" x14ac:dyDescent="0.3">
      <c r="A1" s="899" t="s">
        <v>19</v>
      </c>
      <c r="B1" s="899"/>
      <c r="K1" s="108" t="s">
        <v>626</v>
      </c>
      <c r="O1" s="86" t="s">
        <v>601</v>
      </c>
      <c r="P1" s="87"/>
      <c r="Q1" s="583" t="s">
        <v>602</v>
      </c>
      <c r="R1" s="586"/>
      <c r="S1" s="586"/>
      <c r="T1" s="118"/>
      <c r="U1" s="118"/>
      <c r="V1" s="118"/>
      <c r="W1" s="587"/>
      <c r="X1" s="587"/>
      <c r="Y1" s="587"/>
      <c r="Z1" s="108" t="s">
        <v>89</v>
      </c>
      <c r="AD1" s="87" t="s">
        <v>601</v>
      </c>
      <c r="AE1" s="583" t="s">
        <v>602</v>
      </c>
      <c r="AG1" s="156"/>
      <c r="AH1" s="156"/>
      <c r="AI1" s="156"/>
      <c r="AJ1" s="587"/>
      <c r="AK1" s="587"/>
      <c r="AL1" s="587"/>
      <c r="AM1" s="108" t="s">
        <v>627</v>
      </c>
      <c r="AQ1" s="86" t="s">
        <v>601</v>
      </c>
      <c r="AR1" s="86"/>
      <c r="AS1" s="583" t="s">
        <v>602</v>
      </c>
      <c r="AV1" s="118"/>
      <c r="AW1" s="118"/>
      <c r="AX1" s="118"/>
      <c r="AY1" s="587"/>
      <c r="AZ1" s="587"/>
      <c r="BA1" s="587"/>
    </row>
    <row r="2" spans="1:58" x14ac:dyDescent="0.3">
      <c r="G2" s="584"/>
      <c r="H2" s="584"/>
      <c r="K2" s="108"/>
      <c r="O2" s="588" t="s">
        <v>603</v>
      </c>
      <c r="P2" s="589"/>
      <c r="Q2" s="590" t="s">
        <v>603</v>
      </c>
      <c r="R2" s="590" t="s">
        <v>603</v>
      </c>
      <c r="S2" s="590"/>
      <c r="T2" s="591" t="s">
        <v>801</v>
      </c>
      <c r="U2" s="591"/>
      <c r="V2" s="591"/>
      <c r="W2" s="592"/>
      <c r="X2" s="592"/>
      <c r="Y2" s="592"/>
      <c r="AD2" s="589"/>
      <c r="AF2" s="590"/>
      <c r="AG2" s="593" t="s">
        <v>801</v>
      </c>
      <c r="AH2" s="593"/>
      <c r="AI2" s="593"/>
      <c r="AJ2" s="592"/>
      <c r="AK2" s="592"/>
      <c r="AL2" s="592"/>
      <c r="AM2" s="108"/>
      <c r="AQ2" s="588" t="s">
        <v>604</v>
      </c>
      <c r="AR2" s="588"/>
      <c r="AS2" s="590" t="s">
        <v>604</v>
      </c>
      <c r="AT2" s="590" t="s">
        <v>604</v>
      </c>
      <c r="AU2" s="590"/>
      <c r="AV2" s="591" t="s">
        <v>801</v>
      </c>
      <c r="AW2" s="591"/>
      <c r="AX2" s="591"/>
      <c r="AY2" s="592"/>
      <c r="AZ2" s="592"/>
      <c r="BA2" s="592"/>
    </row>
    <row r="3" spans="1:58" ht="43.2" x14ac:dyDescent="0.3">
      <c r="B3" s="108" t="s">
        <v>1</v>
      </c>
      <c r="C3" s="108" t="s">
        <v>2</v>
      </c>
      <c r="D3" s="378" t="s">
        <v>930</v>
      </c>
      <c r="E3" s="108" t="s">
        <v>5</v>
      </c>
      <c r="F3" s="108" t="s">
        <v>7</v>
      </c>
      <c r="G3" s="594" t="s">
        <v>1176</v>
      </c>
      <c r="H3" s="594" t="s">
        <v>1176</v>
      </c>
      <c r="I3" s="595" t="s">
        <v>593</v>
      </c>
      <c r="J3" s="533"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row>
    <row r="4" spans="1:58" x14ac:dyDescent="0.3">
      <c r="G4" s="33" t="s">
        <v>85</v>
      </c>
      <c r="H4" s="33" t="s">
        <v>522</v>
      </c>
      <c r="I4" s="595"/>
      <c r="J4" s="601" t="s">
        <v>595</v>
      </c>
      <c r="L4" s="31" t="s">
        <v>88</v>
      </c>
      <c r="O4" s="86" t="s">
        <v>596</v>
      </c>
      <c r="P4" s="87" t="s">
        <v>597</v>
      </c>
      <c r="Q4" s="583" t="s">
        <v>88</v>
      </c>
      <c r="R4" s="586" t="s">
        <v>596</v>
      </c>
      <c r="S4" s="586" t="s">
        <v>597</v>
      </c>
      <c r="T4" s="117" t="s">
        <v>88</v>
      </c>
      <c r="U4" s="117" t="s">
        <v>88</v>
      </c>
      <c r="V4" s="117" t="s">
        <v>88</v>
      </c>
      <c r="W4" s="592"/>
      <c r="X4" s="592"/>
      <c r="Y4" s="592"/>
      <c r="AA4" s="31" t="s">
        <v>88</v>
      </c>
      <c r="AD4" s="87" t="s">
        <v>596</v>
      </c>
      <c r="AE4" s="583" t="s">
        <v>88</v>
      </c>
      <c r="AF4" s="586" t="s">
        <v>596</v>
      </c>
      <c r="AG4" s="292" t="s">
        <v>88</v>
      </c>
      <c r="AH4" s="292" t="s">
        <v>88</v>
      </c>
      <c r="AI4" s="292" t="s">
        <v>88</v>
      </c>
      <c r="AJ4" s="602"/>
      <c r="AK4" s="602"/>
      <c r="AL4" s="602"/>
      <c r="AN4" s="31" t="s">
        <v>88</v>
      </c>
      <c r="AQ4" s="86" t="s">
        <v>596</v>
      </c>
      <c r="AR4" s="86" t="s">
        <v>597</v>
      </c>
      <c r="AS4" s="583" t="s">
        <v>88</v>
      </c>
      <c r="AT4" s="586" t="s">
        <v>596</v>
      </c>
      <c r="AU4" s="586" t="s">
        <v>597</v>
      </c>
      <c r="AV4" s="302" t="s">
        <v>88</v>
      </c>
      <c r="AW4" s="302" t="s">
        <v>88</v>
      </c>
      <c r="AX4" s="302" t="s">
        <v>88</v>
      </c>
      <c r="AY4" s="602"/>
      <c r="AZ4" s="602"/>
      <c r="BA4" s="648"/>
      <c r="BB4" s="319"/>
      <c r="BC4" s="192"/>
      <c r="BD4" s="603"/>
    </row>
    <row r="5" spans="1:58" x14ac:dyDescent="0.3">
      <c r="A5" s="242"/>
      <c r="B5" s="57"/>
      <c r="C5" s="57"/>
      <c r="D5" s="438"/>
      <c r="E5" s="442"/>
      <c r="F5" s="57"/>
      <c r="W5" s="153"/>
      <c r="X5" s="153"/>
      <c r="Y5" s="153"/>
    </row>
    <row r="6" spans="1:58" x14ac:dyDescent="0.3">
      <c r="A6" s="242">
        <v>1</v>
      </c>
      <c r="B6" s="518" t="s">
        <v>76</v>
      </c>
      <c r="C6" s="518" t="s">
        <v>20</v>
      </c>
      <c r="D6" s="438" t="s">
        <v>911</v>
      </c>
      <c r="E6" s="545" t="s">
        <v>67</v>
      </c>
      <c r="F6" s="57" t="s">
        <v>194</v>
      </c>
      <c r="G6" s="374">
        <v>25</v>
      </c>
      <c r="H6" s="31">
        <f t="shared" ref="H6:H14" si="0">G6+273.15</f>
        <v>298.14999999999998</v>
      </c>
      <c r="I6" s="219">
        <f t="shared" ref="I6:I14" si="1">-LOG10(EXP(LN(10^-14)+13.36*(1/298.15-1/H6)/0.0019872))</f>
        <v>14</v>
      </c>
      <c r="J6" s="92">
        <v>22.66</v>
      </c>
      <c r="P6" s="250"/>
      <c r="Q6" s="653"/>
      <c r="R6" s="209"/>
      <c r="S6" s="209"/>
      <c r="T6" s="887">
        <f>Q10</f>
        <v>243.92496207991482</v>
      </c>
      <c r="W6" s="153"/>
      <c r="X6" s="153"/>
      <c r="Y6" s="153"/>
      <c r="Z6" s="31">
        <v>7</v>
      </c>
      <c r="AA6" s="31">
        <v>13.9</v>
      </c>
      <c r="AC6" s="31" t="s">
        <v>605</v>
      </c>
      <c r="AD6" s="250">
        <f>(LN(2)/AA6)/(60*60*24)</f>
        <v>5.7716092172923763E-7</v>
      </c>
      <c r="AE6" s="653">
        <f>(LN(2)/AF6)/(60*60*24)</f>
        <v>13.899999999999995</v>
      </c>
      <c r="AF6" s="209">
        <f>EXP(LN(AD6)+$J6*(1/$H6-1/298.15)/0.001972)</f>
        <v>5.7716092172923795E-7</v>
      </c>
      <c r="AG6" s="412">
        <f>AVERAGE(AE6:AE12)</f>
        <v>22.195138888888891</v>
      </c>
      <c r="AH6" s="412">
        <f>MEDIAN(AE6:AE12)</f>
        <v>24.956249999999983</v>
      </c>
      <c r="AI6" s="412">
        <f>STDEV(AE6:AE12)</f>
        <v>6.2223937073343381</v>
      </c>
      <c r="AJ6" s="146"/>
      <c r="AK6" s="146"/>
      <c r="AL6" s="146" t="s">
        <v>1089</v>
      </c>
      <c r="AM6" s="31">
        <v>9</v>
      </c>
      <c r="AP6" s="31" t="s">
        <v>605</v>
      </c>
      <c r="AS6" s="653"/>
      <c r="AT6" s="209"/>
      <c r="AU6" s="209"/>
      <c r="AY6" s="146"/>
      <c r="AZ6" s="146"/>
      <c r="BA6" s="146" t="s">
        <v>1089</v>
      </c>
      <c r="BB6" s="185" t="s">
        <v>114</v>
      </c>
      <c r="BC6" s="185" t="s">
        <v>115</v>
      </c>
    </row>
    <row r="7" spans="1:58" x14ac:dyDescent="0.3">
      <c r="A7" s="242"/>
      <c r="B7" s="57"/>
      <c r="C7" s="57"/>
      <c r="D7" s="438"/>
      <c r="E7" s="519"/>
      <c r="F7" s="57"/>
      <c r="G7" s="374">
        <v>25</v>
      </c>
      <c r="H7" s="31">
        <f t="shared" si="0"/>
        <v>298.14999999999998</v>
      </c>
      <c r="I7" s="219">
        <f t="shared" si="1"/>
        <v>14</v>
      </c>
      <c r="J7" s="92">
        <v>22.66</v>
      </c>
      <c r="P7" s="250"/>
      <c r="Q7" s="653"/>
      <c r="R7" s="209"/>
      <c r="S7" s="209"/>
      <c r="W7" s="153"/>
      <c r="X7" s="153"/>
      <c r="Y7" s="153"/>
      <c r="Z7" s="31">
        <v>7</v>
      </c>
      <c r="AA7" s="31">
        <v>14.9</v>
      </c>
      <c r="AC7" s="31" t="s">
        <v>605</v>
      </c>
      <c r="AD7" s="250">
        <f>(LN(2)/AA7)/(60*60*24)</f>
        <v>5.3842528939841629E-7</v>
      </c>
      <c r="AE7" s="653">
        <f>(LN(2)/AF7)/(60*60*24)</f>
        <v>14.900000000000011</v>
      </c>
      <c r="AF7" s="209">
        <f>EXP(LN(AD7)+$J7*(1/$H7-1/298.15)/0.001972)</f>
        <v>5.3842528939841597E-7</v>
      </c>
      <c r="AM7" s="31">
        <v>9</v>
      </c>
      <c r="AP7" s="31" t="s">
        <v>605</v>
      </c>
      <c r="AS7" s="653"/>
      <c r="AT7" s="209"/>
      <c r="AU7" s="209"/>
    </row>
    <row r="8" spans="1:58" x14ac:dyDescent="0.3">
      <c r="A8" s="242"/>
      <c r="B8" s="57"/>
      <c r="C8" s="57"/>
      <c r="D8" s="438"/>
      <c r="E8" s="519"/>
      <c r="F8" s="57"/>
      <c r="G8" s="374">
        <v>25</v>
      </c>
      <c r="H8" s="31">
        <f t="shared" si="0"/>
        <v>298.14999999999998</v>
      </c>
      <c r="I8" s="219">
        <f t="shared" si="1"/>
        <v>14</v>
      </c>
      <c r="J8" s="92">
        <v>22.66</v>
      </c>
      <c r="P8" s="250"/>
      <c r="Q8" s="653"/>
      <c r="R8" s="209"/>
      <c r="S8" s="209"/>
      <c r="W8" s="402"/>
      <c r="X8" s="402"/>
      <c r="Y8" s="402"/>
      <c r="Z8" s="31">
        <v>5</v>
      </c>
      <c r="AA8" s="31">
        <v>28.9</v>
      </c>
      <c r="AC8" s="31" t="s">
        <v>605</v>
      </c>
      <c r="AD8" s="250">
        <f>(LN(2)/AA8)/(60*60*24)</f>
        <v>2.7759642948222852E-7</v>
      </c>
      <c r="AE8" s="653">
        <f>(LN(2)/AF8)/(60*60*24)</f>
        <v>28.900000000000006</v>
      </c>
      <c r="AF8" s="209">
        <f>EXP(LN(AD8)+$J8*(1/$H8-1/298.15)/0.001972)</f>
        <v>2.7759642948222847E-7</v>
      </c>
      <c r="AS8" s="653"/>
      <c r="AT8" s="209"/>
      <c r="AU8" s="209"/>
    </row>
    <row r="9" spans="1:58" x14ac:dyDescent="0.3">
      <c r="A9" s="242"/>
      <c r="B9" s="57"/>
      <c r="C9" s="57"/>
      <c r="D9" s="438"/>
      <c r="E9" s="520"/>
      <c r="F9" s="57"/>
      <c r="G9" s="374">
        <v>25</v>
      </c>
      <c r="H9" s="31">
        <f t="shared" si="0"/>
        <v>298.14999999999998</v>
      </c>
      <c r="I9" s="219">
        <f t="shared" si="1"/>
        <v>14</v>
      </c>
      <c r="J9" s="92">
        <v>22.66</v>
      </c>
      <c r="P9" s="250"/>
      <c r="Q9" s="653"/>
      <c r="R9" s="209"/>
      <c r="S9" s="209"/>
      <c r="W9" s="402"/>
      <c r="X9" s="402"/>
      <c r="Y9" s="402"/>
      <c r="Z9" s="31">
        <v>5</v>
      </c>
      <c r="AA9" s="31">
        <v>24.8</v>
      </c>
      <c r="AC9" s="31" t="s">
        <v>605</v>
      </c>
      <c r="AD9" s="250">
        <f>(LN(2)/AA9)/(60*60*24)</f>
        <v>3.2348938758211306E-7</v>
      </c>
      <c r="AE9" s="653">
        <f>(LN(2)/AF9)/(60*60*24)</f>
        <v>24.799999999999983</v>
      </c>
      <c r="AF9" s="209">
        <f>EXP(LN(AD9)+$J9*(1/$H9-1/298.15)/0.001972)</f>
        <v>3.2348938758211327E-7</v>
      </c>
      <c r="AS9" s="653"/>
      <c r="AT9" s="209"/>
      <c r="AU9" s="209"/>
      <c r="BB9" s="185" t="s">
        <v>114</v>
      </c>
      <c r="BC9" s="185" t="s">
        <v>115</v>
      </c>
    </row>
    <row r="10" spans="1:58" ht="57.6" x14ac:dyDescent="0.3">
      <c r="A10" s="242"/>
      <c r="B10" s="57"/>
      <c r="C10" s="57"/>
      <c r="D10" s="438"/>
      <c r="E10" s="31" t="s">
        <v>946</v>
      </c>
      <c r="F10" s="269" t="s">
        <v>949</v>
      </c>
      <c r="G10" s="31">
        <v>25</v>
      </c>
      <c r="H10" s="31">
        <f t="shared" si="0"/>
        <v>298.14999999999998</v>
      </c>
      <c r="I10" s="219">
        <f t="shared" si="1"/>
        <v>14</v>
      </c>
      <c r="J10" s="129">
        <f>80.7/4.184</f>
        <v>19.287762906309752</v>
      </c>
      <c r="K10" s="31">
        <v>3.1</v>
      </c>
      <c r="L10" s="129">
        <f>73.7/24</f>
        <v>3.0708333333333333</v>
      </c>
      <c r="N10" s="31" t="s">
        <v>605</v>
      </c>
      <c r="O10" s="250">
        <f>(LN(2)/L10)/(60*60*24)*10^(K10-5)</f>
        <v>3.2889363776586558E-8</v>
      </c>
      <c r="P10" s="250">
        <f>O10*10^5</f>
        <v>3.2889363776586558E-3</v>
      </c>
      <c r="Q10" s="653">
        <f>(LN(2)/R10)/(60*60*24)</f>
        <v>243.92496207991482</v>
      </c>
      <c r="R10" s="209">
        <f>S10*10^-5</f>
        <v>3.2889363776586571E-8</v>
      </c>
      <c r="S10" s="209">
        <f>EXP(LN(P10)+$J10*(1/$H10-1/298.15)/0.0019872)</f>
        <v>3.2889363776586571E-3</v>
      </c>
      <c r="X10" s="402"/>
      <c r="Y10" s="402" t="s">
        <v>976</v>
      </c>
      <c r="AD10" s="250"/>
      <c r="AE10" s="653"/>
      <c r="AF10" s="209"/>
      <c r="AS10" s="653"/>
      <c r="AT10" s="209"/>
      <c r="AU10" s="209"/>
    </row>
    <row r="11" spans="1:58" x14ac:dyDescent="0.3">
      <c r="A11" s="242"/>
      <c r="B11" s="57"/>
      <c r="C11" s="57"/>
      <c r="D11" s="438"/>
      <c r="E11" s="521"/>
      <c r="F11" s="57" t="s">
        <v>963</v>
      </c>
      <c r="G11" s="31">
        <v>25</v>
      </c>
      <c r="H11" s="31">
        <f t="shared" si="0"/>
        <v>298.14999999999998</v>
      </c>
      <c r="I11" s="219">
        <f t="shared" si="1"/>
        <v>14</v>
      </c>
      <c r="J11" s="279">
        <v>22.66</v>
      </c>
      <c r="P11" s="250"/>
      <c r="Q11" s="653"/>
      <c r="R11" s="209"/>
      <c r="S11" s="209"/>
      <c r="W11" s="153"/>
      <c r="X11" s="153"/>
      <c r="Y11" s="153"/>
      <c r="Z11" s="31">
        <v>5</v>
      </c>
      <c r="AA11" s="129">
        <f>602.7/24</f>
        <v>25.112500000000001</v>
      </c>
      <c r="AC11" s="31" t="s">
        <v>605</v>
      </c>
      <c r="AD11" s="250">
        <f>(LN(2)/AA11)/(60*60*24)</f>
        <v>3.1946388499896084E-7</v>
      </c>
      <c r="AE11" s="653">
        <f>(LN(2)/AF11)/(60*60*24)</f>
        <v>25.112499999999979</v>
      </c>
      <c r="AF11" s="209">
        <f>EXP(LN(AD11)+$J11*(1/$H11-1/298.15)/0.001972)</f>
        <v>3.194638849989611E-7</v>
      </c>
      <c r="AS11" s="653"/>
      <c r="AT11" s="209"/>
      <c r="AU11" s="209"/>
    </row>
    <row r="12" spans="1:58" x14ac:dyDescent="0.3">
      <c r="A12" s="242"/>
      <c r="B12" s="57"/>
      <c r="C12" s="57"/>
      <c r="D12" s="438"/>
      <c r="E12" s="520"/>
      <c r="F12" s="57"/>
      <c r="G12" s="31">
        <v>25</v>
      </c>
      <c r="H12" s="31">
        <f t="shared" si="0"/>
        <v>298.14999999999998</v>
      </c>
      <c r="I12" s="219">
        <f t="shared" si="1"/>
        <v>14</v>
      </c>
      <c r="J12" s="92">
        <v>22.66</v>
      </c>
      <c r="P12" s="250"/>
      <c r="Q12" s="653"/>
      <c r="R12" s="209"/>
      <c r="S12" s="209"/>
      <c r="W12" s="153"/>
      <c r="X12" s="153"/>
      <c r="Y12" s="153"/>
      <c r="Z12" s="31">
        <v>6.9</v>
      </c>
      <c r="AA12" s="129">
        <f>613.4/24</f>
        <v>25.558333333333334</v>
      </c>
      <c r="AC12" s="31" t="s">
        <v>605</v>
      </c>
      <c r="AD12" s="250">
        <f>(LN(2)/AA12)/(60*60*24)</f>
        <v>3.1389123490197859E-7</v>
      </c>
      <c r="AE12" s="653">
        <f>(LN(2)/AF12)/(60*60*24)</f>
        <v>25.558333333333355</v>
      </c>
      <c r="AF12" s="209">
        <f>EXP(LN(AD12)+$J12*(1/$H12-1/298.15)/0.001972)</f>
        <v>3.1389123490197838E-7</v>
      </c>
      <c r="AS12" s="653"/>
      <c r="AT12" s="209"/>
      <c r="AU12" s="209"/>
    </row>
    <row r="13" spans="1:58" x14ac:dyDescent="0.3">
      <c r="A13" s="242"/>
      <c r="B13" s="57"/>
      <c r="C13" s="57"/>
      <c r="D13" s="438"/>
      <c r="E13" s="520"/>
      <c r="F13" s="518" t="s">
        <v>1115</v>
      </c>
      <c r="G13" s="31">
        <v>25</v>
      </c>
      <c r="H13" s="31">
        <f t="shared" si="0"/>
        <v>298.14999999999998</v>
      </c>
      <c r="I13" s="219">
        <f t="shared" si="1"/>
        <v>14</v>
      </c>
      <c r="J13" s="129">
        <f>84.4/4.184</f>
        <v>20.172084130019122</v>
      </c>
      <c r="P13" s="250"/>
      <c r="Q13" s="653"/>
      <c r="R13" s="209"/>
      <c r="S13" s="209"/>
      <c r="W13" s="402"/>
      <c r="X13" s="402"/>
      <c r="Y13" s="402"/>
      <c r="AD13" s="250"/>
      <c r="AE13" s="653"/>
      <c r="AF13" s="209"/>
      <c r="AL13" s="157" t="s">
        <v>976</v>
      </c>
      <c r="AM13" s="31">
        <v>9</v>
      </c>
      <c r="AP13" s="31" t="s">
        <v>605</v>
      </c>
      <c r="AS13" s="653"/>
      <c r="AT13" s="209"/>
      <c r="AU13" s="209"/>
      <c r="BA13" s="157" t="s">
        <v>1090</v>
      </c>
    </row>
    <row r="14" spans="1:58" x14ac:dyDescent="0.3">
      <c r="A14" s="242"/>
      <c r="B14" s="57"/>
      <c r="C14" s="57"/>
      <c r="D14" s="438"/>
      <c r="E14" s="520"/>
      <c r="F14" s="57"/>
      <c r="G14" s="31">
        <v>25</v>
      </c>
      <c r="H14" s="31">
        <f t="shared" si="0"/>
        <v>298.14999999999998</v>
      </c>
      <c r="I14" s="219">
        <f t="shared" si="1"/>
        <v>14</v>
      </c>
      <c r="J14" s="129">
        <f>84.4/4.184</f>
        <v>20.172084130019122</v>
      </c>
      <c r="P14" s="250"/>
      <c r="Q14" s="653"/>
      <c r="R14" s="209"/>
      <c r="S14" s="209"/>
      <c r="W14" s="402"/>
      <c r="X14" s="402"/>
      <c r="Y14" s="402"/>
      <c r="AD14" s="250"/>
      <c r="AE14" s="653"/>
      <c r="AF14" s="209"/>
      <c r="AM14" s="31">
        <v>9.8000000000000007</v>
      </c>
      <c r="AP14" s="31" t="s">
        <v>605</v>
      </c>
      <c r="AS14" s="653"/>
      <c r="AT14" s="209"/>
      <c r="AU14" s="209"/>
    </row>
    <row r="15" spans="1:58" s="7" customFormat="1" ht="15" thickBot="1" x14ac:dyDescent="0.35">
      <c r="A15" s="522"/>
      <c r="B15" s="523"/>
      <c r="C15" s="523"/>
      <c r="D15" s="524"/>
      <c r="E15" s="525"/>
      <c r="F15" s="523"/>
      <c r="G15" s="54"/>
      <c r="H15" s="54"/>
      <c r="I15" s="691"/>
      <c r="J15" s="100"/>
      <c r="K15" s="54"/>
      <c r="L15" s="54"/>
      <c r="M15" s="54"/>
      <c r="N15" s="54"/>
      <c r="O15" s="528"/>
      <c r="P15" s="528"/>
      <c r="Q15" s="764"/>
      <c r="R15" s="224"/>
      <c r="S15" s="224"/>
      <c r="T15" s="534"/>
      <c r="U15" s="534"/>
      <c r="V15" s="534"/>
      <c r="W15" s="535"/>
      <c r="X15" s="402"/>
      <c r="Y15" s="402"/>
      <c r="Z15" s="54"/>
      <c r="AA15" s="54"/>
      <c r="AB15" s="54"/>
      <c r="AC15" s="54"/>
      <c r="AD15" s="528"/>
      <c r="AE15" s="764"/>
      <c r="AF15" s="224"/>
      <c r="AG15" s="541"/>
      <c r="AH15" s="541"/>
      <c r="AI15" s="541"/>
      <c r="AJ15" s="167"/>
      <c r="AK15" s="167"/>
      <c r="AL15" s="167"/>
      <c r="AM15" s="54"/>
      <c r="AN15" s="54"/>
      <c r="AO15" s="54"/>
      <c r="AP15" s="54"/>
      <c r="AQ15" s="528"/>
      <c r="AR15" s="528"/>
      <c r="AS15" s="764"/>
      <c r="AT15" s="224"/>
      <c r="AU15" s="224"/>
      <c r="AV15" s="534"/>
      <c r="AW15" s="534"/>
      <c r="AX15" s="534"/>
      <c r="AY15" s="167"/>
      <c r="AZ15" s="167"/>
      <c r="BA15" s="167"/>
      <c r="BB15" s="189"/>
      <c r="BC15" s="189"/>
      <c r="BD15" s="189"/>
      <c r="BE15" s="54"/>
      <c r="BF15" s="54"/>
    </row>
    <row r="16" spans="1:58" ht="15" thickTop="1" x14ac:dyDescent="0.3">
      <c r="A16" s="242">
        <v>2</v>
      </c>
      <c r="B16" s="57" t="s">
        <v>83</v>
      </c>
      <c r="C16" s="57" t="s">
        <v>21</v>
      </c>
      <c r="D16" s="438" t="s">
        <v>912</v>
      </c>
      <c r="E16" s="526" t="s">
        <v>68</v>
      </c>
      <c r="F16" s="57" t="s">
        <v>118</v>
      </c>
      <c r="G16" s="31">
        <v>25</v>
      </c>
      <c r="H16" s="31">
        <f>G16+273.15</f>
        <v>298.14999999999998</v>
      </c>
      <c r="I16" s="219">
        <f>-LOG10(EXP(LN(10^-14)+13.36*(1/298.15-1/H16)/0.0019872))</f>
        <v>14</v>
      </c>
      <c r="J16" s="92">
        <v>22.66</v>
      </c>
      <c r="P16" s="250"/>
      <c r="Q16" s="653"/>
      <c r="R16" s="209"/>
      <c r="S16" s="209"/>
      <c r="T16" s="412">
        <f>AVERAGE(Q18:Q20)</f>
        <v>50.3162565034011</v>
      </c>
      <c r="U16" s="412">
        <f>MEDIAN(Q18:Q20)</f>
        <v>51.238990787535904</v>
      </c>
      <c r="V16" s="412">
        <f>STDEV(Q16:Q20)</f>
        <v>2.8177101786926029</v>
      </c>
      <c r="W16" s="536" t="s">
        <v>1091</v>
      </c>
      <c r="X16" s="537"/>
      <c r="Y16" s="537" t="s">
        <v>976</v>
      </c>
      <c r="Z16" s="31">
        <v>7</v>
      </c>
      <c r="AA16" s="31">
        <f>381/24</f>
        <v>15.875</v>
      </c>
      <c r="AC16" s="31" t="s">
        <v>605</v>
      </c>
      <c r="AD16" s="250">
        <f>(LN(2)/AA16)/(60*60*24)</f>
        <v>5.0535664957709629E-7</v>
      </c>
      <c r="AE16" s="653">
        <f>(LN(2)/AF16)/(60*60*24)</f>
        <v>15.875000000000011</v>
      </c>
      <c r="AF16" s="209">
        <f>EXP(LN(AD16)+$J16*(1/$H16-1/298.15)/0.001972)</f>
        <v>5.0535664957709598E-7</v>
      </c>
      <c r="AG16" s="412">
        <f>AVERAGE(AE16:AE21)</f>
        <v>196.78139137907445</v>
      </c>
      <c r="AH16" s="412">
        <f>MEDIAN(AE16:AE21)</f>
        <v>207.48161597130459</v>
      </c>
      <c r="AI16" s="412">
        <f>STDEV(AE16:AE21)</f>
        <v>175.8006775589817</v>
      </c>
      <c r="AM16" s="31">
        <v>9</v>
      </c>
      <c r="AN16" s="31" t="s">
        <v>117</v>
      </c>
      <c r="AP16" s="31" t="s">
        <v>605</v>
      </c>
      <c r="AS16" s="653"/>
      <c r="AT16" s="209"/>
      <c r="AU16" s="209"/>
    </row>
    <row r="17" spans="1:58" x14ac:dyDescent="0.3">
      <c r="A17" s="242"/>
      <c r="B17" s="57"/>
      <c r="C17" s="57"/>
      <c r="D17" s="438"/>
      <c r="E17" s="807"/>
      <c r="F17" s="790"/>
      <c r="G17" s="791"/>
      <c r="I17" s="219"/>
      <c r="J17" s="794"/>
      <c r="K17" s="791"/>
      <c r="L17" s="791"/>
      <c r="M17" s="791"/>
      <c r="N17" s="791"/>
      <c r="O17" s="796"/>
      <c r="P17" s="796"/>
      <c r="Q17" s="797"/>
      <c r="R17" s="798"/>
      <c r="S17" s="798"/>
      <c r="T17" s="808"/>
      <c r="U17" s="808"/>
      <c r="V17" s="808"/>
      <c r="W17" s="809"/>
      <c r="X17" s="402"/>
      <c r="Y17" s="402"/>
      <c r="AD17" s="250"/>
      <c r="AE17" s="653"/>
      <c r="AF17" s="209"/>
      <c r="AG17" s="253"/>
      <c r="AM17" s="31">
        <v>9</v>
      </c>
      <c r="AN17" s="31" t="s">
        <v>116</v>
      </c>
      <c r="AS17" s="653"/>
      <c r="AT17" s="209"/>
      <c r="AU17" s="209"/>
    </row>
    <row r="18" spans="1:58" s="4" customFormat="1" x14ac:dyDescent="0.3">
      <c r="A18" s="348"/>
      <c r="B18" s="34"/>
      <c r="C18" s="34"/>
      <c r="D18" s="35"/>
      <c r="E18" s="823" t="s">
        <v>1266</v>
      </c>
      <c r="F18" s="34"/>
      <c r="G18" s="115">
        <v>25</v>
      </c>
      <c r="H18" s="31">
        <f t="shared" ref="H18:H21" si="2">G18+273.15</f>
        <v>298.14999999999998</v>
      </c>
      <c r="I18" s="219">
        <f t="shared" ref="I18:I21" si="3">-LOG10(EXP(LN(10^-14)+13.36*(1/298.15-1/H18)/0.0019872))</f>
        <v>14</v>
      </c>
      <c r="J18" s="279">
        <v>22.66</v>
      </c>
      <c r="K18" s="115">
        <v>4</v>
      </c>
      <c r="L18" s="115"/>
      <c r="M18" s="115">
        <v>0.14699999999999999</v>
      </c>
      <c r="N18" s="115" t="s">
        <v>599</v>
      </c>
      <c r="O18" s="250">
        <f>M18/(60*60*24)*10^(K18-5)</f>
        <v>1.7013888888888887E-7</v>
      </c>
      <c r="P18" s="250">
        <f>O18*10^5</f>
        <v>1.7013888888888887E-2</v>
      </c>
      <c r="Q18" s="653">
        <f>(LN(2)/R18)/(60*60*24)</f>
        <v>47.152869425846617</v>
      </c>
      <c r="R18" s="209">
        <f>S18*10^-5</f>
        <v>1.701388888888889E-7</v>
      </c>
      <c r="S18" s="209">
        <f>EXP(LN(P18)+$J18*(1/$H18-1/298.15)/0.0019872)</f>
        <v>1.7013888888888887E-2</v>
      </c>
      <c r="T18" s="343"/>
      <c r="U18" s="343"/>
      <c r="V18" s="343"/>
      <c r="W18" s="402"/>
      <c r="X18" s="402"/>
      <c r="Y18" s="402"/>
      <c r="Z18" s="115"/>
      <c r="AA18" s="115"/>
      <c r="AB18" s="115"/>
      <c r="AC18" s="115"/>
      <c r="AD18" s="280"/>
      <c r="AE18" s="669"/>
      <c r="AF18" s="670"/>
      <c r="AG18" s="824"/>
      <c r="AH18" s="413"/>
      <c r="AI18" s="413"/>
      <c r="AJ18" s="174"/>
      <c r="AK18" s="174"/>
      <c r="AL18" s="174"/>
      <c r="AM18" s="115"/>
      <c r="AN18" s="115"/>
      <c r="AO18" s="115"/>
      <c r="AP18" s="115"/>
      <c r="AQ18" s="280"/>
      <c r="AR18" s="280"/>
      <c r="AS18" s="669"/>
      <c r="AT18" s="670"/>
      <c r="AU18" s="670"/>
      <c r="AV18" s="343"/>
      <c r="AW18" s="343"/>
      <c r="AX18" s="343"/>
      <c r="AY18" s="174"/>
      <c r="AZ18" s="174"/>
      <c r="BA18" s="174"/>
      <c r="BB18" s="192"/>
      <c r="BC18" s="192"/>
      <c r="BD18" s="192"/>
      <c r="BE18" s="115"/>
      <c r="BF18" s="115"/>
    </row>
    <row r="19" spans="1:58" s="4" customFormat="1" x14ac:dyDescent="0.3">
      <c r="A19" s="348"/>
      <c r="B19" s="34"/>
      <c r="C19" s="34"/>
      <c r="D19" s="35"/>
      <c r="E19" s="526"/>
      <c r="F19" s="34"/>
      <c r="G19" s="115">
        <v>35</v>
      </c>
      <c r="H19" s="31">
        <f t="shared" si="2"/>
        <v>308.14999999999998</v>
      </c>
      <c r="I19" s="219">
        <f t="shared" si="3"/>
        <v>13.682201234974167</v>
      </c>
      <c r="J19" s="279">
        <v>22.66</v>
      </c>
      <c r="K19" s="115">
        <v>4</v>
      </c>
      <c r="L19" s="115"/>
      <c r="M19" s="115">
        <v>0.46800000000000003</v>
      </c>
      <c r="N19" s="115" t="s">
        <v>599</v>
      </c>
      <c r="O19" s="250">
        <f>M19/(60*60*24)*10^(K19-5)</f>
        <v>5.4166666666666674E-7</v>
      </c>
      <c r="P19" s="250">
        <f t="shared" ref="P19:P20" si="4">O19*10^5</f>
        <v>5.4166666666666675E-2</v>
      </c>
      <c r="Q19" s="653">
        <f t="shared" ref="Q19:Q20" si="5">(LN(2)/R19)/(60*60*24)</f>
        <v>51.238990787535904</v>
      </c>
      <c r="R19" s="209">
        <f t="shared" ref="R19:R20" si="6">S19*10^-5</f>
        <v>1.5657093726342321E-7</v>
      </c>
      <c r="S19" s="209">
        <f t="shared" ref="S19:S20" si="7">EXP(LN(P19)+$J19*(1/$H19-1/298.15)/0.0019872)</f>
        <v>1.565709372634232E-2</v>
      </c>
      <c r="T19" s="343"/>
      <c r="U19" s="343"/>
      <c r="V19" s="343"/>
      <c r="W19" s="402"/>
      <c r="X19" s="402"/>
      <c r="Y19" s="402"/>
      <c r="Z19" s="115"/>
      <c r="AA19" s="115"/>
      <c r="AB19" s="115"/>
      <c r="AC19" s="115"/>
      <c r="AD19" s="280"/>
      <c r="AE19" s="669"/>
      <c r="AF19" s="670"/>
      <c r="AG19" s="824"/>
      <c r="AH19" s="413"/>
      <c r="AI19" s="413"/>
      <c r="AJ19" s="174"/>
      <c r="AK19" s="174"/>
      <c r="AL19" s="174"/>
      <c r="AM19" s="115"/>
      <c r="AN19" s="115"/>
      <c r="AO19" s="115"/>
      <c r="AP19" s="115"/>
      <c r="AQ19" s="280"/>
      <c r="AR19" s="280"/>
      <c r="AS19" s="669"/>
      <c r="AT19" s="670"/>
      <c r="AU19" s="670"/>
      <c r="AV19" s="343"/>
      <c r="AW19" s="343"/>
      <c r="AX19" s="343"/>
      <c r="AY19" s="174"/>
      <c r="AZ19" s="174"/>
      <c r="BA19" s="174"/>
      <c r="BB19" s="192"/>
      <c r="BC19" s="192"/>
      <c r="BD19" s="192"/>
      <c r="BE19" s="115"/>
      <c r="BF19" s="115"/>
    </row>
    <row r="20" spans="1:58" s="4" customFormat="1" x14ac:dyDescent="0.3">
      <c r="A20" s="348"/>
      <c r="B20" s="34"/>
      <c r="C20" s="34"/>
      <c r="D20" s="35"/>
      <c r="E20" s="526"/>
      <c r="F20" s="34"/>
      <c r="G20" s="115">
        <v>45</v>
      </c>
      <c r="H20" s="31">
        <f t="shared" si="2"/>
        <v>318.14999999999998</v>
      </c>
      <c r="I20" s="219">
        <f t="shared" si="3"/>
        <v>13.3843803901134</v>
      </c>
      <c r="J20" s="279">
        <v>22.66</v>
      </c>
      <c r="K20" s="115">
        <v>4</v>
      </c>
      <c r="L20" s="115"/>
      <c r="M20" s="115">
        <v>1.46</v>
      </c>
      <c r="N20" s="115" t="s">
        <v>599</v>
      </c>
      <c r="O20" s="250">
        <f>M20/(60*60*24)*10^(K20-5)</f>
        <v>1.6898148148148148E-6</v>
      </c>
      <c r="P20" s="250">
        <f t="shared" si="4"/>
        <v>0.16898148148148148</v>
      </c>
      <c r="Q20" s="653">
        <f t="shared" si="5"/>
        <v>52.556909296820763</v>
      </c>
      <c r="R20" s="209">
        <f t="shared" si="6"/>
        <v>1.5264476011571132E-7</v>
      </c>
      <c r="S20" s="209">
        <f t="shared" si="7"/>
        <v>1.5264476011571132E-2</v>
      </c>
      <c r="T20" s="343"/>
      <c r="U20" s="343"/>
      <c r="V20" s="343"/>
      <c r="W20" s="402"/>
      <c r="X20" s="402"/>
      <c r="Y20" s="402"/>
      <c r="Z20" s="115">
        <v>7</v>
      </c>
      <c r="AA20" s="115"/>
      <c r="AB20" s="115">
        <v>2.1299999999999999E-2</v>
      </c>
      <c r="AC20" s="115" t="s">
        <v>599</v>
      </c>
      <c r="AD20" s="250">
        <f>AB20/(60*60*24)</f>
        <v>2.4652777777777779E-7</v>
      </c>
      <c r="AE20" s="653">
        <f>(LN(2)/AF20)/(60*60*24)</f>
        <v>366.98755816591876</v>
      </c>
      <c r="AF20" s="209">
        <f>EXP(LN(AD20)+$J20*(1/$H20-1/298.15)/0.001972)</f>
        <v>2.1860514433051527E-8</v>
      </c>
      <c r="AG20" s="412"/>
      <c r="AH20" s="413"/>
      <c r="AI20" s="413"/>
      <c r="AJ20" s="174"/>
      <c r="AK20" s="174"/>
      <c r="AL20" s="174"/>
      <c r="AM20" s="115">
        <v>9</v>
      </c>
      <c r="AN20" s="115"/>
      <c r="AO20" s="115">
        <v>4.7399999999999998E-2</v>
      </c>
      <c r="AP20" s="115" t="s">
        <v>599</v>
      </c>
      <c r="AQ20" s="531">
        <f>AO20/(60*60*24)*10^(9-AM20)</f>
        <v>5.4861111111111113E-7</v>
      </c>
      <c r="AR20" s="531">
        <f>AQ20*10^($I20-9)</f>
        <v>1.3293672926158464E-2</v>
      </c>
      <c r="AS20" s="711">
        <f>(LN(2)/AT20)/(60*60*24)</f>
        <v>668.07303326899637</v>
      </c>
      <c r="AT20" s="222">
        <f>AU20*10^(9-14)</f>
        <v>1.200847274553315E-8</v>
      </c>
      <c r="AU20" s="222">
        <f>EXP(LN(AR20)+$J20*(1/$H20-1/298.15)/0.0019872)</f>
        <v>1.2008472745533149E-3</v>
      </c>
      <c r="AV20" s="412">
        <f>AVERAGE(AS20:AS21)</f>
        <v>1145.8007089210805</v>
      </c>
      <c r="AW20" s="412">
        <f>MEDIAN(AS20:AS21)</f>
        <v>1145.8007089210805</v>
      </c>
      <c r="AX20" s="412">
        <f>STDEV(AS20:AS21)</f>
        <v>675.60895802815219</v>
      </c>
      <c r="AY20" s="174"/>
      <c r="AZ20" s="174"/>
      <c r="BA20" s="174"/>
      <c r="BB20" s="192"/>
      <c r="BC20" s="192"/>
      <c r="BD20" s="192"/>
      <c r="BE20" s="115"/>
      <c r="BF20" s="115"/>
    </row>
    <row r="21" spans="1:58" ht="15" thickBot="1" x14ac:dyDescent="0.35">
      <c r="A21" s="242"/>
      <c r="B21" s="57"/>
      <c r="C21" s="57"/>
      <c r="D21" s="438"/>
      <c r="E21" s="526"/>
      <c r="F21" s="57"/>
      <c r="G21" s="31">
        <v>65</v>
      </c>
      <c r="H21" s="31">
        <f t="shared" si="2"/>
        <v>338.15</v>
      </c>
      <c r="I21" s="219">
        <f t="shared" si="3"/>
        <v>12.8415828544408</v>
      </c>
      <c r="J21" s="92">
        <v>22.66</v>
      </c>
      <c r="P21" s="250"/>
      <c r="Q21" s="653"/>
      <c r="R21" s="209"/>
      <c r="S21" s="209"/>
      <c r="W21" s="402"/>
      <c r="X21" s="402"/>
      <c r="Y21" s="402"/>
      <c r="Z21" s="31">
        <v>7</v>
      </c>
      <c r="AB21" s="31">
        <v>0.31900000000000001</v>
      </c>
      <c r="AC21" s="31" t="s">
        <v>599</v>
      </c>
      <c r="AD21" s="250">
        <f>AB21/(60*60*24)</f>
        <v>3.6921296296296297E-6</v>
      </c>
      <c r="AE21" s="653">
        <f>(LN(2)/AF21)/(60*60*24)</f>
        <v>207.48161597130459</v>
      </c>
      <c r="AF21" s="209">
        <f>EXP(LN(AD21)+$J21*(1/$H21-1/298.15)/0.001972)</f>
        <v>3.8666253752071933E-8</v>
      </c>
      <c r="AG21" s="412"/>
      <c r="AM21" s="31">
        <v>9</v>
      </c>
      <c r="AO21" s="31">
        <v>0.56699999999999995</v>
      </c>
      <c r="AP21" s="31" t="s">
        <v>599</v>
      </c>
      <c r="AQ21" s="531">
        <f>AO21/(60*60*24)*10^(9-AM21)</f>
        <v>6.5624999999999994E-6</v>
      </c>
      <c r="AR21" s="531">
        <f>AQ21*10^($I21-9)</f>
        <v>4.5567181937934749E-2</v>
      </c>
      <c r="AS21" s="711">
        <f>(LN(2)/AT21)/(60*60*24)</f>
        <v>1623.5283845731644</v>
      </c>
      <c r="AT21" s="222">
        <f>AU21*10^(9-14)</f>
        <v>4.9414207280062911E-9</v>
      </c>
      <c r="AU21" s="222">
        <f>EXP(LN(AR21)+$J21*(1/$H21-1/298.15)/0.0019872)</f>
        <v>4.9414207280062906E-4</v>
      </c>
    </row>
    <row r="22" spans="1:58" s="8" customFormat="1" ht="15" thickTop="1" x14ac:dyDescent="0.3">
      <c r="A22" s="376">
        <v>3</v>
      </c>
      <c r="B22" s="73" t="s">
        <v>77</v>
      </c>
      <c r="C22" s="73" t="s">
        <v>22</v>
      </c>
      <c r="D22" s="527" t="s">
        <v>913</v>
      </c>
      <c r="E22" s="913" t="s">
        <v>69</v>
      </c>
      <c r="F22" s="73" t="s">
        <v>121</v>
      </c>
      <c r="G22" s="37">
        <v>25</v>
      </c>
      <c r="H22" s="37">
        <f>G22+273.15</f>
        <v>298.14999999999998</v>
      </c>
      <c r="I22" s="218">
        <f>-LOG10(EXP(LN(10^-14)+13.36*(1/298.15-1/H22)/0.0019872))</f>
        <v>14</v>
      </c>
      <c r="J22" s="96">
        <v>22.66</v>
      </c>
      <c r="K22" s="37">
        <v>5</v>
      </c>
      <c r="L22" s="37">
        <v>4</v>
      </c>
      <c r="M22" s="37"/>
      <c r="N22" s="37" t="s">
        <v>605</v>
      </c>
      <c r="O22" s="249">
        <f>(LN(2)/L22)/(60*60*24)*10^(K22-5)</f>
        <v>2.0056342030091009E-6</v>
      </c>
      <c r="P22" s="249">
        <f>O22*10^5</f>
        <v>0.20056342030091009</v>
      </c>
      <c r="Q22" s="654">
        <f>(LN(2)/R22)/(60*60*24)</f>
        <v>4</v>
      </c>
      <c r="R22" s="215">
        <f>S22*10^-5</f>
        <v>2.0056342030091009E-6</v>
      </c>
      <c r="S22" s="215">
        <f>EXP(LN(P22)+$J22*(1/$H22-1/298.15)/0.0019872)</f>
        <v>0.20056342030091009</v>
      </c>
      <c r="T22" s="410">
        <f>Q22</f>
        <v>4</v>
      </c>
      <c r="U22" s="410"/>
      <c r="V22" s="410"/>
      <c r="W22" s="408"/>
      <c r="X22" s="408"/>
      <c r="Y22" s="537" t="s">
        <v>976</v>
      </c>
      <c r="Z22" s="37">
        <v>7</v>
      </c>
      <c r="AA22" s="37">
        <v>32</v>
      </c>
      <c r="AB22" s="37"/>
      <c r="AC22" s="37" t="s">
        <v>605</v>
      </c>
      <c r="AD22" s="249">
        <f>(LN(2)/AA22)/(60*60*24)</f>
        <v>2.5070427537613762E-7</v>
      </c>
      <c r="AE22" s="654">
        <f>(LN(2)/AF22)/(60*60*24)</f>
        <v>31.999999999999989</v>
      </c>
      <c r="AF22" s="215">
        <f>EXP(LN(AD22)+$J22*(1/$H22-1/298.15)/0.001972)</f>
        <v>2.5070427537613772E-7</v>
      </c>
      <c r="AG22" s="423">
        <f>AE22</f>
        <v>31.999999999999989</v>
      </c>
      <c r="AH22" s="423"/>
      <c r="AI22" s="423"/>
      <c r="AJ22" s="159"/>
      <c r="AK22" s="159"/>
      <c r="AL22" s="408" t="s">
        <v>976</v>
      </c>
      <c r="AM22" s="37">
        <v>9</v>
      </c>
      <c r="AN22" s="37">
        <v>36</v>
      </c>
      <c r="AO22" s="37"/>
      <c r="AP22" s="37" t="s">
        <v>605</v>
      </c>
      <c r="AQ22" s="249">
        <f>(LN(2)/AN22)/(60*60*24)*10^(9-AM22)</f>
        <v>2.2284824477878901E-7</v>
      </c>
      <c r="AR22" s="249">
        <f>AQ22*10^($I22-9)</f>
        <v>2.2284824477878901E-2</v>
      </c>
      <c r="AS22" s="654">
        <f>(LN(2)/AT22)/(60*60*24)</f>
        <v>35.999999999999986</v>
      </c>
      <c r="AT22" s="215">
        <f>AU22*10^(9-14)</f>
        <v>2.2284824477878906E-7</v>
      </c>
      <c r="AU22" s="215">
        <f>EXP(LN(AR22)+$J22*(1/$H22-1/298.15)/0.0019872)</f>
        <v>2.2284824477878905E-2</v>
      </c>
      <c r="AV22" s="410">
        <f>AS22</f>
        <v>35.999999999999986</v>
      </c>
      <c r="AW22" s="410"/>
      <c r="AX22" s="410"/>
      <c r="AY22" s="159"/>
      <c r="AZ22" s="159"/>
      <c r="BA22" s="159"/>
      <c r="BB22" s="186" t="s">
        <v>119</v>
      </c>
      <c r="BC22" s="186" t="s">
        <v>120</v>
      </c>
      <c r="BD22" s="186"/>
      <c r="BE22" s="37"/>
      <c r="BF22" s="37"/>
    </row>
    <row r="23" spans="1:58" x14ac:dyDescent="0.3">
      <c r="A23" s="242"/>
      <c r="B23" s="57"/>
      <c r="C23" s="57"/>
      <c r="D23" s="438"/>
      <c r="E23" s="520"/>
      <c r="F23" s="57"/>
      <c r="I23" s="219"/>
      <c r="P23" s="250"/>
      <c r="Q23" s="653"/>
      <c r="R23" s="209"/>
      <c r="S23" s="209"/>
      <c r="W23" s="402"/>
      <c r="X23" s="402"/>
      <c r="Y23" s="402"/>
      <c r="AD23" s="250"/>
      <c r="AE23" s="653"/>
      <c r="AF23" s="209"/>
      <c r="AS23" s="653"/>
      <c r="AT23" s="209"/>
      <c r="AU23" s="209"/>
      <c r="BA23" s="402" t="s">
        <v>976</v>
      </c>
    </row>
    <row r="24" spans="1:58" x14ac:dyDescent="0.3">
      <c r="I24" s="219"/>
      <c r="Q24" s="653"/>
      <c r="R24" s="208"/>
      <c r="S24" s="208"/>
      <c r="AE24" s="653"/>
      <c r="AF24" s="209"/>
      <c r="AS24" s="653"/>
      <c r="AT24" s="209"/>
      <c r="AU24" s="209"/>
    </row>
    <row r="25" spans="1:58" x14ac:dyDescent="0.3">
      <c r="I25" s="219"/>
      <c r="Q25" s="653"/>
      <c r="R25" s="208"/>
      <c r="S25" s="208"/>
      <c r="AE25" s="653"/>
      <c r="AF25" s="209"/>
      <c r="AS25" s="653"/>
      <c r="AT25" s="209"/>
      <c r="AU25" s="209"/>
    </row>
    <row r="26" spans="1:58" x14ac:dyDescent="0.3">
      <c r="I26" s="219"/>
      <c r="Q26" s="653"/>
      <c r="R26" s="208"/>
      <c r="S26" s="208"/>
      <c r="AE26" s="653"/>
      <c r="AF26" s="209"/>
      <c r="AS26" s="653"/>
      <c r="AT26" s="209"/>
      <c r="AU26" s="209"/>
    </row>
    <row r="27" spans="1:58" x14ac:dyDescent="0.3">
      <c r="I27" s="219"/>
      <c r="Q27" s="653"/>
      <c r="R27" s="208"/>
      <c r="S27" s="208"/>
      <c r="AE27" s="653"/>
      <c r="AF27" s="209"/>
      <c r="AS27" s="653"/>
      <c r="AT27" s="209"/>
      <c r="AU27" s="209"/>
    </row>
    <row r="28" spans="1:58" x14ac:dyDescent="0.3">
      <c r="I28" s="219"/>
      <c r="Q28" s="653"/>
      <c r="R28" s="208"/>
      <c r="S28" s="208"/>
      <c r="AE28" s="653"/>
      <c r="AF28" s="209"/>
      <c r="AS28" s="653"/>
      <c r="AT28" s="209"/>
      <c r="AU28" s="209"/>
    </row>
    <row r="29" spans="1:58" x14ac:dyDescent="0.3">
      <c r="I29" s="219"/>
      <c r="Q29" s="653"/>
      <c r="R29" s="208"/>
      <c r="S29" s="208"/>
      <c r="AE29" s="653"/>
      <c r="AF29" s="209"/>
      <c r="AS29" s="653"/>
      <c r="AT29" s="209"/>
      <c r="AU29" s="209"/>
    </row>
    <row r="30" spans="1:58" x14ac:dyDescent="0.3">
      <c r="I30" s="219"/>
      <c r="Q30" s="653"/>
      <c r="R30" s="208"/>
      <c r="S30" s="208"/>
      <c r="AE30" s="653"/>
      <c r="AF30" s="209"/>
      <c r="AS30" s="653"/>
      <c r="AT30" s="209"/>
      <c r="AU30" s="209"/>
    </row>
    <row r="31" spans="1:58" x14ac:dyDescent="0.3">
      <c r="I31" s="219"/>
      <c r="Q31" s="653"/>
      <c r="R31" s="208"/>
      <c r="S31" s="208"/>
      <c r="AE31" s="653"/>
      <c r="AF31" s="209"/>
      <c r="AS31" s="653"/>
      <c r="AT31" s="209"/>
      <c r="AU31" s="209"/>
    </row>
    <row r="32" spans="1:58" ht="15" thickBot="1" x14ac:dyDescent="0.35">
      <c r="I32" s="219"/>
      <c r="Q32" s="653"/>
      <c r="R32" s="208"/>
      <c r="S32" s="208"/>
      <c r="AE32" s="653"/>
      <c r="AF32" s="209"/>
      <c r="AS32" s="653"/>
      <c r="AT32" s="209"/>
      <c r="AU32" s="209"/>
    </row>
    <row r="33" spans="1:58" s="8" customFormat="1" ht="27.6" x14ac:dyDescent="0.3">
      <c r="A33" s="376">
        <v>5</v>
      </c>
      <c r="B33" s="73" t="s">
        <v>79</v>
      </c>
      <c r="C33" s="37" t="s">
        <v>128</v>
      </c>
      <c r="D33" s="527" t="s">
        <v>915</v>
      </c>
      <c r="E33" s="377" t="s">
        <v>71</v>
      </c>
      <c r="F33" s="73" t="s">
        <v>129</v>
      </c>
      <c r="G33" s="37">
        <v>25</v>
      </c>
      <c r="H33" s="37">
        <f>G33+273.15</f>
        <v>298.14999999999998</v>
      </c>
      <c r="I33" s="218">
        <f>-LOG10(EXP(LN(10^-14)+13.36*(1/298.15-1/H33)/0.0019872))</f>
        <v>14</v>
      </c>
      <c r="J33" s="96">
        <v>22.66</v>
      </c>
      <c r="K33" s="37">
        <v>5</v>
      </c>
      <c r="L33" s="37">
        <v>23</v>
      </c>
      <c r="M33" s="37"/>
      <c r="N33" s="37" t="s">
        <v>605</v>
      </c>
      <c r="O33" s="249">
        <f>(LN(2)/L33)/(60*60*24)*10^(K33-5)</f>
        <v>3.4880594834940885E-7</v>
      </c>
      <c r="P33" s="249">
        <f>O33*10^5</f>
        <v>3.4880594834940888E-2</v>
      </c>
      <c r="Q33" s="654">
        <f>(LN(2)/R33)/(60*60*24)</f>
        <v>22.999999999999996</v>
      </c>
      <c r="R33" s="215">
        <f>S33*10^-5</f>
        <v>3.488059483494089E-7</v>
      </c>
      <c r="S33" s="215">
        <f>EXP(LN(P33)+$J33*(1/$H33-1/298.15)/0.0019872)</f>
        <v>3.4880594834940888E-2</v>
      </c>
      <c r="T33" s="410">
        <f>Q33</f>
        <v>22.999999999999996</v>
      </c>
      <c r="U33" s="410"/>
      <c r="V33" s="410"/>
      <c r="W33" s="37"/>
      <c r="X33" s="37"/>
      <c r="Y33" s="37"/>
      <c r="Z33" s="37">
        <v>7</v>
      </c>
      <c r="AA33" s="37" t="s">
        <v>116</v>
      </c>
      <c r="AB33" s="37"/>
      <c r="AC33" s="37"/>
      <c r="AD33" s="249"/>
      <c r="AE33" s="654"/>
      <c r="AF33" s="215"/>
      <c r="AG33" s="423"/>
      <c r="AH33" s="423"/>
      <c r="AI33" s="423"/>
      <c r="AJ33" s="159"/>
      <c r="AK33" s="159"/>
      <c r="AL33" s="159"/>
      <c r="AM33" s="37">
        <v>9</v>
      </c>
      <c r="AN33" s="37" t="s">
        <v>116</v>
      </c>
      <c r="AO33" s="37"/>
      <c r="AP33" s="37"/>
      <c r="AQ33" s="249"/>
      <c r="AR33" s="249"/>
      <c r="AS33" s="654"/>
      <c r="AT33" s="215"/>
      <c r="AU33" s="215"/>
      <c r="AV33" s="410"/>
      <c r="AW33" s="410"/>
      <c r="AX33" s="410"/>
      <c r="AY33" s="159"/>
      <c r="AZ33" s="159"/>
      <c r="BA33" s="159"/>
      <c r="BB33" s="186" t="s">
        <v>130</v>
      </c>
      <c r="BC33" s="186" t="s">
        <v>131</v>
      </c>
      <c r="BD33" s="186"/>
      <c r="BE33" s="37"/>
      <c r="BF33" s="37"/>
    </row>
    <row r="34" spans="1:58" ht="15" thickBot="1" x14ac:dyDescent="0.35">
      <c r="A34" s="242"/>
      <c r="B34" s="57"/>
      <c r="E34" s="520"/>
      <c r="F34" s="57"/>
      <c r="I34" s="219"/>
      <c r="P34" s="250"/>
      <c r="Q34" s="653"/>
      <c r="R34" s="209"/>
      <c r="S34" s="209"/>
      <c r="Z34" s="60"/>
      <c r="AD34" s="250"/>
      <c r="AE34" s="653"/>
      <c r="AF34" s="209"/>
      <c r="AS34" s="653"/>
      <c r="AT34" s="209"/>
      <c r="AU34" s="209"/>
    </row>
    <row r="35" spans="1:58" s="8" customFormat="1" x14ac:dyDescent="0.3">
      <c r="A35" s="376">
        <v>6</v>
      </c>
      <c r="B35" s="73" t="s">
        <v>80</v>
      </c>
      <c r="C35" s="37" t="s">
        <v>132</v>
      </c>
      <c r="D35" s="38" t="s">
        <v>916</v>
      </c>
      <c r="E35" s="377" t="s">
        <v>72</v>
      </c>
      <c r="F35" s="73" t="s">
        <v>133</v>
      </c>
      <c r="G35" s="37">
        <v>25</v>
      </c>
      <c r="H35" s="37">
        <f>G35+273.15</f>
        <v>298.14999999999998</v>
      </c>
      <c r="I35" s="218">
        <f>-LOG10(EXP(LN(10^-14)+13.36*(1/298.15-1/H35)/0.0019872))</f>
        <v>14</v>
      </c>
      <c r="J35" s="96">
        <v>22.66</v>
      </c>
      <c r="K35" s="37">
        <v>5.03</v>
      </c>
      <c r="L35" s="37">
        <v>15</v>
      </c>
      <c r="M35" s="37"/>
      <c r="N35" s="37" t="s">
        <v>605</v>
      </c>
      <c r="O35" s="249">
        <f>(LN(2)/L35)/(60*60*24)*10^(K35-5)</f>
        <v>5.7308687140509159E-7</v>
      </c>
      <c r="P35" s="249">
        <f>O35*10^5</f>
        <v>5.7308687140509157E-2</v>
      </c>
      <c r="Q35" s="654">
        <f>(LN(2)/R35)/(60*60*24)</f>
        <v>13.998814511954862</v>
      </c>
      <c r="R35" s="215">
        <f>S35*10^-5</f>
        <v>5.7308687140509148E-7</v>
      </c>
      <c r="S35" s="215">
        <f>EXP(LN(P35)+$J35*(1/$H35-1/298.15)/0.0019872)</f>
        <v>5.7308687140509143E-2</v>
      </c>
      <c r="T35" s="882">
        <f>AVERAGE(Q35:Q36)</f>
        <v>246.99940725597736</v>
      </c>
      <c r="U35" s="410">
        <f>MEDIAN(Q35:Q36)</f>
        <v>246.99940725597739</v>
      </c>
      <c r="V35" s="410">
        <f>STDEV(Q35:Q36)</f>
        <v>329.51259829956683</v>
      </c>
      <c r="W35" s="408" t="s">
        <v>1005</v>
      </c>
      <c r="X35" s="408" t="s">
        <v>1004</v>
      </c>
      <c r="Y35" s="408" t="s">
        <v>976</v>
      </c>
      <c r="Z35" s="31">
        <v>7</v>
      </c>
      <c r="AA35" s="37" t="s">
        <v>116</v>
      </c>
      <c r="AB35" s="37"/>
      <c r="AC35" s="37"/>
      <c r="AD35" s="249"/>
      <c r="AE35" s="654"/>
      <c r="AF35" s="215"/>
      <c r="AG35" s="423"/>
      <c r="AH35" s="423"/>
      <c r="AI35" s="423"/>
      <c r="AJ35" s="159"/>
      <c r="AK35" s="159"/>
      <c r="AL35" s="159"/>
      <c r="AM35" s="37">
        <v>9</v>
      </c>
      <c r="AN35" s="37" t="s">
        <v>116</v>
      </c>
      <c r="AO35" s="37"/>
      <c r="AP35" s="37"/>
      <c r="AQ35" s="249"/>
      <c r="AR35" s="249"/>
      <c r="AS35" s="654"/>
      <c r="AT35" s="215"/>
      <c r="AU35" s="215"/>
      <c r="AV35" s="410"/>
      <c r="AW35" s="410"/>
      <c r="AX35" s="410"/>
      <c r="AY35" s="159"/>
      <c r="AZ35" s="159"/>
      <c r="BA35" s="159"/>
      <c r="BB35" s="186"/>
      <c r="BC35" s="186"/>
      <c r="BD35" s="186"/>
      <c r="BE35" s="37"/>
      <c r="BF35" s="37"/>
    </row>
    <row r="36" spans="1:58" ht="19.5" customHeight="1" x14ac:dyDescent="0.3">
      <c r="A36" s="242"/>
      <c r="B36" s="57"/>
      <c r="E36" s="520"/>
      <c r="F36" s="57" t="s">
        <v>135</v>
      </c>
      <c r="G36" s="31">
        <v>25</v>
      </c>
      <c r="H36" s="31">
        <f>G36+273.15</f>
        <v>298.14999999999998</v>
      </c>
      <c r="I36" s="219">
        <f>-LOG10(EXP(LN(10^-14)+13.36*(1/298.15-1/H36)/0.0019872))</f>
        <v>14</v>
      </c>
      <c r="J36" s="92">
        <v>22.66</v>
      </c>
      <c r="K36" s="31">
        <v>4</v>
      </c>
      <c r="L36" s="31">
        <v>48</v>
      </c>
      <c r="M36" s="103"/>
      <c r="N36" s="103" t="s">
        <v>605</v>
      </c>
      <c r="O36" s="250">
        <f>(LN(2)/L36)/(60*60*24)*10^(K36-5)</f>
        <v>1.6713618358409174E-8</v>
      </c>
      <c r="P36" s="250">
        <f>O36*10^5</f>
        <v>1.6713618358409174E-3</v>
      </c>
      <c r="Q36" s="653">
        <f>(LN(2)/R36)/(60*60*24)</f>
        <v>479.99999999999989</v>
      </c>
      <c r="R36" s="209">
        <f>S36*10^-5</f>
        <v>1.6713618358409178E-8</v>
      </c>
      <c r="S36" s="209">
        <f>EXP(LN(P36)+$J36*(1/$H36-1/298.15)/0.0019872)</f>
        <v>1.6713618358409176E-3</v>
      </c>
      <c r="W36" s="402" t="s">
        <v>1092</v>
      </c>
      <c r="X36" s="402" t="s">
        <v>136</v>
      </c>
      <c r="Y36" s="402" t="s">
        <v>976</v>
      </c>
      <c r="AB36" s="103"/>
      <c r="AC36" s="103"/>
      <c r="AD36" s="250"/>
      <c r="AE36" s="653"/>
      <c r="AF36" s="209"/>
      <c r="AO36" s="103"/>
      <c r="AP36" s="103"/>
      <c r="AS36" s="653"/>
      <c r="AT36" s="209"/>
      <c r="AU36" s="209"/>
      <c r="BB36" s="185" t="s">
        <v>134</v>
      </c>
      <c r="BC36" s="185" t="s">
        <v>136</v>
      </c>
    </row>
    <row r="37" spans="1:58" ht="19.5" customHeight="1" thickBot="1" x14ac:dyDescent="0.35">
      <c r="A37" s="242"/>
      <c r="B37" s="57"/>
      <c r="E37" s="520"/>
      <c r="F37" s="57"/>
      <c r="I37" s="219"/>
      <c r="M37" s="103"/>
      <c r="N37" s="103"/>
      <c r="P37" s="250"/>
      <c r="Q37" s="682"/>
      <c r="R37" s="209"/>
      <c r="S37" s="209"/>
      <c r="W37" s="402"/>
      <c r="X37" s="402"/>
      <c r="Y37" s="402"/>
      <c r="AB37" s="103"/>
      <c r="AC37" s="103"/>
      <c r="AD37" s="250"/>
      <c r="AE37" s="653"/>
      <c r="AF37" s="209"/>
      <c r="AO37" s="103"/>
      <c r="AP37" s="103"/>
      <c r="AS37" s="653"/>
      <c r="AT37" s="209"/>
      <c r="AU37" s="209"/>
    </row>
    <row r="38" spans="1:58" s="8" customFormat="1" x14ac:dyDescent="0.3">
      <c r="A38" s="376">
        <v>7</v>
      </c>
      <c r="B38" s="73" t="s">
        <v>81</v>
      </c>
      <c r="C38" s="37" t="s">
        <v>137</v>
      </c>
      <c r="D38" s="38" t="s">
        <v>917</v>
      </c>
      <c r="E38" s="913" t="s">
        <v>73</v>
      </c>
      <c r="F38" s="73" t="s">
        <v>138</v>
      </c>
      <c r="G38" s="37">
        <v>50</v>
      </c>
      <c r="H38" s="37">
        <f>G38+273.15</f>
        <v>323.14999999999998</v>
      </c>
      <c r="I38" s="218">
        <f>-LOG10(EXP(LN(10^-14)+13.36*(1/298.15-1/H38)/0.0019872))</f>
        <v>13.242382102408241</v>
      </c>
      <c r="J38" s="96">
        <v>22.66</v>
      </c>
      <c r="K38" s="37">
        <v>4</v>
      </c>
      <c r="L38" s="109">
        <f>44/24</f>
        <v>1.8333333333333333</v>
      </c>
      <c r="M38" s="37"/>
      <c r="N38" s="37" t="s">
        <v>605</v>
      </c>
      <c r="O38" s="249">
        <f>(LN(2)/L38)/(60*60*24)*10^(K38-5)</f>
        <v>4.3759291702016752E-7</v>
      </c>
      <c r="P38" s="249">
        <f>O38*10^5</f>
        <v>4.3759291702016749E-2</v>
      </c>
      <c r="Q38" s="681">
        <f>(LN(2)/R38)/(60*60*24)</f>
        <v>353.38088049091829</v>
      </c>
      <c r="R38" s="215">
        <f>S38*10^-5</f>
        <v>2.2702237882512093E-8</v>
      </c>
      <c r="S38" s="215">
        <f>EXP(LN(P38)+$J38*(1/$H38-1/298.15)/0.0019872)</f>
        <v>2.2702237882512091E-3</v>
      </c>
      <c r="T38" s="882">
        <f>AVERAGE(Q38:Q43)</f>
        <v>489.3215669657302</v>
      </c>
      <c r="U38" s="410">
        <f>MEDIAN(Q38:Q43)</f>
        <v>499.99999999999966</v>
      </c>
      <c r="V38" s="410">
        <f>STDEV(Q38:Q42)</f>
        <v>130.92847533732541</v>
      </c>
      <c r="W38" s="408" t="s">
        <v>1094</v>
      </c>
      <c r="X38" s="408" t="s">
        <v>1093</v>
      </c>
      <c r="Y38" s="408" t="s">
        <v>976</v>
      </c>
      <c r="Z38" s="37"/>
      <c r="AA38" s="37"/>
      <c r="AB38" s="37"/>
      <c r="AC38" s="37"/>
      <c r="AD38" s="248"/>
      <c r="AE38" s="654"/>
      <c r="AF38" s="215"/>
      <c r="AG38" s="410">
        <f>AVERAGE(AE39:AE41)</f>
        <v>111.45394518069352</v>
      </c>
      <c r="AH38" s="410">
        <f>MEDIAN(AE39:AE42)</f>
        <v>111.45394518069352</v>
      </c>
      <c r="AI38" s="410">
        <f>STDEV(AE39:AE41)</f>
        <v>48.85549925194745</v>
      </c>
      <c r="AJ38" s="408" t="s">
        <v>1094</v>
      </c>
      <c r="AK38" s="408" t="s">
        <v>1093</v>
      </c>
      <c r="AL38" s="408" t="s">
        <v>976</v>
      </c>
      <c r="AM38" s="37"/>
      <c r="AN38" s="37"/>
      <c r="AO38" s="37"/>
      <c r="AP38" s="37"/>
      <c r="AQ38" s="249"/>
      <c r="AR38" s="249"/>
      <c r="AS38" s="654"/>
      <c r="AT38" s="215"/>
      <c r="AU38" s="215"/>
      <c r="AV38" s="410">
        <f>AVERAGE(AS39:AS42)</f>
        <v>239.2089834021948</v>
      </c>
      <c r="AW38" s="410">
        <f>MEDIAN(AS38:AS42)</f>
        <v>239.2089834021948</v>
      </c>
      <c r="AX38" s="410">
        <f>STDEV(AS40:AS42)</f>
        <v>121.91791352578107</v>
      </c>
      <c r="AY38" s="408" t="s">
        <v>1094</v>
      </c>
      <c r="AZ38" s="408" t="s">
        <v>1093</v>
      </c>
      <c r="BA38" s="408" t="s">
        <v>976</v>
      </c>
      <c r="BB38" s="910" t="s">
        <v>140</v>
      </c>
      <c r="BC38" s="910" t="s">
        <v>141</v>
      </c>
      <c r="BD38" s="186"/>
      <c r="BE38" s="37"/>
      <c r="BF38" s="37"/>
    </row>
    <row r="39" spans="1:58" x14ac:dyDescent="0.3">
      <c r="A39" s="242"/>
      <c r="B39" s="57"/>
      <c r="E39" s="520"/>
      <c r="F39" s="57"/>
      <c r="G39" s="31">
        <v>50</v>
      </c>
      <c r="H39" s="31">
        <f>G39+273.15</f>
        <v>323.14999999999998</v>
      </c>
      <c r="I39" s="219">
        <f>-LOG10(EXP(LN(10^-14)+13.36*(1/298.15-1/H39)/0.0019872))</f>
        <v>13.242382102408241</v>
      </c>
      <c r="J39" s="92">
        <v>22.66</v>
      </c>
      <c r="L39" s="129"/>
      <c r="P39" s="250"/>
      <c r="Q39" s="682"/>
      <c r="R39" s="209"/>
      <c r="S39" s="209"/>
      <c r="W39" s="402" t="s">
        <v>1096</v>
      </c>
      <c r="X39" s="402" t="s">
        <v>1095</v>
      </c>
      <c r="Y39" s="402" t="s">
        <v>976</v>
      </c>
      <c r="Z39" s="31">
        <v>7</v>
      </c>
      <c r="AA39" s="129">
        <v>3.9</v>
      </c>
      <c r="AC39" s="31" t="s">
        <v>605</v>
      </c>
      <c r="AD39" s="250">
        <f>(LN(2)/AA39)/(60*60*24)</f>
        <v>2.0570607210349751E-6</v>
      </c>
      <c r="AE39" s="653">
        <f>(LN(2)/AF39)/(60*60*24)</f>
        <v>76.907890361387174</v>
      </c>
      <c r="AF39" s="209">
        <f>EXP(LN(AD39)+J39*(1/H39-1/298.15)/0.001972)</f>
        <v>1.043135726950618E-7</v>
      </c>
      <c r="AJ39" s="402" t="s">
        <v>1096</v>
      </c>
      <c r="AK39" s="402" t="s">
        <v>1095</v>
      </c>
      <c r="AL39" s="402" t="s">
        <v>976</v>
      </c>
      <c r="AN39" s="129"/>
      <c r="AS39" s="653"/>
      <c r="AT39" s="209"/>
      <c r="AU39" s="209"/>
      <c r="AY39" s="402" t="s">
        <v>1096</v>
      </c>
      <c r="AZ39" s="402" t="s">
        <v>1095</v>
      </c>
      <c r="BA39" s="402" t="s">
        <v>976</v>
      </c>
      <c r="BB39" s="911"/>
      <c r="BC39" s="911"/>
    </row>
    <row r="40" spans="1:58" x14ac:dyDescent="0.3">
      <c r="A40" s="242"/>
      <c r="B40" s="57"/>
      <c r="E40" s="520"/>
      <c r="F40" s="57"/>
      <c r="G40" s="31">
        <v>50</v>
      </c>
      <c r="H40" s="31">
        <f>G40+273.15</f>
        <v>323.14999999999998</v>
      </c>
      <c r="I40" s="219">
        <f>-LOG10(EXP(LN(10^-14)+13.36*(1/298.15-1/H40)/0.0019872))</f>
        <v>13.242382102408241</v>
      </c>
      <c r="J40" s="92">
        <v>22.66</v>
      </c>
      <c r="L40" s="129"/>
      <c r="P40" s="250"/>
      <c r="Q40" s="682"/>
      <c r="R40" s="209"/>
      <c r="S40" s="209"/>
      <c r="W40" s="402"/>
      <c r="Y40" s="402"/>
      <c r="AA40" s="129"/>
      <c r="AD40" s="250"/>
      <c r="AE40" s="653"/>
      <c r="AF40" s="209"/>
      <c r="AJ40" s="402" t="s">
        <v>1097</v>
      </c>
      <c r="AK40" s="146" t="s">
        <v>1098</v>
      </c>
      <c r="AL40" s="402" t="s">
        <v>1099</v>
      </c>
      <c r="AM40" s="31">
        <v>9</v>
      </c>
      <c r="AN40" s="129">
        <v>2.95</v>
      </c>
      <c r="AP40" s="31" t="s">
        <v>605</v>
      </c>
      <c r="AQ40" s="250">
        <f>(LN(2)/AN40)/(60*60*24)*10^(9-AM40)</f>
        <v>2.719504004080137E-6</v>
      </c>
      <c r="AR40" s="250">
        <f>AQ40*10^($I40-9)</f>
        <v>4.7519493724244549E-2</v>
      </c>
      <c r="AS40" s="653">
        <f>(LN(2)/AT40)/(60*60*24)</f>
        <v>325.41796680438966</v>
      </c>
      <c r="AT40" s="209">
        <f>AU40*10^(9-14)</f>
        <v>2.46530235893791E-8</v>
      </c>
      <c r="AU40" s="209">
        <f>EXP(LN(AR40)+J40*(1/H40-1/298.15)/0.0019872)</f>
        <v>2.4653023589379097E-3</v>
      </c>
      <c r="AY40" s="402" t="s">
        <v>1097</v>
      </c>
      <c r="AZ40" s="146" t="s">
        <v>1098</v>
      </c>
      <c r="BA40" s="402" t="s">
        <v>1099</v>
      </c>
      <c r="BB40" s="911"/>
      <c r="BC40" s="911"/>
    </row>
    <row r="41" spans="1:58" x14ac:dyDescent="0.3">
      <c r="A41" s="242"/>
      <c r="B41" s="57"/>
      <c r="E41" s="520"/>
      <c r="F41" s="57" t="s">
        <v>139</v>
      </c>
      <c r="G41" s="31">
        <v>25</v>
      </c>
      <c r="H41" s="31">
        <f>G41+273.15</f>
        <v>298.14999999999998</v>
      </c>
      <c r="I41" s="219">
        <f>-LOG10(EXP(LN(10^-14)+13.36*(1/298.15-1/H41)/0.0019872))</f>
        <v>14</v>
      </c>
      <c r="J41" s="92">
        <v>22.66</v>
      </c>
      <c r="K41" s="31">
        <v>4</v>
      </c>
      <c r="L41" s="31">
        <v>50</v>
      </c>
      <c r="N41" s="31" t="s">
        <v>605</v>
      </c>
      <c r="O41" s="250">
        <f>(LN(2)/L41)/(60*60*24)*10^(K41-5)</f>
        <v>1.6045073624072811E-8</v>
      </c>
      <c r="P41" s="250">
        <f>O41*10^5</f>
        <v>1.6045073624072811E-3</v>
      </c>
      <c r="Q41" s="682">
        <f>(LN(2)/R41)/(60*60*24)</f>
        <v>499.99999999999966</v>
      </c>
      <c r="R41" s="209">
        <f>S41*10^-5</f>
        <v>1.6045073624072818E-8</v>
      </c>
      <c r="S41" s="209">
        <f>EXP(LN(P41)+$J41*(1/$H41-1/298.15)/0.0019872)</f>
        <v>1.6045073624072815E-3</v>
      </c>
      <c r="W41" s="402"/>
      <c r="X41" s="402"/>
      <c r="Y41" s="402"/>
      <c r="Z41" s="31">
        <v>7</v>
      </c>
      <c r="AA41" s="31">
        <v>146</v>
      </c>
      <c r="AC41" s="31" t="s">
        <v>605</v>
      </c>
      <c r="AD41" s="250">
        <f>(LN(2)/AA41)/(60*60*24)</f>
        <v>5.494888227422194E-8</v>
      </c>
      <c r="AE41" s="653">
        <f>(LN(2)/AF41)/(60*60*24)</f>
        <v>145.99999999999986</v>
      </c>
      <c r="AF41" s="209">
        <f>EXP(LN(AD41)+$J41*(1/$H41-1/298.15)/0.001972)</f>
        <v>5.4948882274221993E-8</v>
      </c>
      <c r="AM41" s="31">
        <v>9</v>
      </c>
      <c r="AN41" s="31">
        <v>153</v>
      </c>
      <c r="AP41" s="31" t="s">
        <v>605</v>
      </c>
      <c r="AQ41" s="250">
        <f>(LN(2)/AN41)/(60*60*24)*10^(9-AM41)</f>
        <v>5.2434881124420945E-8</v>
      </c>
      <c r="AR41" s="250">
        <f>AQ41*10^($I41-9)</f>
        <v>5.2434881124420948E-3</v>
      </c>
      <c r="AS41" s="653">
        <f>(LN(2)/AT41)/(60*60*24)</f>
        <v>152.99999999999994</v>
      </c>
      <c r="AT41" s="209">
        <f>AU41*10^(9-14)</f>
        <v>5.2434881124420959E-8</v>
      </c>
      <c r="AU41" s="209">
        <f>EXP(LN(AR41)+$J41*(1/$H41-1/298.15)/0.0019872)</f>
        <v>5.2434881124420957E-3</v>
      </c>
      <c r="BB41" s="911"/>
      <c r="BC41" s="911"/>
    </row>
    <row r="42" spans="1:58" x14ac:dyDescent="0.3">
      <c r="A42" s="242"/>
      <c r="B42" s="57"/>
      <c r="E42" s="520"/>
      <c r="F42" s="57" t="s">
        <v>139</v>
      </c>
      <c r="G42" s="31">
        <v>20</v>
      </c>
      <c r="H42" s="31">
        <f>G42+273.15</f>
        <v>293.14999999999998</v>
      </c>
      <c r="I42" s="219">
        <f>-LOG10(EXP(LN(10^-14)+13.36*(1/298.15-1/H42)/0.0019872))</f>
        <v>14.167030000755094</v>
      </c>
      <c r="J42" s="92">
        <v>22.66</v>
      </c>
      <c r="K42" s="31">
        <v>4</v>
      </c>
      <c r="L42" s="31">
        <v>118</v>
      </c>
      <c r="N42" s="31" t="s">
        <v>605</v>
      </c>
      <c r="O42" s="250">
        <f>(LN(2)/L42)/(60*60*24)*10^(K42-5)</f>
        <v>6.7987600102003419E-9</v>
      </c>
      <c r="P42" s="250">
        <f>O42*10^5</f>
        <v>6.7987600102003415E-4</v>
      </c>
      <c r="Q42" s="682">
        <f>(LN(2)/R42)/(60*60*24)</f>
        <v>614.58382040627282</v>
      </c>
      <c r="R42" s="209">
        <f>S42*10^-5</f>
        <v>1.3053608874267268E-8</v>
      </c>
      <c r="S42" s="209">
        <f>EXP(LN(P42)+$J42*(1/$H42-1/298.15)/0.0019872)</f>
        <v>1.3053608874267267E-3</v>
      </c>
      <c r="W42" s="402"/>
      <c r="X42" s="402"/>
      <c r="Y42" s="402"/>
      <c r="AD42" s="250"/>
      <c r="AE42" s="653"/>
      <c r="AF42" s="209"/>
      <c r="AS42" s="653"/>
      <c r="AT42" s="209"/>
      <c r="AU42" s="209"/>
      <c r="BB42" s="911"/>
      <c r="BC42" s="911"/>
    </row>
    <row r="43" spans="1:58" x14ac:dyDescent="0.3">
      <c r="A43" s="242"/>
      <c r="B43" s="57"/>
      <c r="E43" s="520"/>
      <c r="F43" s="57"/>
      <c r="I43" s="219"/>
      <c r="P43" s="250"/>
      <c r="Q43" s="682"/>
      <c r="R43" s="209"/>
      <c r="S43" s="209"/>
      <c r="W43" s="538"/>
      <c r="X43" s="538"/>
      <c r="Y43" s="538"/>
      <c r="AD43" s="250"/>
      <c r="AE43" s="653"/>
      <c r="AF43" s="209"/>
      <c r="AS43" s="653"/>
      <c r="AT43" s="209"/>
      <c r="AU43" s="209"/>
      <c r="BB43" s="544"/>
      <c r="BC43" s="544"/>
    </row>
    <row r="44" spans="1:58" s="9" customFormat="1" x14ac:dyDescent="0.3">
      <c r="A44" s="445">
        <v>8</v>
      </c>
      <c r="B44" s="446" t="s">
        <v>82</v>
      </c>
      <c r="C44" s="42" t="s">
        <v>142</v>
      </c>
      <c r="D44" s="43" t="s">
        <v>914</v>
      </c>
      <c r="E44" s="912" t="s">
        <v>74</v>
      </c>
      <c r="F44" s="446" t="s">
        <v>146</v>
      </c>
      <c r="G44" s="42">
        <v>26</v>
      </c>
      <c r="H44" s="42">
        <f>G44+273.15</f>
        <v>299.14999999999998</v>
      </c>
      <c r="I44" s="688">
        <f>-LOG10(EXP(LN(10^-14)+13.36*(1/298.15-1/H44)/0.0019872))</f>
        <v>13.967264018237437</v>
      </c>
      <c r="J44" s="93">
        <v>22.66</v>
      </c>
      <c r="K44" s="42">
        <v>5</v>
      </c>
      <c r="L44" s="42">
        <v>89</v>
      </c>
      <c r="M44" s="126">
        <v>7.79E-3</v>
      </c>
      <c r="N44" s="529" t="s">
        <v>599</v>
      </c>
      <c r="O44" s="479">
        <f>M44/(60*60*24)*10^(K44-5)</f>
        <v>9.0162037037037044E-8</v>
      </c>
      <c r="P44" s="479">
        <f>O44*10^5</f>
        <v>9.0162037037037051E-3</v>
      </c>
      <c r="Q44" s="683">
        <f>(LN(2)/R44)/(60*60*24)</f>
        <v>101.11410843829165</v>
      </c>
      <c r="R44" s="217">
        <f>S44*10^-5</f>
        <v>7.9341418679792158E-8</v>
      </c>
      <c r="S44" s="217">
        <f>EXP(LN(P44)+$J44*(1/$H44-1/298.15)/0.0019872)</f>
        <v>7.934141867979215E-3</v>
      </c>
      <c r="T44" s="475">
        <f>Q44</f>
        <v>101.11410843829165</v>
      </c>
      <c r="U44" s="475"/>
      <c r="V44" s="475"/>
      <c r="W44" s="402"/>
      <c r="X44" s="402"/>
      <c r="Y44" s="402"/>
      <c r="Z44" s="42"/>
      <c r="AA44" s="42"/>
      <c r="AB44" s="42"/>
      <c r="AC44" s="42"/>
      <c r="AD44" s="482"/>
      <c r="AE44" s="749"/>
      <c r="AF44" s="217"/>
      <c r="AG44" s="475">
        <f>AE45</f>
        <v>141.04749541993502</v>
      </c>
      <c r="AH44" s="480"/>
      <c r="AI44" s="480"/>
      <c r="AJ44" s="161"/>
      <c r="AK44" s="161"/>
      <c r="AL44" s="161"/>
      <c r="AM44" s="42"/>
      <c r="AN44" s="42"/>
      <c r="AO44" s="42"/>
      <c r="AP44" s="42"/>
      <c r="AQ44" s="479"/>
      <c r="AR44" s="479"/>
      <c r="AS44" s="749"/>
      <c r="AT44" s="217"/>
      <c r="AU44" s="217"/>
      <c r="AV44" s="475">
        <f>AS46</f>
        <v>162.0891367542564</v>
      </c>
      <c r="AW44" s="475"/>
      <c r="AX44" s="475"/>
      <c r="AY44" s="161"/>
      <c r="AZ44" s="161"/>
      <c r="BA44" s="161"/>
      <c r="BB44" s="187" t="s">
        <v>143</v>
      </c>
      <c r="BC44" s="187" t="s">
        <v>144</v>
      </c>
      <c r="BD44" s="187"/>
      <c r="BE44" s="42"/>
      <c r="BF44" s="42"/>
    </row>
    <row r="45" spans="1:58" x14ac:dyDescent="0.3">
      <c r="A45" s="242"/>
      <c r="B45" s="57"/>
      <c r="E45" s="520"/>
      <c r="F45" s="57"/>
      <c r="G45" s="31">
        <v>26</v>
      </c>
      <c r="H45" s="31">
        <f>G45+273.15</f>
        <v>299.14999999999998</v>
      </c>
      <c r="I45" s="219">
        <f>-LOG10(EXP(LN(10^-14)+13.36*(1/298.15-1/H45)/0.0019872))</f>
        <v>13.967264018237437</v>
      </c>
      <c r="J45" s="92">
        <v>22.66</v>
      </c>
      <c r="M45" s="103"/>
      <c r="N45" s="130"/>
      <c r="P45" s="250"/>
      <c r="Q45" s="682"/>
      <c r="R45" s="209"/>
      <c r="S45" s="209"/>
      <c r="W45" s="402"/>
      <c r="X45" s="402"/>
      <c r="Y45" s="402"/>
      <c r="Z45" s="31">
        <v>7</v>
      </c>
      <c r="AA45" s="31">
        <v>124</v>
      </c>
      <c r="AB45" s="103">
        <v>5.5900000000000004E-3</v>
      </c>
      <c r="AC45" s="103" t="s">
        <v>599</v>
      </c>
      <c r="AD45" s="250">
        <f>AB45/24/60/60</f>
        <v>6.4699074074074083E-8</v>
      </c>
      <c r="AE45" s="653">
        <f>(LN(2)/AF45)/(60*60*24)</f>
        <v>141.04749541993502</v>
      </c>
      <c r="AF45" s="209">
        <f>EXP(LN(AD45)+J45*(1/H45-1/298.15)/0.001972)</f>
        <v>5.6878264928783233E-8</v>
      </c>
      <c r="AO45" s="103"/>
      <c r="AP45" s="103"/>
      <c r="AS45" s="653"/>
      <c r="AT45" s="209"/>
      <c r="AU45" s="209"/>
    </row>
    <row r="46" spans="1:58" x14ac:dyDescent="0.3">
      <c r="A46" s="242"/>
      <c r="B46" s="57"/>
      <c r="E46" s="520"/>
      <c r="F46" s="57"/>
      <c r="G46" s="31">
        <v>26</v>
      </c>
      <c r="H46" s="31">
        <f>G46+273.15</f>
        <v>299.14999999999998</v>
      </c>
      <c r="I46" s="219">
        <f>-LOG10(EXP(LN(10^-14)+13.36*(1/298.15-1/H46)/0.0019872))</f>
        <v>13.967264018237437</v>
      </c>
      <c r="J46" s="92">
        <v>22.66</v>
      </c>
      <c r="M46" s="103"/>
      <c r="N46" s="130"/>
      <c r="P46" s="250"/>
      <c r="Q46" s="682"/>
      <c r="R46" s="209"/>
      <c r="S46" s="209"/>
      <c r="W46" s="153"/>
      <c r="X46" s="153"/>
      <c r="Y46" s="153"/>
      <c r="AB46" s="103"/>
      <c r="AC46" s="103"/>
      <c r="AD46" s="250"/>
      <c r="AE46" s="653"/>
      <c r="AF46" s="209"/>
      <c r="AM46" s="31">
        <v>9</v>
      </c>
      <c r="AN46" s="31">
        <v>132</v>
      </c>
      <c r="AO46" s="103">
        <v>5.2399999999999999E-3</v>
      </c>
      <c r="AP46" s="103" t="s">
        <v>599</v>
      </c>
      <c r="AQ46" s="250">
        <f>(AO46/60/60/24)*10^(AM46-9)</f>
        <v>6.0648148148148149E-8</v>
      </c>
      <c r="AR46" s="250">
        <f>AQ46*10^($I46-9)</f>
        <v>5.6244694570753428E-3</v>
      </c>
      <c r="AS46" s="653">
        <f>(LN(2)/AT46)/(60*60*24)</f>
        <v>162.0891367542564</v>
      </c>
      <c r="AT46" s="209">
        <f>AU46*10^(9-14)</f>
        <v>4.9494598914419446E-8</v>
      </c>
      <c r="AU46" s="209">
        <f>EXP(LN(AR46)+$J46*(1/$H46-1/298.15)/0.0019872)</f>
        <v>4.9494598914419444E-3</v>
      </c>
    </row>
    <row r="47" spans="1:58" ht="15" thickBot="1" x14ac:dyDescent="0.35">
      <c r="A47" s="242"/>
      <c r="B47" s="57"/>
      <c r="E47" s="520"/>
      <c r="F47" s="57"/>
      <c r="I47" s="219"/>
      <c r="M47" s="103"/>
      <c r="N47" s="103"/>
      <c r="P47" s="250"/>
      <c r="Q47" s="682"/>
      <c r="R47" s="209"/>
      <c r="S47" s="209"/>
      <c r="W47" s="400"/>
      <c r="X47" s="400"/>
      <c r="Y47" s="400"/>
      <c r="AB47" s="103"/>
      <c r="AC47" s="103"/>
      <c r="AD47" s="250"/>
      <c r="AE47" s="653"/>
      <c r="AF47" s="209"/>
      <c r="AO47" s="103"/>
      <c r="AP47" s="103"/>
      <c r="AS47" s="653"/>
      <c r="AT47" s="209"/>
      <c r="AU47" s="209"/>
    </row>
    <row r="48" spans="1:58" s="8" customFormat="1" x14ac:dyDescent="0.3">
      <c r="A48" s="376">
        <v>9</v>
      </c>
      <c r="B48" s="73" t="s">
        <v>148</v>
      </c>
      <c r="C48" s="37" t="s">
        <v>145</v>
      </c>
      <c r="D48" s="43" t="s">
        <v>912</v>
      </c>
      <c r="E48" s="377" t="s">
        <v>75</v>
      </c>
      <c r="F48" s="73" t="s">
        <v>195</v>
      </c>
      <c r="G48" s="372">
        <v>25</v>
      </c>
      <c r="H48" s="37">
        <f>G48+273.15</f>
        <v>298.14999999999998</v>
      </c>
      <c r="I48" s="218">
        <f>-LOG10(EXP(LN(10^-14)+13.36*(1/298.15-1/H48)/0.0019872))</f>
        <v>14</v>
      </c>
      <c r="J48" s="96">
        <v>22.66</v>
      </c>
      <c r="K48" s="37">
        <v>4</v>
      </c>
      <c r="L48" s="37">
        <v>6.1</v>
      </c>
      <c r="M48" s="37">
        <v>0.1143</v>
      </c>
      <c r="N48" s="37" t="s">
        <v>599</v>
      </c>
      <c r="O48" s="249">
        <f>M48/(60*60*24)*10^(K48-5)</f>
        <v>1.3229166666666666E-7</v>
      </c>
      <c r="P48" s="249">
        <f>O48*10^5</f>
        <v>1.3229166666666667E-2</v>
      </c>
      <c r="Q48" s="681">
        <f>(LN(2)/R48)/(60*60*24)</f>
        <v>60.642797949251566</v>
      </c>
      <c r="R48" s="215">
        <f>S48*10^-5</f>
        <v>1.3229166666666664E-7</v>
      </c>
      <c r="S48" s="215">
        <f>EXP(LN(P48)+$J48*(1/$H48-1/298.15)/0.0019872)</f>
        <v>1.3229166666666662E-2</v>
      </c>
      <c r="T48" s="410">
        <f>Q48</f>
        <v>60.642797949251566</v>
      </c>
      <c r="U48" s="410"/>
      <c r="V48" s="410"/>
      <c r="W48" s="153" t="s">
        <v>1005</v>
      </c>
      <c r="X48" s="153" t="s">
        <v>1004</v>
      </c>
      <c r="Y48" s="153" t="s">
        <v>1008</v>
      </c>
      <c r="Z48" s="37">
        <v>7</v>
      </c>
      <c r="AA48" s="37" t="s">
        <v>116</v>
      </c>
      <c r="AB48" s="37"/>
      <c r="AC48" s="37"/>
      <c r="AD48" s="249"/>
      <c r="AE48" s="654"/>
      <c r="AF48" s="215"/>
      <c r="AG48" s="423"/>
      <c r="AH48" s="423"/>
      <c r="AI48" s="423"/>
      <c r="AJ48" s="408" t="s">
        <v>1005</v>
      </c>
      <c r="AK48" s="408" t="s">
        <v>1004</v>
      </c>
      <c r="AL48" s="408" t="s">
        <v>1010</v>
      </c>
      <c r="AM48" s="37">
        <v>9</v>
      </c>
      <c r="AN48" s="37">
        <v>141</v>
      </c>
      <c r="AO48" s="37">
        <v>4.8999999999999998E-3</v>
      </c>
      <c r="AP48" s="37" t="s">
        <v>599</v>
      </c>
      <c r="AQ48" s="249">
        <f>AO48/(60*60*24)*10^(9-AM48)</f>
        <v>5.6712962962962959E-8</v>
      </c>
      <c r="AR48" s="249">
        <f>AQ48*10^($I48-9)</f>
        <v>5.6712962962962958E-3</v>
      </c>
      <c r="AS48" s="654">
        <f>(LN(2)/AT48)/(60*60*24)</f>
        <v>141.45860827753989</v>
      </c>
      <c r="AT48" s="215">
        <f>AU48*10^(9-14)</f>
        <v>5.6712962962962946E-8</v>
      </c>
      <c r="AU48" s="215">
        <f>EXP(LN(AR48)+$J48*(1/$H48-1/298.15)/0.0019872)</f>
        <v>5.6712962962962941E-3</v>
      </c>
      <c r="AV48" s="410">
        <f>AS48</f>
        <v>141.45860827753989</v>
      </c>
      <c r="AW48" s="410"/>
      <c r="AX48" s="410"/>
      <c r="AY48" s="159" t="s">
        <v>1013</v>
      </c>
      <c r="AZ48" s="294" t="s">
        <v>1012</v>
      </c>
      <c r="BA48" s="159" t="s">
        <v>1014</v>
      </c>
      <c r="BB48" s="186" t="s">
        <v>149</v>
      </c>
      <c r="BC48" s="186" t="s">
        <v>150</v>
      </c>
      <c r="BD48" s="186"/>
      <c r="BE48" s="37"/>
      <c r="BF48" s="37"/>
    </row>
    <row r="49" spans="1:58" x14ac:dyDescent="0.3">
      <c r="I49" s="219"/>
      <c r="P49" s="250"/>
      <c r="Q49" s="682"/>
      <c r="R49" s="209"/>
      <c r="S49" s="209"/>
      <c r="W49" s="402" t="s">
        <v>1007</v>
      </c>
      <c r="X49" s="402" t="s">
        <v>1006</v>
      </c>
      <c r="Y49" s="402" t="s">
        <v>1009</v>
      </c>
      <c r="AD49" s="250"/>
      <c r="AE49" s="653"/>
      <c r="AF49" s="209"/>
      <c r="AJ49" s="402" t="s">
        <v>1007</v>
      </c>
      <c r="AK49" s="402" t="s">
        <v>1006</v>
      </c>
      <c r="AL49" s="402" t="s">
        <v>1011</v>
      </c>
      <c r="AS49" s="653"/>
      <c r="AT49" s="209"/>
      <c r="AU49" s="209"/>
    </row>
    <row r="50" spans="1:58" x14ac:dyDescent="0.3">
      <c r="I50" s="219"/>
      <c r="P50" s="250"/>
      <c r="Q50" s="682"/>
      <c r="R50" s="209"/>
      <c r="S50" s="209"/>
      <c r="W50" s="402"/>
      <c r="X50" s="402"/>
      <c r="Y50" s="402"/>
      <c r="AD50" s="250"/>
      <c r="AE50" s="653"/>
      <c r="AF50" s="209"/>
      <c r="AS50" s="653"/>
      <c r="AT50" s="209"/>
      <c r="AU50" s="209"/>
    </row>
    <row r="51" spans="1:58" x14ac:dyDescent="0.3">
      <c r="I51" s="219"/>
      <c r="P51" s="250"/>
      <c r="Q51" s="682"/>
      <c r="R51" s="209"/>
      <c r="S51" s="209"/>
      <c r="W51" s="538"/>
      <c r="X51" s="538"/>
      <c r="Y51" s="538"/>
      <c r="AD51" s="250"/>
      <c r="AE51" s="653"/>
      <c r="AF51" s="209"/>
      <c r="AS51" s="653"/>
      <c r="AT51" s="209"/>
      <c r="AU51" s="209"/>
    </row>
    <row r="52" spans="1:58" s="9" customFormat="1" x14ac:dyDescent="0.3">
      <c r="A52" s="42">
        <v>10</v>
      </c>
      <c r="B52" s="42" t="s">
        <v>247</v>
      </c>
      <c r="C52" s="42" t="s">
        <v>918</v>
      </c>
      <c r="D52" s="43" t="s">
        <v>914</v>
      </c>
      <c r="E52" s="42" t="s">
        <v>248</v>
      </c>
      <c r="F52" s="42"/>
      <c r="G52" s="42">
        <v>25</v>
      </c>
      <c r="H52" s="42">
        <f>G52+273.15</f>
        <v>298.14999999999998</v>
      </c>
      <c r="I52" s="688">
        <f>-LOG10(EXP(LN(10^-14)+13.36*(1/298.15-1/H52)/0.0019872))</f>
        <v>14</v>
      </c>
      <c r="J52" s="453">
        <v>15.27</v>
      </c>
      <c r="K52" s="42">
        <v>4</v>
      </c>
      <c r="L52" s="42">
        <v>7.01</v>
      </c>
      <c r="M52" s="42"/>
      <c r="N52" s="42" t="s">
        <v>605</v>
      </c>
      <c r="O52" s="479">
        <f>(LN(2)/L52)/(60*60*24)*10^(K52-5)</f>
        <v>1.1444417706186027E-7</v>
      </c>
      <c r="P52" s="479">
        <f>O52*10^5</f>
        <v>1.1444417706186026E-2</v>
      </c>
      <c r="Q52" s="683">
        <f>(LN(2)/R52)/(60*60*24)</f>
        <v>70.099999999999966</v>
      </c>
      <c r="R52" s="217">
        <f>S52*10^-5</f>
        <v>1.1444417706186031E-7</v>
      </c>
      <c r="S52" s="217">
        <f>EXP(LN(P52)+$J52*(1/$H52-1/298.15)/0.0019872)</f>
        <v>1.144441770618603E-2</v>
      </c>
      <c r="T52" s="475">
        <f>AVERAGE(Q52:Q53)</f>
        <v>59.174999999999976</v>
      </c>
      <c r="U52" s="475">
        <f>MEDIAN(Q52:Q53)</f>
        <v>59.174999999999976</v>
      </c>
      <c r="V52" s="475">
        <f>STDEV(Q52:Q53)</f>
        <v>15.450283168926072</v>
      </c>
      <c r="W52" s="402"/>
      <c r="X52" s="402"/>
      <c r="Y52" s="402"/>
      <c r="Z52" s="42"/>
      <c r="AA52" s="42"/>
      <c r="AB52" s="42"/>
      <c r="AC52" s="42"/>
      <c r="AD52" s="479"/>
      <c r="AE52" s="749"/>
      <c r="AF52" s="217"/>
      <c r="AG52" s="480">
        <f>AE53</f>
        <v>163.66000000000005</v>
      </c>
      <c r="AH52" s="480"/>
      <c r="AI52" s="480"/>
      <c r="AJ52" s="161"/>
      <c r="AK52" s="161"/>
      <c r="AL52" s="161"/>
      <c r="AM52" s="42"/>
      <c r="AN52" s="42"/>
      <c r="AO52" s="42"/>
      <c r="AP52" s="42"/>
      <c r="AQ52" s="479"/>
      <c r="AR52" s="479"/>
      <c r="AS52" s="749"/>
      <c r="AT52" s="217"/>
      <c r="AU52" s="217"/>
      <c r="AV52" s="475">
        <f>AS53</f>
        <v>146.99000000000007</v>
      </c>
      <c r="AW52" s="475"/>
      <c r="AX52" s="475"/>
      <c r="AY52" s="161"/>
      <c r="AZ52" s="161"/>
      <c r="BA52" s="161"/>
      <c r="BB52" s="187"/>
      <c r="BC52" s="187"/>
      <c r="BD52" s="187"/>
      <c r="BE52" s="42"/>
      <c r="BF52" s="42"/>
    </row>
    <row r="53" spans="1:58" x14ac:dyDescent="0.3">
      <c r="G53" s="31">
        <v>25</v>
      </c>
      <c r="H53" s="31">
        <f>G53+273.15</f>
        <v>298.14999999999998</v>
      </c>
      <c r="I53" s="219">
        <f>-LOG10(EXP(LN(10^-14)+13.36*(1/298.15-1/H53)/0.0019872))</f>
        <v>14</v>
      </c>
      <c r="J53" s="91">
        <v>15.27</v>
      </c>
      <c r="K53" s="31">
        <v>5</v>
      </c>
      <c r="L53" s="31">
        <v>48.25</v>
      </c>
      <c r="N53" s="31" t="s">
        <v>605</v>
      </c>
      <c r="O53" s="250">
        <f>(LN(2)/L53)/(60*60*24)*10^(K53-5)</f>
        <v>1.6627019299557315E-7</v>
      </c>
      <c r="P53" s="250">
        <f>O53*10^5</f>
        <v>1.6627019299557316E-2</v>
      </c>
      <c r="Q53" s="682">
        <f>(LN(2)/R53)/(60*60*24)</f>
        <v>48.249999999999986</v>
      </c>
      <c r="R53" s="209">
        <f>S53*10^-5</f>
        <v>1.6627019299557317E-7</v>
      </c>
      <c r="S53" s="209">
        <f>EXP(LN(P53)+$J53*(1/$H53-1/298.15)/0.0019872)</f>
        <v>1.6627019299557316E-2</v>
      </c>
      <c r="W53" s="402"/>
      <c r="X53" s="402"/>
      <c r="Y53" s="402"/>
      <c r="Z53" s="31">
        <v>7</v>
      </c>
      <c r="AA53" s="31">
        <v>163.66</v>
      </c>
      <c r="AC53" s="31" t="s">
        <v>605</v>
      </c>
      <c r="AD53" s="250">
        <f>(LN(2)/AA53)/(60*60*24)</f>
        <v>4.9019533252086063E-8</v>
      </c>
      <c r="AE53" s="653">
        <f>(LN(2)/AF53)/(60*60*24)</f>
        <v>163.66000000000005</v>
      </c>
      <c r="AF53" s="209">
        <f>EXP(LN(AD53)+$J53*(1/$H53-1/298.15)/0.001972)</f>
        <v>4.9019533252086036E-8</v>
      </c>
      <c r="AM53" s="31">
        <v>9</v>
      </c>
      <c r="AN53" s="31">
        <v>146.99</v>
      </c>
      <c r="AP53" s="31" t="s">
        <v>605</v>
      </c>
      <c r="AQ53" s="250">
        <f>(LN(2)/AN53)/(60*60*24)*10^(9-AM53)</f>
        <v>5.4578793197063762E-8</v>
      </c>
      <c r="AR53" s="250">
        <f>AQ53*10^($I53-9)</f>
        <v>5.4578793197063765E-3</v>
      </c>
      <c r="AS53" s="653">
        <f>(LN(2)/AT53)/(60*60*24)</f>
        <v>146.99000000000007</v>
      </c>
      <c r="AT53" s="209">
        <f>AU53*10^(9-14)</f>
        <v>5.4578793197063749E-8</v>
      </c>
      <c r="AU53" s="209">
        <f>EXP(LN(AR53)+$J53*(1/$H53-1/298.15)/0.0019872)</f>
        <v>5.4578793197063748E-3</v>
      </c>
    </row>
    <row r="54" spans="1:58" x14ac:dyDescent="0.3">
      <c r="I54" s="219"/>
      <c r="J54" s="91"/>
      <c r="P54" s="250"/>
      <c r="Q54" s="682"/>
      <c r="R54" s="209"/>
      <c r="S54" s="209"/>
      <c r="W54" s="538"/>
      <c r="X54" s="538"/>
      <c r="Y54" s="538"/>
      <c r="AD54" s="250"/>
      <c r="AE54" s="653"/>
      <c r="AF54" s="209"/>
      <c r="AS54" s="653"/>
      <c r="AT54" s="209"/>
      <c r="AU54" s="209"/>
    </row>
    <row r="55" spans="1:58" s="9" customFormat="1" x14ac:dyDescent="0.3">
      <c r="A55" s="42">
        <v>11</v>
      </c>
      <c r="B55" s="42" t="s">
        <v>250</v>
      </c>
      <c r="C55" s="42" t="s">
        <v>249</v>
      </c>
      <c r="D55" s="43" t="s">
        <v>916</v>
      </c>
      <c r="E55" s="42" t="s">
        <v>1273</v>
      </c>
      <c r="F55" s="42" t="s">
        <v>1272</v>
      </c>
      <c r="G55" s="42">
        <v>50</v>
      </c>
      <c r="H55" s="42">
        <f>G55+273.15</f>
        <v>323.14999999999998</v>
      </c>
      <c r="I55" s="688">
        <f>-LOG10(EXP(LN(10^-14)+13.36*(1/298.15-1/H55)/0.0019872))</f>
        <v>13.242382102408241</v>
      </c>
      <c r="J55" s="93">
        <v>22.66</v>
      </c>
      <c r="K55" s="42">
        <v>4</v>
      </c>
      <c r="L55" s="42"/>
      <c r="M55" s="42">
        <v>38.465000000000003</v>
      </c>
      <c r="N55" s="42" t="s">
        <v>599</v>
      </c>
      <c r="O55" s="479">
        <f>M55/(60*60*24)*10^(K55-5)</f>
        <v>4.4519675925925933E-5</v>
      </c>
      <c r="P55" s="479">
        <f>O55*10^5</f>
        <v>4.4519675925925934</v>
      </c>
      <c r="Q55" s="683">
        <f>(LN(2)/R55)/(60*60*24)</f>
        <v>3.4734522904090515</v>
      </c>
      <c r="R55" s="217">
        <f>S55*10^-5</f>
        <v>2.3096723781663425E-6</v>
      </c>
      <c r="S55" s="217">
        <f>EXP(LN(P55)+$J55*(1/$H55-1/298.15)/0.0019872)</f>
        <v>0.23096723781663422</v>
      </c>
      <c r="T55" s="475">
        <f>Q55</f>
        <v>3.4734522904090515</v>
      </c>
      <c r="U55" s="475"/>
      <c r="V55" s="475"/>
      <c r="W55" s="402"/>
      <c r="X55" s="402"/>
      <c r="Y55" s="402"/>
      <c r="Z55" s="42"/>
      <c r="AA55" s="42"/>
      <c r="AB55" s="42"/>
      <c r="AC55" s="42"/>
      <c r="AD55" s="482"/>
      <c r="AE55" s="749"/>
      <c r="AF55" s="217"/>
      <c r="AG55" s="475">
        <f>AVERAGE(AE56:AE58)</f>
        <v>26.747093221981395</v>
      </c>
      <c r="AH55" s="475">
        <f>MEDIAN(AE56:AE58)</f>
        <v>26.747093221981395</v>
      </c>
      <c r="AI55" s="475">
        <f>STDEV(AE56:AE59)</f>
        <v>3.3099701763107663</v>
      </c>
      <c r="AJ55" s="476"/>
      <c r="AK55" s="476"/>
      <c r="AL55" s="476"/>
      <c r="AM55" s="42"/>
      <c r="AN55" s="42"/>
      <c r="AO55" s="42"/>
      <c r="AP55" s="42"/>
      <c r="AQ55" s="479"/>
      <c r="AR55" s="479"/>
      <c r="AS55" s="749"/>
      <c r="AT55" s="217"/>
      <c r="AU55" s="217"/>
      <c r="AV55" s="475">
        <f>AVERAGE(AS57:AS59)</f>
        <v>554.45308837719563</v>
      </c>
      <c r="AW55" s="475">
        <f>MEDIAN(AS57:AS58)</f>
        <v>554.45308837719563</v>
      </c>
      <c r="AX55" s="475">
        <f>STDEV(AS57:AS58)</f>
        <v>461.66174061539334</v>
      </c>
      <c r="AY55" s="476"/>
      <c r="AZ55" s="476"/>
      <c r="BA55" s="476"/>
      <c r="BB55" s="187"/>
      <c r="BC55" s="187"/>
      <c r="BD55" s="187"/>
      <c r="BE55" s="42"/>
      <c r="BF55" s="42"/>
    </row>
    <row r="56" spans="1:58" x14ac:dyDescent="0.3">
      <c r="G56" s="31">
        <v>50</v>
      </c>
      <c r="H56" s="31">
        <f>G56+273.15</f>
        <v>323.14999999999998</v>
      </c>
      <c r="I56" s="219">
        <f>-LOG10(EXP(LN(10^-14)+13.36*(1/298.15-1/H56)/0.0019872))</f>
        <v>13.242382102408241</v>
      </c>
      <c r="J56" s="92">
        <v>22.66</v>
      </c>
      <c r="P56" s="250"/>
      <c r="Q56" s="682"/>
      <c r="R56" s="209"/>
      <c r="S56" s="209"/>
      <c r="Z56" s="31">
        <v>7</v>
      </c>
      <c r="AB56" s="559">
        <v>1.958E-2</v>
      </c>
      <c r="AC56" s="31" t="s">
        <v>610</v>
      </c>
      <c r="AD56" s="250">
        <f>AB56/(60*60)</f>
        <v>5.4388888888888891E-6</v>
      </c>
      <c r="AE56" s="653">
        <f>(LN(2)/AF56)/(60*60*24)</f>
        <v>29.087595579175971</v>
      </c>
      <c r="AF56" s="209">
        <f>EXP(LN(AD56)+J56*(1/H56-1/298.15)/0.001972)</f>
        <v>2.7580611777275253E-7</v>
      </c>
      <c r="AS56" s="653"/>
      <c r="AT56" s="209"/>
      <c r="AU56" s="209"/>
    </row>
    <row r="57" spans="1:58" x14ac:dyDescent="0.3">
      <c r="G57" s="31">
        <v>50</v>
      </c>
      <c r="H57" s="31">
        <f>G57+273.15</f>
        <v>323.14999999999998</v>
      </c>
      <c r="I57" s="219">
        <f>-LOG10(EXP(LN(10^-14)+13.36*(1/298.15-1/H57)/0.0019872))</f>
        <v>13.242382102408241</v>
      </c>
      <c r="J57" s="92">
        <v>22.66</v>
      </c>
      <c r="P57" s="250"/>
      <c r="Q57" s="682"/>
      <c r="R57" s="209"/>
      <c r="S57" s="209"/>
      <c r="AD57" s="250"/>
      <c r="AE57" s="653"/>
      <c r="AF57" s="209"/>
      <c r="AM57" s="31">
        <v>9</v>
      </c>
      <c r="AO57" s="31">
        <v>8.6800000000000002E-2</v>
      </c>
      <c r="AP57" s="31" t="s">
        <v>599</v>
      </c>
      <c r="AQ57" s="250">
        <f>AO57/(60*60*24)*10^(9-AM57)</f>
        <v>1.0046296296296298E-6</v>
      </c>
      <c r="AR57" s="250">
        <f>AQ57*10^($I57-9)</f>
        <v>1.7554484681306083E-2</v>
      </c>
      <c r="AS57" s="653">
        <f>(LN(2)/AT57)/(60*60*24)</f>
        <v>880.89723578072517</v>
      </c>
      <c r="AT57" s="209">
        <f>AU57*10^(9-14)</f>
        <v>9.1072334957733834E-9</v>
      </c>
      <c r="AU57" s="209">
        <f>EXP(LN(AR57)+J57*(1/H57-1/298.15)/0.0019872)</f>
        <v>9.1072334957733822E-4</v>
      </c>
    </row>
    <row r="58" spans="1:58" x14ac:dyDescent="0.3">
      <c r="B58" s="57"/>
      <c r="C58" s="57"/>
      <c r="D58" s="438"/>
      <c r="E58" s="31" t="s">
        <v>1001</v>
      </c>
      <c r="G58" s="31">
        <v>25</v>
      </c>
      <c r="H58" s="31">
        <f>G58+273.15</f>
        <v>298.14999999999998</v>
      </c>
      <c r="I58" s="219">
        <f>-LOG10(EXP(LN(10^-14)+13.36*(1/298.15-1/H58)/0.0019872))</f>
        <v>14</v>
      </c>
      <c r="J58" s="92">
        <v>22.66</v>
      </c>
      <c r="P58" s="250"/>
      <c r="Q58" s="653"/>
      <c r="R58" s="209"/>
      <c r="S58" s="209"/>
      <c r="Z58" s="31">
        <v>7</v>
      </c>
      <c r="AB58" s="31">
        <v>2.8400000000000002E-2</v>
      </c>
      <c r="AC58" s="31" t="s">
        <v>599</v>
      </c>
      <c r="AD58" s="250">
        <f>AB58/(60*60*24)</f>
        <v>3.2870370370370371E-7</v>
      </c>
      <c r="AE58" s="653">
        <f>(LN(2)/AF58)/(60*60*24)</f>
        <v>24.406590864786821</v>
      </c>
      <c r="AF58" s="209">
        <f>EXP(LN(AD58)+$J58*(1/$H58-1/298.15)/0.001972)</f>
        <v>3.287037037037035E-7</v>
      </c>
      <c r="AJ58" s="146" t="s">
        <v>994</v>
      </c>
      <c r="AK58" s="146" t="s">
        <v>993</v>
      </c>
      <c r="AL58" s="146" t="s">
        <v>997</v>
      </c>
      <c r="AM58" s="31">
        <v>9</v>
      </c>
      <c r="AO58" s="31">
        <v>3.0400000000000002E-3</v>
      </c>
      <c r="AP58" s="31" t="s">
        <v>599</v>
      </c>
      <c r="AQ58" s="250">
        <f>AO58/(60*60*24)*10^(9-AM58)</f>
        <v>3.5185185185185188E-8</v>
      </c>
      <c r="AR58" s="250">
        <f>AQ58*10^($I58-9)</f>
        <v>3.5185185185185189E-3</v>
      </c>
      <c r="AS58" s="653">
        <f>(LN(2)/AT58)/(60*60*24)</f>
        <v>228.00894097366617</v>
      </c>
      <c r="AT58" s="209">
        <f>AU58*10^(9-14)</f>
        <v>3.5185185185185195E-8</v>
      </c>
      <c r="AU58" s="209">
        <f>EXP(LN(AR58)+$J58*(1/$H58-1/298.15)/0.0019872)</f>
        <v>3.5185185185185189E-3</v>
      </c>
      <c r="AY58" s="146" t="s">
        <v>994</v>
      </c>
      <c r="AZ58" s="146" t="s">
        <v>993</v>
      </c>
      <c r="BA58" s="146" t="s">
        <v>1002</v>
      </c>
    </row>
    <row r="59" spans="1:58" x14ac:dyDescent="0.3">
      <c r="I59" s="219"/>
      <c r="P59" s="250"/>
      <c r="Q59" s="653"/>
      <c r="R59" s="209"/>
      <c r="S59" s="209"/>
      <c r="AD59" s="250"/>
      <c r="AE59" s="653"/>
      <c r="AF59" s="209"/>
      <c r="AJ59" s="146" t="s">
        <v>996</v>
      </c>
      <c r="AK59" s="146" t="s">
        <v>995</v>
      </c>
      <c r="AL59" s="146" t="s">
        <v>1283</v>
      </c>
      <c r="AS59" s="653"/>
      <c r="AT59" s="209"/>
      <c r="AU59" s="209"/>
      <c r="AY59" s="146" t="s">
        <v>996</v>
      </c>
      <c r="AZ59" s="146" t="s">
        <v>995</v>
      </c>
      <c r="BA59" s="146" t="s">
        <v>1282</v>
      </c>
    </row>
    <row r="60" spans="1:58" x14ac:dyDescent="0.3">
      <c r="I60" s="219"/>
      <c r="P60" s="250"/>
      <c r="Q60" s="653"/>
      <c r="R60" s="209"/>
      <c r="S60" s="209"/>
      <c r="AD60" s="250"/>
      <c r="AE60" s="653"/>
      <c r="AF60" s="209"/>
      <c r="AJ60" s="146" t="s">
        <v>998</v>
      </c>
      <c r="AK60" s="146" t="s">
        <v>999</v>
      </c>
      <c r="AL60" s="146" t="s">
        <v>1000</v>
      </c>
      <c r="AS60" s="653"/>
      <c r="AT60" s="209"/>
      <c r="AU60" s="209"/>
      <c r="AY60" s="146" t="s">
        <v>998</v>
      </c>
      <c r="AZ60" s="146" t="s">
        <v>999</v>
      </c>
      <c r="BA60" s="146" t="s">
        <v>1003</v>
      </c>
    </row>
    <row r="61" spans="1:58" s="9" customFormat="1" x14ac:dyDescent="0.3">
      <c r="A61" s="42">
        <v>12</v>
      </c>
      <c r="B61" s="42" t="s">
        <v>251</v>
      </c>
      <c r="C61" s="42" t="s">
        <v>252</v>
      </c>
      <c r="D61" s="43" t="s">
        <v>916</v>
      </c>
      <c r="E61" s="42" t="s">
        <v>253</v>
      </c>
      <c r="F61" s="42"/>
      <c r="G61" s="42">
        <v>25</v>
      </c>
      <c r="H61" s="42">
        <f t="shared" ref="H61:H68" si="8">G61+273.15</f>
        <v>298.14999999999998</v>
      </c>
      <c r="I61" s="688">
        <f t="shared" ref="I61:I68" si="9">-LOG10(EXP(LN(10^-14)+13.36*(1/298.15-1/H61)/0.0019872))</f>
        <v>14</v>
      </c>
      <c r="J61" s="478">
        <f>114/4.184</f>
        <v>27.246653919694072</v>
      </c>
      <c r="K61" s="42">
        <v>4</v>
      </c>
      <c r="L61" s="42">
        <v>3.7</v>
      </c>
      <c r="M61" s="42"/>
      <c r="N61" s="42" t="s">
        <v>605</v>
      </c>
      <c r="O61" s="479">
        <f>(LN(2)/L61)/(60*60*24)*10^(K61-5)</f>
        <v>2.1682531924422713E-7</v>
      </c>
      <c r="P61" s="479">
        <f>O61*10^5</f>
        <v>2.1682531924422713E-2</v>
      </c>
      <c r="Q61" s="749">
        <f>(LN(2)/R61)/(60*60*24)</f>
        <v>36.999999999999986</v>
      </c>
      <c r="R61" s="217">
        <f>S61*10^-5</f>
        <v>2.1682531924422718E-7</v>
      </c>
      <c r="S61" s="217">
        <f>EXP(LN(P61)+$J61*(1/$H61-1/298.15)/0.0019872)</f>
        <v>2.1682531924422717E-2</v>
      </c>
      <c r="T61" s="475">
        <f>AVERAGE(Q61:Q66)</f>
        <v>23.4928180874237</v>
      </c>
      <c r="U61" s="475">
        <f>MEDIAN(Q61:Q66)</f>
        <v>23.54999999999999</v>
      </c>
      <c r="V61" s="475">
        <f>STDEV(Q61:Q66)</f>
        <v>15.658845704389005</v>
      </c>
      <c r="W61" s="476"/>
      <c r="X61" s="476"/>
      <c r="Y61" s="476" t="s">
        <v>1100</v>
      </c>
      <c r="Z61" s="42"/>
      <c r="AA61" s="42"/>
      <c r="AB61" s="42"/>
      <c r="AC61" s="42"/>
      <c r="AD61" s="482"/>
      <c r="AE61" s="749"/>
      <c r="AF61" s="217"/>
      <c r="AG61" s="475">
        <f>AVERAGE(AE63:AE67)</f>
        <v>129.38934975958969</v>
      </c>
      <c r="AH61" s="475">
        <f>MEDIAN(AE63:AE67)</f>
        <v>129.38934975958969</v>
      </c>
      <c r="AI61" s="475">
        <f>STDEV(AE63:AE67)</f>
        <v>1.9648372728912598</v>
      </c>
      <c r="AJ61" s="476"/>
      <c r="AK61" s="476"/>
      <c r="AL61" s="476"/>
      <c r="AM61" s="42"/>
      <c r="AN61" s="42"/>
      <c r="AO61" s="42"/>
      <c r="AP61" s="42"/>
      <c r="AQ61" s="479"/>
      <c r="AR61" s="479"/>
      <c r="AS61" s="749"/>
      <c r="AT61" s="217"/>
      <c r="AU61" s="217"/>
      <c r="AV61" s="475">
        <f>AVERAGE(AS63:AS68)</f>
        <v>261.08055756493394</v>
      </c>
      <c r="AW61" s="475">
        <f>MEDIAN(AS64:AS68)</f>
        <v>261.08055756493394</v>
      </c>
      <c r="AX61" s="475">
        <f>STDEV(AS64:AS68)</f>
        <v>182.54747514701063</v>
      </c>
      <c r="AY61" s="476"/>
      <c r="AZ61" s="476"/>
      <c r="BA61" s="476"/>
      <c r="BB61" s="187"/>
      <c r="BC61" s="187"/>
      <c r="BD61" s="187"/>
      <c r="BE61" s="42"/>
      <c r="BF61" s="42"/>
    </row>
    <row r="62" spans="1:58" x14ac:dyDescent="0.3">
      <c r="E62" s="31" t="s">
        <v>1101</v>
      </c>
      <c r="G62" s="31">
        <v>25</v>
      </c>
      <c r="H62" s="31">
        <f t="shared" si="8"/>
        <v>298.14999999999998</v>
      </c>
      <c r="I62" s="219">
        <f t="shared" si="9"/>
        <v>14</v>
      </c>
      <c r="J62" s="129">
        <f>113/4.184</f>
        <v>27.007648183556405</v>
      </c>
      <c r="K62" s="31">
        <v>5</v>
      </c>
      <c r="L62" s="31">
        <v>10.1</v>
      </c>
      <c r="N62" s="31" t="s">
        <v>605</v>
      </c>
      <c r="O62" s="250">
        <f>(LN(2)/L62)/(60*60*24)*10^(K62-5)</f>
        <v>7.9431057544914885E-7</v>
      </c>
      <c r="P62" s="250">
        <f>O62*10^5</f>
        <v>7.943105754491489E-2</v>
      </c>
      <c r="Q62" s="653">
        <f>(LN(2)/R62)/(60*60*24)</f>
        <v>10.099999999999998</v>
      </c>
      <c r="R62" s="209">
        <f>S62*10^-5</f>
        <v>7.9431057544914906E-7</v>
      </c>
      <c r="S62" s="209">
        <f>EXP(LN(P62)+$J62*(1/$H62-1/298.15)/0.0019872)</f>
        <v>7.9431057544914904E-2</v>
      </c>
      <c r="AD62" s="250"/>
      <c r="AE62" s="653"/>
      <c r="AF62" s="209"/>
      <c r="AS62" s="653"/>
      <c r="AT62" s="209"/>
      <c r="AU62" s="209"/>
    </row>
    <row r="63" spans="1:58" x14ac:dyDescent="0.3">
      <c r="E63" s="31" t="s">
        <v>1102</v>
      </c>
      <c r="G63" s="31">
        <v>25</v>
      </c>
      <c r="H63" s="31">
        <f t="shared" si="8"/>
        <v>298.14999999999998</v>
      </c>
      <c r="I63" s="219">
        <f t="shared" si="9"/>
        <v>14</v>
      </c>
      <c r="J63" s="129">
        <f>98/4.184</f>
        <v>23.422562141491394</v>
      </c>
      <c r="P63" s="250"/>
      <c r="Q63" s="653"/>
      <c r="R63" s="209"/>
      <c r="S63" s="209"/>
      <c r="Z63" s="31">
        <v>7</v>
      </c>
      <c r="AA63" s="31">
        <v>128</v>
      </c>
      <c r="AC63" s="31" t="s">
        <v>605</v>
      </c>
      <c r="AD63" s="250">
        <f>(LN(2)/AA63)/(60*60*24)</f>
        <v>6.2676068844034404E-8</v>
      </c>
      <c r="AE63" s="653">
        <f>(LN(2)/AF63)/(60*60*24)</f>
        <v>128.0000000000002</v>
      </c>
      <c r="AF63" s="209">
        <f>EXP(LN(AD63)+$J63*(1/$H63-1/298.15)/0.001972)</f>
        <v>6.2676068844034312E-8</v>
      </c>
      <c r="AS63" s="653"/>
      <c r="AT63" s="209"/>
      <c r="AU63" s="209"/>
    </row>
    <row r="64" spans="1:58" x14ac:dyDescent="0.3">
      <c r="G64" s="31">
        <v>25</v>
      </c>
      <c r="H64" s="31">
        <f t="shared" si="8"/>
        <v>298.14999999999998</v>
      </c>
      <c r="I64" s="219">
        <f t="shared" si="9"/>
        <v>14</v>
      </c>
      <c r="J64" s="129">
        <f>67/4.184</f>
        <v>16.013384321223707</v>
      </c>
      <c r="P64" s="250"/>
      <c r="Q64" s="653"/>
      <c r="R64" s="209"/>
      <c r="S64" s="209"/>
      <c r="AD64" s="250"/>
      <c r="AE64" s="653"/>
      <c r="AF64" s="209"/>
      <c r="AM64" s="31">
        <v>9</v>
      </c>
      <c r="AN64" s="31">
        <v>132</v>
      </c>
      <c r="AP64" s="31" t="s">
        <v>605</v>
      </c>
      <c r="AQ64" s="250">
        <f>(LN(2)/AN64)/(60*60*24)*10^(9-AM64)</f>
        <v>6.0776794030578825E-8</v>
      </c>
      <c r="AR64" s="250">
        <f>AQ64*10^($I64-9)</f>
        <v>6.0776794030578821E-3</v>
      </c>
      <c r="AS64" s="653">
        <f>(LN(2)/AT64)/(60*60*24)</f>
        <v>131.99999999999994</v>
      </c>
      <c r="AT64" s="209">
        <f>AU64*10^(9-14)</f>
        <v>6.0776794030578838E-8</v>
      </c>
      <c r="AU64" s="209">
        <f>EXP(LN(AR64)+$J64*(1/$H64-1/298.15)/0.0019872)</f>
        <v>6.0776794030578838E-3</v>
      </c>
    </row>
    <row r="65" spans="1:58" x14ac:dyDescent="0.3">
      <c r="G65" s="31">
        <v>40</v>
      </c>
      <c r="H65" s="31">
        <f t="shared" si="8"/>
        <v>313.14999999999998</v>
      </c>
      <c r="I65" s="219">
        <f t="shared" si="9"/>
        <v>13.530913191237214</v>
      </c>
      <c r="J65" s="129">
        <f>114/4.184</f>
        <v>27.246653919694072</v>
      </c>
      <c r="K65" s="31">
        <v>4</v>
      </c>
      <c r="L65" s="31">
        <v>0.41</v>
      </c>
      <c r="N65" s="31" t="s">
        <v>605</v>
      </c>
      <c r="O65" s="250">
        <f>(LN(2)/L65)/(60*60*24)*10^(K65-5)</f>
        <v>1.9567162956186349E-6</v>
      </c>
      <c r="P65" s="250">
        <f>O65*10^5</f>
        <v>0.19567162956186349</v>
      </c>
      <c r="Q65" s="653">
        <f>(LN(2)/R65)/(60*60*24)</f>
        <v>37.106412804159334</v>
      </c>
      <c r="R65" s="209">
        <f>S65*10^-5</f>
        <v>2.1620351324117058E-7</v>
      </c>
      <c r="S65" s="209">
        <f>EXP(LN(P65)+$J65*(1/$H65-1/298.15)/0.0019872)</f>
        <v>2.1620351324117056E-2</v>
      </c>
      <c r="AE65" s="653"/>
      <c r="AF65" s="209"/>
      <c r="AS65" s="653"/>
      <c r="AT65" s="209"/>
      <c r="AU65" s="209"/>
    </row>
    <row r="66" spans="1:58" x14ac:dyDescent="0.3">
      <c r="G66" s="31">
        <v>40</v>
      </c>
      <c r="H66" s="31">
        <f t="shared" si="8"/>
        <v>313.14999999999998</v>
      </c>
      <c r="I66" s="219">
        <f t="shared" si="9"/>
        <v>13.530913191237214</v>
      </c>
      <c r="J66" s="129">
        <f>113/4.184</f>
        <v>27.007648183556405</v>
      </c>
      <c r="K66" s="31">
        <v>5</v>
      </c>
      <c r="L66" s="31">
        <v>1.1000000000000001</v>
      </c>
      <c r="N66" s="31" t="s">
        <v>605</v>
      </c>
      <c r="O66" s="250">
        <f>(LN(2)/L66)/(60*60*24)*10^(K66-5)</f>
        <v>7.2932152836694571E-6</v>
      </c>
      <c r="P66" s="250">
        <f>O66*10^5</f>
        <v>0.72932152836694575</v>
      </c>
      <c r="Q66" s="653">
        <f>(LN(2)/R66)/(60*60*24)</f>
        <v>9.7648595455354936</v>
      </c>
      <c r="R66" s="209">
        <f>S66*10^-5</f>
        <v>8.2157216646339969E-7</v>
      </c>
      <c r="S66" s="209">
        <f>EXP(LN(P66)+$J66*(1/$H66-1/298.15)/0.0019872)</f>
        <v>8.2157216646339959E-2</v>
      </c>
      <c r="AD66" s="250"/>
      <c r="AE66" s="653"/>
      <c r="AF66" s="209"/>
      <c r="AS66" s="653"/>
      <c r="AT66" s="209"/>
      <c r="AU66" s="209"/>
    </row>
    <row r="67" spans="1:58" x14ac:dyDescent="0.3">
      <c r="G67" s="31">
        <v>40</v>
      </c>
      <c r="H67" s="31">
        <f t="shared" si="8"/>
        <v>313.14999999999998</v>
      </c>
      <c r="I67" s="219">
        <f t="shared" si="9"/>
        <v>13.530913191237214</v>
      </c>
      <c r="J67" s="129">
        <f>98/4.184</f>
        <v>23.422562141491394</v>
      </c>
      <c r="P67" s="250"/>
      <c r="Q67" s="653"/>
      <c r="R67" s="209"/>
      <c r="S67" s="209"/>
      <c r="Z67" s="31">
        <v>7</v>
      </c>
      <c r="AA67" s="31">
        <v>19.399999999999999</v>
      </c>
      <c r="AC67" s="31" t="s">
        <v>605</v>
      </c>
      <c r="AD67" s="250">
        <f>(LN(2)/AA67)/(60*60*24)</f>
        <v>4.1353282536270126E-7</v>
      </c>
      <c r="AE67" s="653">
        <f>(LN(2)/AF67)/(60*60*24)</f>
        <v>130.77869951917918</v>
      </c>
      <c r="AF67" s="209">
        <f>EXP(LN(AD67)+$J67*(1/$H67-1/298.15)/0.001972)</f>
        <v>6.1344369087107106E-8</v>
      </c>
      <c r="AS67" s="653"/>
      <c r="AT67" s="209"/>
      <c r="AU67" s="209"/>
    </row>
    <row r="68" spans="1:58" x14ac:dyDescent="0.3">
      <c r="G68" s="31">
        <v>40</v>
      </c>
      <c r="H68" s="31">
        <f t="shared" si="8"/>
        <v>313.14999999999998</v>
      </c>
      <c r="I68" s="219">
        <f t="shared" si="9"/>
        <v>13.530913191237214</v>
      </c>
      <c r="J68" s="129">
        <f>67/4.184</f>
        <v>16.013384321223707</v>
      </c>
      <c r="P68" s="250"/>
      <c r="Q68" s="653"/>
      <c r="R68" s="209"/>
      <c r="S68" s="209"/>
      <c r="AD68" s="250"/>
      <c r="AE68" s="653"/>
      <c r="AF68" s="209"/>
      <c r="AM68" s="31">
        <v>9</v>
      </c>
      <c r="AN68" s="31">
        <v>36.299999999999997</v>
      </c>
      <c r="AP68" s="31" t="s">
        <v>605</v>
      </c>
      <c r="AQ68" s="250">
        <f>(LN(2)/AN68)/(60*60*24)*10^(9-AM68)</f>
        <v>2.2100652374755936E-7</v>
      </c>
      <c r="AR68" s="250">
        <f>AQ68*10^($I68-9)</f>
        <v>7.5044399155826972E-3</v>
      </c>
      <c r="AS68" s="653">
        <f>(LN(2)/AT68)/(60*60*24)</f>
        <v>390.16111512986794</v>
      </c>
      <c r="AT68" s="209">
        <f>AU68*10^(9-14)</f>
        <v>2.056211267841503E-8</v>
      </c>
      <c r="AU68" s="209">
        <f>EXP(LN(AR68)+$J68*(1/$H68-1/298.15)/0.0019872)</f>
        <v>2.0562112678415029E-3</v>
      </c>
    </row>
    <row r="69" spans="1:58" x14ac:dyDescent="0.3">
      <c r="I69" s="219"/>
      <c r="J69" s="91"/>
      <c r="P69" s="250"/>
      <c r="Q69" s="653"/>
      <c r="R69" s="209"/>
      <c r="S69" s="209"/>
      <c r="W69" s="538"/>
      <c r="X69" s="538"/>
      <c r="Y69" s="538"/>
      <c r="AD69" s="250"/>
      <c r="AE69" s="653"/>
      <c r="AF69" s="209"/>
      <c r="AS69" s="653"/>
      <c r="AT69" s="209"/>
      <c r="AU69" s="209"/>
    </row>
    <row r="70" spans="1:58" s="9" customFormat="1" x14ac:dyDescent="0.3">
      <c r="A70" s="42">
        <v>13</v>
      </c>
      <c r="B70" s="42" t="s">
        <v>254</v>
      </c>
      <c r="C70" s="42" t="s">
        <v>255</v>
      </c>
      <c r="D70" s="43" t="s">
        <v>914</v>
      </c>
      <c r="E70" s="42" t="s">
        <v>256</v>
      </c>
      <c r="F70" s="42"/>
      <c r="G70" s="42">
        <v>25</v>
      </c>
      <c r="H70" s="42">
        <f t="shared" ref="H70:H77" si="10">G70+273.15</f>
        <v>298.14999999999998</v>
      </c>
      <c r="I70" s="688">
        <f t="shared" ref="I70:I77" si="11">-LOG10(EXP(LN(10^-14)+13.36*(1/298.15-1/H70)/0.0019872))</f>
        <v>14</v>
      </c>
      <c r="J70" s="93">
        <v>22.66</v>
      </c>
      <c r="K70" s="42">
        <v>4</v>
      </c>
      <c r="L70" s="42">
        <v>7.7</v>
      </c>
      <c r="M70" s="42"/>
      <c r="N70" s="42" t="s">
        <v>605</v>
      </c>
      <c r="O70" s="479">
        <f t="shared" ref="O70:O75" si="12">(LN(2)/L70)/(60*60*24)*10^(K70-5)</f>
        <v>1.0418878976670653E-7</v>
      </c>
      <c r="P70" s="479">
        <f t="shared" ref="P70:P75" si="13">O70*10^5</f>
        <v>1.0418878976670654E-2</v>
      </c>
      <c r="Q70" s="749">
        <f t="shared" ref="Q70:Q75" si="14">(LN(2)/R70)/(60*60*24)</f>
        <v>77.000000000000014</v>
      </c>
      <c r="R70" s="217">
        <f t="shared" ref="R70:R75" si="15">S70*10^-5</f>
        <v>1.0418878976670653E-7</v>
      </c>
      <c r="S70" s="217">
        <f t="shared" ref="S70:S75" si="16">EXP(LN(P70)+$J70*(1/$H70-1/298.15)/0.0019872)</f>
        <v>1.0418878976670652E-2</v>
      </c>
      <c r="T70" s="475">
        <f>AVERAGE(Q70:Q75)</f>
        <v>33.736296047713843</v>
      </c>
      <c r="U70" s="475">
        <f>MEDIAN(Q70:Q75)</f>
        <v>20.137930771631424</v>
      </c>
      <c r="V70" s="475">
        <f>STDEV(Q70:Q75)</f>
        <v>29.109128605113195</v>
      </c>
      <c r="W70" s="402"/>
      <c r="X70" s="402"/>
      <c r="Y70" s="402"/>
      <c r="Z70" s="42">
        <v>7</v>
      </c>
      <c r="AA70" s="42">
        <v>495</v>
      </c>
      <c r="AB70" s="42"/>
      <c r="AC70" s="42" t="s">
        <v>605</v>
      </c>
      <c r="AD70" s="479">
        <f>(LN(2)/AA70)/(60*60*24)</f>
        <v>1.6207145074821018E-8</v>
      </c>
      <c r="AE70" s="749">
        <f>(LN(2)/AF70)/(60*60*24)</f>
        <v>494.99999999999955</v>
      </c>
      <c r="AF70" s="217">
        <f>EXP(LN(AD70)+$J70*(1/$H70-1/298.15)/0.001972)</f>
        <v>1.6207145074821032E-8</v>
      </c>
      <c r="AG70" s="475">
        <f>AVERAGE(AE70:AE76)</f>
        <v>683.69356294533304</v>
      </c>
      <c r="AH70" s="475">
        <f>MEDIAN(AE70:AE76)</f>
        <v>683.69356294533304</v>
      </c>
      <c r="AI70" s="475">
        <f>STDEV(AE70:AE76)</f>
        <v>266.85299584979225</v>
      </c>
      <c r="AJ70" s="476"/>
      <c r="AK70" s="476"/>
      <c r="AL70" s="476"/>
      <c r="AM70" s="42">
        <v>9</v>
      </c>
      <c r="AN70" s="42">
        <v>533</v>
      </c>
      <c r="AO70" s="42"/>
      <c r="AP70" s="42" t="s">
        <v>605</v>
      </c>
      <c r="AQ70" s="479">
        <f>(LN(2)/AN70)/(60*60*24)*10^(9-AM70)</f>
        <v>1.505166381245104E-8</v>
      </c>
      <c r="AR70" s="479">
        <f>AQ70*10^($I70-9)</f>
        <v>1.5051663812451041E-3</v>
      </c>
      <c r="AS70" s="749">
        <f>(LN(2)/AT70)/(60*60*24)</f>
        <v>532.99999999999977</v>
      </c>
      <c r="AT70" s="217">
        <f>AU70*10^(9-14)</f>
        <v>1.5051663812451047E-8</v>
      </c>
      <c r="AU70" s="217">
        <f>EXP(LN(AR70)+$J70*(1/$H70-1/298.15)/0.0019872)</f>
        <v>1.5051663812451046E-3</v>
      </c>
      <c r="AV70" s="475">
        <f>AVERAGE(AS70:AS77)</f>
        <v>821.17711415491635</v>
      </c>
      <c r="AW70" s="475">
        <f>MEDIAN(AS70:AS77)</f>
        <v>821.17711415491635</v>
      </c>
      <c r="AX70" s="475">
        <f>STDEV(AS70:AS77)</f>
        <v>407.54398320342278</v>
      </c>
      <c r="AY70" s="476"/>
      <c r="AZ70" s="476"/>
      <c r="BA70" s="476"/>
      <c r="BB70" s="187"/>
      <c r="BC70" s="187"/>
      <c r="BD70" s="187"/>
      <c r="BE70" s="42"/>
      <c r="BF70" s="42"/>
    </row>
    <row r="71" spans="1:58" x14ac:dyDescent="0.3">
      <c r="G71" s="31">
        <v>25</v>
      </c>
      <c r="H71" s="31">
        <f t="shared" si="10"/>
        <v>298.14999999999998</v>
      </c>
      <c r="I71" s="219">
        <f t="shared" si="11"/>
        <v>14</v>
      </c>
      <c r="J71" s="92">
        <v>22.66</v>
      </c>
      <c r="K71" s="31">
        <v>5</v>
      </c>
      <c r="L71" s="31">
        <v>22.8</v>
      </c>
      <c r="N71" s="31" t="s">
        <v>605</v>
      </c>
      <c r="O71" s="250">
        <f t="shared" si="12"/>
        <v>3.5186564965071944E-7</v>
      </c>
      <c r="P71" s="250">
        <f t="shared" si="13"/>
        <v>3.5186564965071943E-2</v>
      </c>
      <c r="Q71" s="653">
        <f t="shared" si="14"/>
        <v>22.799999999999994</v>
      </c>
      <c r="R71" s="209">
        <f t="shared" si="15"/>
        <v>3.5186564965071954E-7</v>
      </c>
      <c r="S71" s="209">
        <f t="shared" si="16"/>
        <v>3.5186564965071949E-2</v>
      </c>
      <c r="AD71" s="250"/>
      <c r="AE71" s="653"/>
      <c r="AF71" s="209"/>
      <c r="AS71" s="653"/>
      <c r="AT71" s="209"/>
      <c r="AU71" s="209"/>
    </row>
    <row r="72" spans="1:58" x14ac:dyDescent="0.3">
      <c r="G72" s="31">
        <v>25</v>
      </c>
      <c r="H72" s="31">
        <f t="shared" si="10"/>
        <v>298.14999999999998</v>
      </c>
      <c r="I72" s="219">
        <f t="shared" si="11"/>
        <v>14</v>
      </c>
      <c r="J72" s="92">
        <v>22.66</v>
      </c>
      <c r="K72" s="31">
        <v>6</v>
      </c>
      <c r="L72" s="31">
        <v>119.5</v>
      </c>
      <c r="N72" s="31" t="s">
        <v>605</v>
      </c>
      <c r="O72" s="250">
        <f t="shared" si="12"/>
        <v>6.7134199263902971E-7</v>
      </c>
      <c r="P72" s="250">
        <f t="shared" si="13"/>
        <v>6.7134199263902974E-2</v>
      </c>
      <c r="Q72" s="653">
        <f t="shared" si="14"/>
        <v>11.95</v>
      </c>
      <c r="R72" s="209">
        <f t="shared" si="15"/>
        <v>6.7134199263902961E-7</v>
      </c>
      <c r="S72" s="209">
        <f t="shared" si="16"/>
        <v>6.7134199263902961E-2</v>
      </c>
      <c r="AD72" s="250"/>
      <c r="AE72" s="653"/>
      <c r="AF72" s="209"/>
      <c r="AS72" s="653"/>
      <c r="AT72" s="209"/>
      <c r="AU72" s="209"/>
    </row>
    <row r="73" spans="1:58" x14ac:dyDescent="0.3">
      <c r="G73" s="31">
        <v>30</v>
      </c>
      <c r="H73" s="31">
        <f t="shared" si="10"/>
        <v>303.14999999999998</v>
      </c>
      <c r="I73" s="219">
        <f t="shared" si="11"/>
        <v>13.838479812893434</v>
      </c>
      <c r="J73" s="92">
        <v>22.66</v>
      </c>
      <c r="K73" s="31">
        <v>4</v>
      </c>
      <c r="L73" s="31">
        <v>3.4</v>
      </c>
      <c r="N73" s="31" t="s">
        <v>605</v>
      </c>
      <c r="O73" s="250">
        <f t="shared" si="12"/>
        <v>2.3595696505989426E-7</v>
      </c>
      <c r="P73" s="250">
        <f t="shared" si="13"/>
        <v>2.3595696505989427E-2</v>
      </c>
      <c r="Q73" s="653">
        <f t="shared" si="14"/>
        <v>63.890246502251259</v>
      </c>
      <c r="R73" s="209">
        <f t="shared" si="15"/>
        <v>1.2556747314715273E-7</v>
      </c>
      <c r="S73" s="209">
        <f t="shared" si="16"/>
        <v>1.2556747314715271E-2</v>
      </c>
      <c r="AE73" s="653"/>
      <c r="AF73" s="209"/>
      <c r="AS73" s="653"/>
      <c r="AT73" s="209"/>
      <c r="AU73" s="209"/>
    </row>
    <row r="74" spans="1:58" x14ac:dyDescent="0.3">
      <c r="G74" s="31">
        <v>30</v>
      </c>
      <c r="H74" s="31">
        <f t="shared" si="10"/>
        <v>303.14999999999998</v>
      </c>
      <c r="I74" s="219">
        <f t="shared" si="11"/>
        <v>13.838479812893434</v>
      </c>
      <c r="J74" s="92">
        <v>22.66</v>
      </c>
      <c r="K74" s="31">
        <v>5</v>
      </c>
      <c r="L74" s="31">
        <v>9.3000000000000007</v>
      </c>
      <c r="N74" s="31" t="s">
        <v>605</v>
      </c>
      <c r="O74" s="250">
        <f t="shared" si="12"/>
        <v>8.6263836688563473E-7</v>
      </c>
      <c r="P74" s="250">
        <f t="shared" si="13"/>
        <v>8.6263836688563467E-2</v>
      </c>
      <c r="Q74" s="653">
        <f t="shared" si="14"/>
        <v>17.475861543262852</v>
      </c>
      <c r="R74" s="209">
        <f t="shared" si="15"/>
        <v>4.5906388032292372E-7</v>
      </c>
      <c r="S74" s="209">
        <f t="shared" si="16"/>
        <v>4.590638803229237E-2</v>
      </c>
      <c r="AD74" s="250"/>
      <c r="AE74" s="653"/>
      <c r="AF74" s="209"/>
      <c r="AS74" s="653"/>
      <c r="AT74" s="209"/>
      <c r="AU74" s="209"/>
    </row>
    <row r="75" spans="1:58" x14ac:dyDescent="0.3">
      <c r="G75" s="31">
        <v>30</v>
      </c>
      <c r="H75" s="31">
        <f t="shared" si="10"/>
        <v>303.14999999999998</v>
      </c>
      <c r="I75" s="219">
        <f t="shared" si="11"/>
        <v>13.838479812893434</v>
      </c>
      <c r="J75" s="92">
        <v>22.66</v>
      </c>
      <c r="K75" s="31">
        <v>6</v>
      </c>
      <c r="L75" s="31">
        <v>49.5</v>
      </c>
      <c r="N75" s="31" t="s">
        <v>605</v>
      </c>
      <c r="O75" s="250">
        <f t="shared" si="12"/>
        <v>1.6207145074821017E-6</v>
      </c>
      <c r="P75" s="250">
        <f t="shared" si="13"/>
        <v>0.16207145074821017</v>
      </c>
      <c r="Q75" s="653">
        <f t="shared" si="14"/>
        <v>9.3016682407689384</v>
      </c>
      <c r="R75" s="209">
        <f t="shared" si="15"/>
        <v>8.6248365394003854E-7</v>
      </c>
      <c r="S75" s="209">
        <f t="shared" si="16"/>
        <v>8.6248365394003851E-2</v>
      </c>
      <c r="AD75" s="250"/>
      <c r="AE75" s="653"/>
      <c r="AF75" s="209"/>
      <c r="AS75" s="653"/>
      <c r="AT75" s="209"/>
      <c r="AU75" s="209"/>
    </row>
    <row r="76" spans="1:58" x14ac:dyDescent="0.3">
      <c r="G76" s="31">
        <v>30</v>
      </c>
      <c r="H76" s="31">
        <f t="shared" si="10"/>
        <v>303.14999999999998</v>
      </c>
      <c r="I76" s="219">
        <f t="shared" si="11"/>
        <v>13.838479812893434</v>
      </c>
      <c r="J76" s="92">
        <v>22.66</v>
      </c>
      <c r="P76" s="250"/>
      <c r="Q76" s="653"/>
      <c r="R76" s="209"/>
      <c r="S76" s="209"/>
      <c r="Z76" s="31">
        <v>7</v>
      </c>
      <c r="AA76" s="31">
        <v>462</v>
      </c>
      <c r="AC76" s="31" t="s">
        <v>605</v>
      </c>
      <c r="AD76" s="250">
        <f>(LN(2)/AA76)/(60*60*24)</f>
        <v>1.7364798294451088E-8</v>
      </c>
      <c r="AE76" s="653">
        <f>(LN(2)/AF76)/(60*60*24)</f>
        <v>872.38712589066665</v>
      </c>
      <c r="AF76" s="209">
        <f>EXP(LN(AD76)+J76*(1/H76-1/298.15)/0.001972)</f>
        <v>9.1960742816393207E-9</v>
      </c>
      <c r="AS76" s="653"/>
      <c r="AT76" s="209"/>
      <c r="AU76" s="209"/>
    </row>
    <row r="77" spans="1:58" x14ac:dyDescent="0.3">
      <c r="G77" s="31">
        <v>30</v>
      </c>
      <c r="H77" s="31">
        <f t="shared" si="10"/>
        <v>303.14999999999998</v>
      </c>
      <c r="I77" s="219">
        <f t="shared" si="11"/>
        <v>13.838479812893434</v>
      </c>
      <c r="J77" s="92">
        <v>22.66</v>
      </c>
      <c r="P77" s="250"/>
      <c r="Q77" s="653"/>
      <c r="R77" s="209"/>
      <c r="S77" s="209"/>
      <c r="AD77" s="250"/>
      <c r="AE77" s="653"/>
      <c r="AF77" s="209"/>
      <c r="AM77" s="31">
        <v>9</v>
      </c>
      <c r="AN77" s="31">
        <v>407</v>
      </c>
      <c r="AP77" s="31" t="s">
        <v>605</v>
      </c>
      <c r="AQ77" s="250">
        <f>(LN(2)/AN77)/(60*60*24)*10^(9-AM77)</f>
        <v>1.9711392658566101E-8</v>
      </c>
      <c r="AR77" s="250">
        <f>AQ77*10^($I77-9)</f>
        <v>1.3589301123923163E-3</v>
      </c>
      <c r="AS77" s="653">
        <f>(LN(2)/AT77)/(60*60*24)</f>
        <v>1109.3542283098329</v>
      </c>
      <c r="AT77" s="209">
        <f>AU77*10^(9-14)</f>
        <v>7.2317178835287041E-9</v>
      </c>
      <c r="AU77" s="209">
        <f>EXP(LN(AR77)+J77*(1/H77-1/298.15)/0.0019872)</f>
        <v>7.2317178835287039E-4</v>
      </c>
    </row>
    <row r="78" spans="1:58" ht="15" thickBot="1" x14ac:dyDescent="0.35">
      <c r="I78" s="219"/>
      <c r="J78" s="91"/>
      <c r="P78" s="250"/>
      <c r="Q78" s="653"/>
      <c r="R78" s="209"/>
      <c r="S78" s="209"/>
      <c r="AD78" s="250"/>
      <c r="AE78" s="653"/>
      <c r="AF78" s="209"/>
      <c r="AS78" s="653"/>
      <c r="AT78" s="209"/>
      <c r="AU78" s="209"/>
    </row>
    <row r="79" spans="1:58" s="8" customFormat="1" x14ac:dyDescent="0.3">
      <c r="A79" s="37">
        <v>15</v>
      </c>
      <c r="B79" s="37" t="s">
        <v>259</v>
      </c>
      <c r="C79" s="37" t="s">
        <v>260</v>
      </c>
      <c r="D79" s="38" t="s">
        <v>912</v>
      </c>
      <c r="E79" s="37" t="s">
        <v>261</v>
      </c>
      <c r="F79" s="37" t="s">
        <v>741</v>
      </c>
      <c r="G79" s="37">
        <v>25</v>
      </c>
      <c r="H79" s="37">
        <f>G79+273.15</f>
        <v>298.14999999999998</v>
      </c>
      <c r="I79" s="218">
        <f>-LOG10(EXP(LN(10^-14)+13.36*(1/298.15-1/H79)/0.0019872))</f>
        <v>14</v>
      </c>
      <c r="J79" s="477">
        <f>56.8/4.184</f>
        <v>13.575525812619501</v>
      </c>
      <c r="K79" s="37">
        <v>3.1</v>
      </c>
      <c r="L79" s="37">
        <f>37.8</f>
        <v>37.799999999999997</v>
      </c>
      <c r="M79" s="37"/>
      <c r="N79" s="37" t="s">
        <v>1262</v>
      </c>
      <c r="O79" s="249">
        <f>(LN(2)/L79)/(60*60)*10^(K79-5)</f>
        <v>6.4125558474455804E-8</v>
      </c>
      <c r="P79" s="249">
        <f>O79*10^5</f>
        <v>6.4125558474455802E-3</v>
      </c>
      <c r="Q79" s="654">
        <f>(LN(2)/R79)/(60*60*24)</f>
        <v>125.10669696907442</v>
      </c>
      <c r="R79" s="215">
        <f>S79*10^-5</f>
        <v>6.4125558474455804E-8</v>
      </c>
      <c r="S79" s="215">
        <f>EXP(LN(P79)+$J79*(1/$H79-1/298.15)/0.0019872)</f>
        <v>6.4125558474455793E-3</v>
      </c>
      <c r="T79" s="410">
        <f>AVERAGE(Q79:Q82)</f>
        <v>73.57626515120387</v>
      </c>
      <c r="U79" s="410">
        <f>MEDIAN(Q79:Q82)</f>
        <v>73.57626515120387</v>
      </c>
      <c r="V79" s="410">
        <f>STDEV(Q79:Q82)</f>
        <v>72.875035551774602</v>
      </c>
      <c r="W79" s="477"/>
      <c r="X79" s="477"/>
      <c r="Y79" s="477" t="s">
        <v>976</v>
      </c>
      <c r="Z79" s="37"/>
      <c r="AA79" s="37"/>
      <c r="AB79" s="37"/>
      <c r="AC79" s="37"/>
      <c r="AD79" s="248"/>
      <c r="AE79" s="654"/>
      <c r="AF79" s="215"/>
      <c r="AG79" s="410">
        <f>AE80</f>
        <v>41.733333333333306</v>
      </c>
      <c r="AH79" s="423"/>
      <c r="AI79" s="423"/>
      <c r="AJ79" s="159"/>
      <c r="AK79" s="159"/>
      <c r="AL79" s="159"/>
      <c r="AM79" s="37"/>
      <c r="AN79" s="37"/>
      <c r="AO79" s="37"/>
      <c r="AP79" s="37"/>
      <c r="AQ79" s="249"/>
      <c r="AR79" s="249"/>
      <c r="AS79" s="654"/>
      <c r="AT79" s="215"/>
      <c r="AU79" s="215"/>
      <c r="AV79" s="475">
        <f>AVERAGE(AS79:AS83)</f>
        <v>15.332651640032442</v>
      </c>
      <c r="AW79" s="475">
        <f>MEDIAN(AS79:AS83)</f>
        <v>15.332651640032442</v>
      </c>
      <c r="AX79" s="475">
        <f>STDEV(AS79:AS83)</f>
        <v>0.73560550382449319</v>
      </c>
      <c r="AY79" s="159"/>
      <c r="AZ79" s="159"/>
      <c r="BA79" s="159" t="s">
        <v>1106</v>
      </c>
      <c r="BB79" s="186" t="s">
        <v>262</v>
      </c>
      <c r="BC79" s="186" t="s">
        <v>263</v>
      </c>
      <c r="BD79" s="186"/>
      <c r="BE79" s="37"/>
      <c r="BF79" s="37"/>
    </row>
    <row r="80" spans="1:58" x14ac:dyDescent="0.3">
      <c r="G80" s="31">
        <v>25</v>
      </c>
      <c r="H80" s="31">
        <f>G80+273.15</f>
        <v>298.14999999999998</v>
      </c>
      <c r="I80" s="219">
        <f>-LOG10(EXP(LN(10^-14)+13.36*(1/298.15-1/H80)/0.0019872))</f>
        <v>14</v>
      </c>
      <c r="J80" s="811">
        <v>17.5</v>
      </c>
      <c r="P80" s="250"/>
      <c r="Q80" s="653"/>
      <c r="R80" s="209"/>
      <c r="S80" s="209"/>
      <c r="Z80" s="31">
        <v>6.9</v>
      </c>
      <c r="AA80" s="31">
        <v>1001.6</v>
      </c>
      <c r="AC80" s="31" t="s">
        <v>1262</v>
      </c>
      <c r="AD80" s="250">
        <f>(LN(2)/AA80)/(60*60)</f>
        <v>1.9223331019256557E-7</v>
      </c>
      <c r="AE80" s="653">
        <f>(LN(2)/AF80)/(60*60*24)</f>
        <v>41.733333333333306</v>
      </c>
      <c r="AF80" s="209">
        <f>EXP(LN(AD80)+$J80*(1/$H80-1/298.15)/0.001972)</f>
        <v>1.922333101925657E-7</v>
      </c>
      <c r="AL80" s="157" t="s">
        <v>976</v>
      </c>
      <c r="AS80" s="653"/>
      <c r="AT80" s="209"/>
      <c r="AU80" s="209"/>
    </row>
    <row r="81" spans="1:58" x14ac:dyDescent="0.3">
      <c r="G81" s="31">
        <v>25</v>
      </c>
      <c r="H81" s="31">
        <f>G81+273.15</f>
        <v>298.14999999999998</v>
      </c>
      <c r="I81" s="219">
        <f>-LOG10(EXP(LN(10^-14)+13.36*(1/298.15-1/H81)/0.0019872))</f>
        <v>14</v>
      </c>
      <c r="J81" s="146">
        <f>113.7/4.184</f>
        <v>27.174952198852772</v>
      </c>
      <c r="P81" s="250"/>
      <c r="Q81" s="653"/>
      <c r="R81" s="209"/>
      <c r="S81" s="209"/>
      <c r="AD81" s="250"/>
      <c r="AE81" s="653"/>
      <c r="AF81" s="209"/>
      <c r="AM81" s="31">
        <v>9</v>
      </c>
      <c r="AN81" s="31">
        <v>355.5</v>
      </c>
      <c r="AP81" s="31" t="s">
        <v>1262</v>
      </c>
      <c r="AQ81" s="250">
        <f>(LN(2)/AN81)/(60*60)*10^(9-AM81)</f>
        <v>5.4160586072819603E-7</v>
      </c>
      <c r="AR81" s="250">
        <f>AQ81*10^($I81-9)</f>
        <v>5.4160586072819601E-2</v>
      </c>
      <c r="AS81" s="653">
        <f>(LN(2)/AT81)/(60*60*24)</f>
        <v>14.812499999999995</v>
      </c>
      <c r="AT81" s="209">
        <f>AU81*10^(9-14)</f>
        <v>5.4160586072819624E-7</v>
      </c>
      <c r="AU81" s="209">
        <f>EXP(LN(AR81)+J81*(1/H81-1/298.15)/0.0019872)</f>
        <v>5.4160586072819615E-2</v>
      </c>
    </row>
    <row r="82" spans="1:58" x14ac:dyDescent="0.3">
      <c r="G82" s="31">
        <v>25</v>
      </c>
      <c r="H82" s="31">
        <f>G82+273.15</f>
        <v>298.14999999999998</v>
      </c>
      <c r="I82" s="219">
        <f>-LOG10(EXP(LN(10^-14)+13.36*(1/298.15-1/H82)/0.0019872))</f>
        <v>14</v>
      </c>
      <c r="J82" s="811">
        <v>13.58</v>
      </c>
      <c r="K82" s="31">
        <v>5</v>
      </c>
      <c r="L82" s="175">
        <v>529.1</v>
      </c>
      <c r="N82" s="31" t="s">
        <v>1262</v>
      </c>
      <c r="O82" s="250">
        <f>(LN(2)/L82)/(60*60)*10^(K82-5)</f>
        <v>3.6390263369660497E-7</v>
      </c>
      <c r="P82" s="250">
        <f>O82*10^5</f>
        <v>3.6390263369660496E-2</v>
      </c>
      <c r="Q82" s="653">
        <f>(LN(2)/R82)/(60*60*24)</f>
        <v>22.045833333333334</v>
      </c>
      <c r="R82" s="209">
        <f>S82*10^-5</f>
        <v>3.6390263369660497E-7</v>
      </c>
      <c r="S82" s="209">
        <f>EXP(LN(P82)+$J82*(1/$H82-1/298.15)/0.0019872)</f>
        <v>3.6390263369660496E-2</v>
      </c>
      <c r="AD82" s="250"/>
      <c r="AE82" s="653"/>
      <c r="AF82" s="209"/>
      <c r="AS82" s="653"/>
      <c r="AT82" s="209"/>
      <c r="AU82" s="209"/>
    </row>
    <row r="83" spans="1:58" x14ac:dyDescent="0.3">
      <c r="G83" s="31">
        <v>25</v>
      </c>
      <c r="H83" s="31">
        <f>G83+273.15</f>
        <v>298.14999999999998</v>
      </c>
      <c r="I83" s="219">
        <f>-LOG10(EXP(LN(10^-14)+13.36*(1/298.15-1/H83)/0.0019872))</f>
        <v>14</v>
      </c>
      <c r="J83" s="91">
        <v>27.17</v>
      </c>
      <c r="Q83" s="653"/>
      <c r="R83" s="208"/>
      <c r="S83" s="208"/>
      <c r="AD83" s="250"/>
      <c r="AE83" s="653"/>
      <c r="AF83" s="209"/>
      <c r="AM83" s="31">
        <v>9.8000000000000007</v>
      </c>
      <c r="AN83" s="31">
        <v>60.3</v>
      </c>
      <c r="AP83" s="31" t="s">
        <v>1262</v>
      </c>
      <c r="AQ83" s="250">
        <f>(LN(2)/AN83)/(60*60)*10^(9-AM83)</f>
        <v>5.0606423799662308E-7</v>
      </c>
      <c r="AR83" s="250">
        <f>AQ83*10^($I83-9)</f>
        <v>5.0606423799662306E-2</v>
      </c>
      <c r="AS83" s="653">
        <f>(LN(2)/AT83)/(60*60*24)</f>
        <v>15.852803280064887</v>
      </c>
      <c r="AT83" s="209">
        <f>AU83*10^(9-14)</f>
        <v>5.0606423799662308E-7</v>
      </c>
      <c r="AU83" s="209">
        <f t="shared" ref="AU83" si="17">EXP(LN(AR83)+J83*(1/H83-1/298.15)/0.0019872)</f>
        <v>5.0606423799662306E-2</v>
      </c>
    </row>
    <row r="84" spans="1:58" ht="15" thickBot="1" x14ac:dyDescent="0.35">
      <c r="I84" s="219"/>
      <c r="J84" s="91"/>
      <c r="P84" s="250"/>
      <c r="Q84" s="653"/>
      <c r="R84" s="209"/>
      <c r="S84" s="209"/>
      <c r="AD84" s="250"/>
      <c r="AE84" s="653"/>
      <c r="AF84" s="209"/>
      <c r="AS84" s="653"/>
      <c r="AT84" s="209"/>
      <c r="AU84" s="209"/>
    </row>
    <row r="85" spans="1:58" s="8" customFormat="1" x14ac:dyDescent="0.3">
      <c r="A85" s="37">
        <v>16</v>
      </c>
      <c r="B85" s="37" t="s">
        <v>264</v>
      </c>
      <c r="C85" s="37" t="s">
        <v>265</v>
      </c>
      <c r="D85" s="38" t="s">
        <v>920</v>
      </c>
      <c r="E85" s="37" t="s">
        <v>266</v>
      </c>
      <c r="F85" s="37" t="s">
        <v>1274</v>
      </c>
      <c r="G85" s="37">
        <v>25</v>
      </c>
      <c r="H85" s="37">
        <f>G85+273.15</f>
        <v>298.14999999999998</v>
      </c>
      <c r="I85" s="218">
        <f>-LOG10(EXP(LN(10^-14)+13.36*(1/298.15-1/H85)/0.0019872))</f>
        <v>14</v>
      </c>
      <c r="J85" s="96">
        <v>22.66</v>
      </c>
      <c r="K85" s="37">
        <v>4</v>
      </c>
      <c r="L85" s="37">
        <v>6.8</v>
      </c>
      <c r="M85" s="37"/>
      <c r="N85" s="37" t="s">
        <v>605</v>
      </c>
      <c r="O85" s="249">
        <f>(LN(2)/L85)/(60*60*24)*10^(K85-5)</f>
        <v>1.1797848252994713E-7</v>
      </c>
      <c r="P85" s="249">
        <f>O85*10^5</f>
        <v>1.1797848252994713E-2</v>
      </c>
      <c r="Q85" s="654">
        <f>(LN(2)/R85)/(60*60*24)</f>
        <v>68.000000000000014</v>
      </c>
      <c r="R85" s="215">
        <f>S85*10^-5</f>
        <v>1.179784825299471E-7</v>
      </c>
      <c r="S85" s="215">
        <f>EXP(LN(P85)+$J85*(1/$H85-1/298.15)/0.0019872)</f>
        <v>1.179784825299471E-2</v>
      </c>
      <c r="T85" s="410">
        <f>AVERAGE(Q85:Q86)</f>
        <v>69.5</v>
      </c>
      <c r="U85" s="410">
        <f>MEDIAN(Q85:Q87)</f>
        <v>69.5</v>
      </c>
      <c r="V85" s="410">
        <f>STDEV(Q85:Q86)</f>
        <v>2.1213203435596224</v>
      </c>
      <c r="W85" s="477"/>
      <c r="X85" s="477"/>
      <c r="Y85" s="477"/>
      <c r="Z85" s="37">
        <v>7</v>
      </c>
      <c r="AA85" s="37" t="s">
        <v>116</v>
      </c>
      <c r="AB85" s="37"/>
      <c r="AC85" s="37"/>
      <c r="AD85" s="249"/>
      <c r="AE85" s="654"/>
      <c r="AF85" s="215"/>
      <c r="AG85" s="423"/>
      <c r="AH85" s="423"/>
      <c r="AI85" s="423"/>
      <c r="AJ85" s="159"/>
      <c r="AK85" s="159"/>
      <c r="AL85" s="159"/>
      <c r="AM85" s="37">
        <v>9</v>
      </c>
      <c r="AN85" s="37" t="s">
        <v>116</v>
      </c>
      <c r="AO85" s="37"/>
      <c r="AP85" s="37"/>
      <c r="AQ85" s="249"/>
      <c r="AR85" s="249"/>
      <c r="AS85" s="654"/>
      <c r="AT85" s="215"/>
      <c r="AU85" s="215"/>
      <c r="AV85" s="410"/>
      <c r="AW85" s="410"/>
      <c r="AX85" s="410"/>
      <c r="AY85" s="159"/>
      <c r="AZ85" s="159"/>
      <c r="BA85" s="159"/>
      <c r="BB85" s="186" t="s">
        <v>267</v>
      </c>
      <c r="BC85" s="186" t="s">
        <v>268</v>
      </c>
      <c r="BD85" s="186"/>
      <c r="BE85" s="37"/>
      <c r="BF85" s="37"/>
    </row>
    <row r="86" spans="1:58" x14ac:dyDescent="0.3">
      <c r="G86" s="31">
        <v>25</v>
      </c>
      <c r="H86" s="31">
        <f>G86+273.15</f>
        <v>298.14999999999998</v>
      </c>
      <c r="I86" s="219">
        <f>-LOG10(EXP(LN(10^-14)+13.36*(1/298.15-1/H86)/0.0019872))</f>
        <v>14</v>
      </c>
      <c r="J86" s="92">
        <v>22.66</v>
      </c>
      <c r="K86" s="31">
        <v>4</v>
      </c>
      <c r="L86" s="31">
        <v>7.1</v>
      </c>
      <c r="N86" s="31" t="s">
        <v>605</v>
      </c>
      <c r="O86" s="250">
        <f>(LN(2)/L86)/(60*60*24)*10^(K86-5)</f>
        <v>1.1299347622586486E-7</v>
      </c>
      <c r="P86" s="250">
        <f>O86*10^5</f>
        <v>1.1299347622586485E-2</v>
      </c>
      <c r="Q86" s="653">
        <f>(LN(2)/R86)/(60*60*24)</f>
        <v>70.999999999999986</v>
      </c>
      <c r="R86" s="209">
        <f>S86*10^-5</f>
        <v>1.1299347622586486E-7</v>
      </c>
      <c r="S86" s="209">
        <f>EXP(LN(P86)+$J86*(1/$H86-1/298.15)/0.0019872)</f>
        <v>1.1299347622586485E-2</v>
      </c>
      <c r="Z86" s="31">
        <v>7</v>
      </c>
      <c r="AA86" s="31" t="s">
        <v>116</v>
      </c>
      <c r="AD86" s="250"/>
      <c r="AE86" s="653"/>
      <c r="AF86" s="209"/>
      <c r="AM86" s="31">
        <v>9</v>
      </c>
      <c r="AN86" s="31" t="s">
        <v>116</v>
      </c>
      <c r="AS86" s="653"/>
      <c r="AT86" s="209"/>
      <c r="AU86" s="209"/>
    </row>
    <row r="87" spans="1:58" x14ac:dyDescent="0.3">
      <c r="I87" s="219"/>
      <c r="P87" s="250"/>
      <c r="Q87" s="653"/>
      <c r="R87" s="209"/>
      <c r="S87" s="209"/>
      <c r="AD87" s="250"/>
      <c r="AE87" s="653"/>
      <c r="AF87" s="209"/>
      <c r="AS87" s="653"/>
      <c r="AT87" s="209"/>
      <c r="AU87" s="209"/>
    </row>
    <row r="88" spans="1:58" x14ac:dyDescent="0.3">
      <c r="I88" s="219"/>
      <c r="Q88" s="653"/>
      <c r="R88" s="208"/>
      <c r="S88" s="208"/>
      <c r="AE88" s="653"/>
      <c r="AF88" s="209"/>
      <c r="AS88" s="653"/>
      <c r="AT88" s="209"/>
      <c r="AU88" s="209"/>
    </row>
    <row r="89" spans="1:58" x14ac:dyDescent="0.3">
      <c r="I89" s="219"/>
      <c r="Q89" s="653"/>
      <c r="R89" s="208"/>
      <c r="S89" s="208"/>
      <c r="AE89" s="653"/>
      <c r="AF89" s="209"/>
      <c r="AS89" s="653"/>
      <c r="AT89" s="209"/>
      <c r="AU89" s="209"/>
    </row>
    <row r="90" spans="1:58" x14ac:dyDescent="0.3">
      <c r="I90" s="219"/>
      <c r="Q90" s="653"/>
      <c r="R90" s="208"/>
      <c r="S90" s="208"/>
      <c r="AE90" s="653"/>
      <c r="AF90" s="209"/>
      <c r="AS90" s="653"/>
      <c r="AT90" s="209"/>
      <c r="AU90" s="209"/>
    </row>
    <row r="91" spans="1:58" x14ac:dyDescent="0.3">
      <c r="I91" s="219"/>
      <c r="Q91" s="653"/>
      <c r="R91" s="208"/>
      <c r="S91" s="208"/>
      <c r="AE91" s="653"/>
      <c r="AF91" s="209"/>
      <c r="AS91" s="653"/>
      <c r="AT91" s="209"/>
      <c r="AU91" s="209"/>
    </row>
    <row r="92" spans="1:58" x14ac:dyDescent="0.3">
      <c r="I92" s="219"/>
      <c r="P92" s="250"/>
      <c r="Q92" s="653"/>
      <c r="R92" s="209"/>
      <c r="S92" s="209"/>
      <c r="W92" s="538"/>
      <c r="X92" s="538"/>
      <c r="Y92" s="538"/>
      <c r="AD92" s="250"/>
      <c r="AE92" s="653"/>
      <c r="AF92" s="209"/>
      <c r="AS92" s="653"/>
      <c r="AT92" s="209"/>
      <c r="AU92" s="209"/>
    </row>
    <row r="93" spans="1:58" s="9" customFormat="1" x14ac:dyDescent="0.3">
      <c r="A93" s="42">
        <v>18</v>
      </c>
      <c r="B93" s="42" t="s">
        <v>274</v>
      </c>
      <c r="C93" s="42" t="s">
        <v>275</v>
      </c>
      <c r="D93" s="43" t="s">
        <v>914</v>
      </c>
      <c r="E93" s="42" t="s">
        <v>276</v>
      </c>
      <c r="F93" s="42" t="s">
        <v>280</v>
      </c>
      <c r="G93" s="42">
        <v>25</v>
      </c>
      <c r="H93" s="42">
        <f>G93+273.15</f>
        <v>298.14999999999998</v>
      </c>
      <c r="I93" s="688">
        <f>-LOG10(EXP(LN(10^-14)+13.36*(1/298.15-1/H93)/0.0019872))</f>
        <v>14</v>
      </c>
      <c r="J93" s="93">
        <v>22.66</v>
      </c>
      <c r="K93" s="42">
        <v>5</v>
      </c>
      <c r="L93" s="42">
        <v>33.9</v>
      </c>
      <c r="M93" s="42"/>
      <c r="N93" s="42" t="s">
        <v>605</v>
      </c>
      <c r="O93" s="479">
        <f>(LN(2)/L93)/(60*60*24)*10^(K93-5)</f>
        <v>2.3665300330490868E-7</v>
      </c>
      <c r="P93" s="479">
        <f>O93*10^5</f>
        <v>2.3665300330490868E-2</v>
      </c>
      <c r="Q93" s="749">
        <f>(LN(2)/R93)/(60*60*24)</f>
        <v>33.899999999999991</v>
      </c>
      <c r="R93" s="217">
        <f>S93*10^-5</f>
        <v>2.3665300330490873E-7</v>
      </c>
      <c r="S93" s="217">
        <f>EXP(LN(P93)+$J93*(1/$H93-1/298.15)/0.0019872)</f>
        <v>2.3665300330490871E-2</v>
      </c>
      <c r="T93" s="475">
        <f>AVERAGE(Q93:Q97)</f>
        <v>52.173999999999999</v>
      </c>
      <c r="U93" s="475">
        <f>MEDIAN(Q93:Q97)</f>
        <v>33.899999999999991</v>
      </c>
      <c r="V93" s="475">
        <f>STDEV(Q93:Q97)</f>
        <v>46.066110971081578</v>
      </c>
      <c r="W93" s="402"/>
      <c r="X93" s="402"/>
      <c r="Y93" s="402"/>
      <c r="Z93" s="42">
        <v>7</v>
      </c>
      <c r="AA93" s="42" t="s">
        <v>277</v>
      </c>
      <c r="AB93" s="42"/>
      <c r="AC93" s="42" t="s">
        <v>605</v>
      </c>
      <c r="AD93" s="479"/>
      <c r="AE93" s="749"/>
      <c r="AF93" s="217"/>
      <c r="AG93" s="480"/>
      <c r="AH93" s="480"/>
      <c r="AI93" s="480"/>
      <c r="AJ93" s="161"/>
      <c r="AK93" s="161"/>
      <c r="AL93" s="161"/>
      <c r="AM93" s="42">
        <v>9</v>
      </c>
      <c r="AN93" s="42" t="s">
        <v>277</v>
      </c>
      <c r="AO93" s="42"/>
      <c r="AP93" s="42" t="s">
        <v>605</v>
      </c>
      <c r="AQ93" s="479"/>
      <c r="AR93" s="479"/>
      <c r="AS93" s="749"/>
      <c r="AT93" s="217"/>
      <c r="AU93" s="217"/>
      <c r="AV93" s="475"/>
      <c r="AW93" s="475"/>
      <c r="AX93" s="475"/>
      <c r="AY93" s="161"/>
      <c r="AZ93" s="161"/>
      <c r="BA93" s="161"/>
      <c r="BB93" s="187" t="s">
        <v>278</v>
      </c>
      <c r="BC93" s="187"/>
      <c r="BD93" s="187"/>
      <c r="BE93" s="42"/>
      <c r="BF93" s="42"/>
    </row>
    <row r="94" spans="1:58" x14ac:dyDescent="0.3">
      <c r="E94" s="31" t="s">
        <v>279</v>
      </c>
      <c r="F94" s="31" t="s">
        <v>280</v>
      </c>
      <c r="G94" s="31">
        <v>25</v>
      </c>
      <c r="H94" s="31">
        <f>G94+273.15</f>
        <v>298.14999999999998</v>
      </c>
      <c r="I94" s="219">
        <f>-LOG10(EXP(LN(10^-14)+13.36*(1/298.15-1/H94)/0.0019872))</f>
        <v>14</v>
      </c>
      <c r="J94" s="92">
        <v>22.66</v>
      </c>
      <c r="K94" s="31">
        <v>3</v>
      </c>
      <c r="L94" s="31">
        <v>1.34</v>
      </c>
      <c r="N94" s="31" t="s">
        <v>605</v>
      </c>
      <c r="O94" s="250">
        <f>(LN(2)/L94)/(60*60*24)*10^(K94-5)</f>
        <v>5.9869677701764202E-8</v>
      </c>
      <c r="P94" s="250">
        <f>O94*10^5</f>
        <v>5.9869677701764202E-3</v>
      </c>
      <c r="Q94" s="653">
        <f>(LN(2)/R94)/(60*60*24)</f>
        <v>134.00000000000006</v>
      </c>
      <c r="R94" s="209">
        <f>S94*10^-5</f>
        <v>5.9869677701764175E-8</v>
      </c>
      <c r="S94" s="209">
        <f>EXP(LN(P94)+$J94*(1/$H94-1/298.15)/0.0019872)</f>
        <v>5.9869677701764176E-3</v>
      </c>
      <c r="AD94" s="250"/>
      <c r="AE94" s="653"/>
      <c r="AF94" s="209"/>
      <c r="AS94" s="653"/>
      <c r="AT94" s="209"/>
      <c r="AU94" s="209"/>
    </row>
    <row r="95" spans="1:58" x14ac:dyDescent="0.3">
      <c r="G95" s="31">
        <v>25</v>
      </c>
      <c r="H95" s="31">
        <f>G95+273.15</f>
        <v>298.14999999999998</v>
      </c>
      <c r="I95" s="219">
        <f>-LOG10(EXP(LN(10^-14)+13.36*(1/298.15-1/H95)/0.0019872))</f>
        <v>14</v>
      </c>
      <c r="J95" s="92">
        <v>22.66</v>
      </c>
      <c r="K95" s="31">
        <v>4</v>
      </c>
      <c r="L95" s="31">
        <v>3.87</v>
      </c>
      <c r="N95" s="31" t="s">
        <v>605</v>
      </c>
      <c r="O95" s="250">
        <f>(LN(2)/L95)/(60*60*24)*10^(K95-5)</f>
        <v>2.0730069281747812E-7</v>
      </c>
      <c r="P95" s="250">
        <f>O95*10^5</f>
        <v>2.0730069281747813E-2</v>
      </c>
      <c r="Q95" s="653">
        <f>(LN(2)/R95)/(60*60*24)</f>
        <v>38.699999999999996</v>
      </c>
      <c r="R95" s="209">
        <f>S95*10^-5</f>
        <v>2.0730069281747817E-7</v>
      </c>
      <c r="S95" s="209">
        <f>EXP(LN(P95)+$J95*(1/$H95-1/298.15)/0.0019872)</f>
        <v>2.0730069281747816E-2</v>
      </c>
      <c r="AD95" s="250"/>
      <c r="AE95" s="653"/>
      <c r="AF95" s="209"/>
      <c r="AS95" s="653"/>
      <c r="AT95" s="209"/>
      <c r="AU95" s="209"/>
    </row>
    <row r="96" spans="1:58" x14ac:dyDescent="0.3">
      <c r="G96" s="31">
        <v>25</v>
      </c>
      <c r="H96" s="31">
        <f>G96+273.15</f>
        <v>298.14999999999998</v>
      </c>
      <c r="I96" s="219">
        <f>-LOG10(EXP(LN(10^-14)+13.36*(1/298.15-1/H96)/0.0019872))</f>
        <v>14</v>
      </c>
      <c r="J96" s="92">
        <v>22.66</v>
      </c>
      <c r="K96" s="31">
        <v>5</v>
      </c>
      <c r="L96" s="31">
        <v>30.56</v>
      </c>
      <c r="N96" s="31" t="s">
        <v>605</v>
      </c>
      <c r="O96" s="250">
        <f>(LN(2)/L96)/(60*60*24)*10^(K96-5)</f>
        <v>2.6251756583888757E-7</v>
      </c>
      <c r="P96" s="250">
        <f>O96*10^5</f>
        <v>2.6251756583888758E-2</v>
      </c>
      <c r="Q96" s="653">
        <f>(LN(2)/R96)/(60*60*24)</f>
        <v>30.559999999999995</v>
      </c>
      <c r="R96" s="209">
        <f>S96*10^-5</f>
        <v>2.6251756583888762E-7</v>
      </c>
      <c r="S96" s="209">
        <f>EXP(LN(P96)+$J96*(1/$H96-1/298.15)/0.0019872)</f>
        <v>2.6251756583888761E-2</v>
      </c>
      <c r="AD96" s="250"/>
      <c r="AE96" s="653"/>
      <c r="AF96" s="209"/>
      <c r="AS96" s="653"/>
      <c r="AT96" s="209"/>
      <c r="AU96" s="209"/>
    </row>
    <row r="97" spans="1:58" x14ac:dyDescent="0.3">
      <c r="G97" s="31">
        <v>25</v>
      </c>
      <c r="H97" s="31">
        <f>G97+273.15</f>
        <v>298.14999999999998</v>
      </c>
      <c r="I97" s="219">
        <f>-LOG10(EXP(LN(10^-14)+13.36*(1/298.15-1/H97)/0.0019872))</f>
        <v>14</v>
      </c>
      <c r="J97" s="92">
        <v>22.66</v>
      </c>
      <c r="K97" s="31">
        <v>6</v>
      </c>
      <c r="L97" s="31">
        <v>237.1</v>
      </c>
      <c r="N97" s="31" t="s">
        <v>605</v>
      </c>
      <c r="O97" s="250">
        <f>(LN(2)/L97)/(60*60*24)*10^(K97-5)</f>
        <v>3.3836089464514564E-7</v>
      </c>
      <c r="P97" s="250">
        <f>O97*10^5</f>
        <v>3.3836089464514565E-2</v>
      </c>
      <c r="Q97" s="653">
        <f>(LN(2)/R97)/(60*60*24)</f>
        <v>23.709999999999994</v>
      </c>
      <c r="R97" s="209">
        <f>S97*10^-5</f>
        <v>3.3836089464514575E-7</v>
      </c>
      <c r="S97" s="209">
        <f>EXP(LN(P97)+$J97*(1/$H97-1/298.15)/0.0019872)</f>
        <v>3.3836089464514572E-2</v>
      </c>
      <c r="AD97" s="250"/>
      <c r="AE97" s="653"/>
      <c r="AF97" s="209"/>
      <c r="AS97" s="653"/>
      <c r="AT97" s="209"/>
      <c r="AU97" s="209"/>
    </row>
    <row r="98" spans="1:58" s="10" customFormat="1" x14ac:dyDescent="0.3">
      <c r="A98" s="50"/>
      <c r="B98" s="50"/>
      <c r="C98" s="50"/>
      <c r="D98" s="51"/>
      <c r="E98" s="50"/>
      <c r="F98" s="50"/>
      <c r="G98" s="50"/>
      <c r="H98" s="50"/>
      <c r="I98" s="690"/>
      <c r="J98" s="110"/>
      <c r="K98" s="50"/>
      <c r="L98" s="50"/>
      <c r="M98" s="50"/>
      <c r="N98" s="50"/>
      <c r="O98" s="531"/>
      <c r="P98" s="531"/>
      <c r="Q98" s="711"/>
      <c r="R98" s="222"/>
      <c r="S98" s="222"/>
      <c r="T98" s="846"/>
      <c r="U98" s="539"/>
      <c r="V98" s="539"/>
      <c r="W98" s="146"/>
      <c r="X98" s="146"/>
      <c r="Y98" s="146"/>
      <c r="Z98" s="50"/>
      <c r="AA98" s="50"/>
      <c r="AB98" s="50"/>
      <c r="AC98" s="50"/>
      <c r="AD98" s="531"/>
      <c r="AE98" s="711"/>
      <c r="AF98" s="222"/>
      <c r="AG98" s="467"/>
      <c r="AH98" s="467"/>
      <c r="AI98" s="467"/>
      <c r="AJ98" s="165"/>
      <c r="AK98" s="165"/>
      <c r="AL98" s="165"/>
      <c r="AM98" s="50"/>
      <c r="AN98" s="50"/>
      <c r="AO98" s="50"/>
      <c r="AP98" s="50"/>
      <c r="AQ98" s="531"/>
      <c r="AR98" s="531"/>
      <c r="AS98" s="711"/>
      <c r="AT98" s="222"/>
      <c r="AU98" s="222"/>
      <c r="AV98" s="539"/>
      <c r="AW98" s="539"/>
      <c r="AX98" s="539"/>
      <c r="AY98" s="165"/>
      <c r="AZ98" s="165"/>
      <c r="BA98" s="165"/>
      <c r="BB98" s="188"/>
      <c r="BC98" s="188"/>
      <c r="BD98" s="188"/>
      <c r="BE98" s="50"/>
      <c r="BF98" s="50"/>
    </row>
    <row r="99" spans="1:58" s="9" customFormat="1" x14ac:dyDescent="0.3">
      <c r="A99" s="42">
        <v>19</v>
      </c>
      <c r="B99" s="42" t="s">
        <v>282</v>
      </c>
      <c r="C99" s="42" t="s">
        <v>281</v>
      </c>
      <c r="D99" s="43" t="s">
        <v>912</v>
      </c>
      <c r="E99" s="42" t="s">
        <v>283</v>
      </c>
      <c r="F99" s="42"/>
      <c r="G99" s="42">
        <v>10</v>
      </c>
      <c r="H99" s="42">
        <f t="shared" ref="H99:H108" si="18">G99+273.15</f>
        <v>283.14999999999998</v>
      </c>
      <c r="I99" s="688">
        <f t="shared" ref="I99:I108" si="19">-LOG10(EXP(LN(10^-14)+13.36*(1/298.15-1/H99)/0.0019872))</f>
        <v>14.518786982744363</v>
      </c>
      <c r="J99" s="478">
        <f>111.5/4.184</f>
        <v>26.649139579349903</v>
      </c>
      <c r="K99" s="42">
        <v>4</v>
      </c>
      <c r="L99" s="42">
        <v>143.6</v>
      </c>
      <c r="M99" s="42">
        <v>4.8000000000000001E-4</v>
      </c>
      <c r="N99" s="42" t="s">
        <v>599</v>
      </c>
      <c r="O99" s="479">
        <f>M99/(60*60*24)*10^(K99-5)</f>
        <v>5.5555555555555564E-10</v>
      </c>
      <c r="P99" s="479">
        <f>O99*10^5</f>
        <v>5.5555555555555565E-5</v>
      </c>
      <c r="Q99" s="749">
        <f>(LN(2)/R99)/(60*60*24)</f>
        <v>1332.7904272350891</v>
      </c>
      <c r="R99" s="217">
        <f>S99*10^-5</f>
        <v>6.0193535668464995E-9</v>
      </c>
      <c r="S99" s="217">
        <f>EXP(LN(P99)+$J99*(1/$H99-1/298.15)/0.0019872)</f>
        <v>6.0193535668464986E-4</v>
      </c>
      <c r="T99" s="886">
        <f>AVERAGE(Q99:Q102)</f>
        <v>429.46262899317463</v>
      </c>
      <c r="U99" s="475">
        <f>MEDIAN(Q99:Q102)</f>
        <v>136.63107819461555</v>
      </c>
      <c r="V99" s="475">
        <f>STDEV(Q99:Q102)</f>
        <v>602.44160800479062</v>
      </c>
      <c r="W99" s="476" t="s">
        <v>982</v>
      </c>
      <c r="X99" s="476" t="s">
        <v>981</v>
      </c>
      <c r="Y99" s="476"/>
      <c r="Z99" s="42"/>
      <c r="AA99" s="42"/>
      <c r="AB99" s="42"/>
      <c r="AC99" s="42"/>
      <c r="AD99" s="479"/>
      <c r="AE99" s="749"/>
      <c r="AF99" s="217"/>
      <c r="AG99" s="886">
        <f>AVERAGE(AE103:AE105)</f>
        <v>1641.6958178484495</v>
      </c>
      <c r="AH99" s="475">
        <f>MEDIAN(AE103:AE105)</f>
        <v>1411.4174780192186</v>
      </c>
      <c r="AI99" s="475">
        <f>STDEV(AE103:AE105)</f>
        <v>420.20623837346034</v>
      </c>
      <c r="AJ99" s="476" t="s">
        <v>982</v>
      </c>
      <c r="AK99" s="476" t="s">
        <v>981</v>
      </c>
      <c r="AL99" s="476" t="s">
        <v>987</v>
      </c>
      <c r="AM99" s="42"/>
      <c r="AN99" s="42"/>
      <c r="AO99" s="42"/>
      <c r="AP99" s="42"/>
      <c r="AQ99" s="479"/>
      <c r="AR99" s="479"/>
      <c r="AS99" s="749"/>
      <c r="AT99" s="217"/>
      <c r="AU99" s="217"/>
      <c r="AV99" s="886">
        <f>AVERAGE(AS106:AS108)</f>
        <v>32497.465553026512</v>
      </c>
      <c r="AW99" s="475">
        <f>MEDIAN(AS106:AS108)</f>
        <v>33393.65154514114</v>
      </c>
      <c r="AX99" s="475">
        <f>STDEV(AS106:AS108)</f>
        <v>17328.653448537811</v>
      </c>
      <c r="AY99" s="476" t="s">
        <v>982</v>
      </c>
      <c r="AZ99" s="476" t="s">
        <v>981</v>
      </c>
      <c r="BA99" s="476" t="s">
        <v>987</v>
      </c>
      <c r="BB99" s="187"/>
      <c r="BC99" s="187"/>
      <c r="BD99" s="187"/>
      <c r="BE99" s="42"/>
      <c r="BF99" s="42"/>
    </row>
    <row r="100" spans="1:58" x14ac:dyDescent="0.3">
      <c r="G100" s="31">
        <v>25</v>
      </c>
      <c r="H100" s="31">
        <f t="shared" si="18"/>
        <v>298.14999999999998</v>
      </c>
      <c r="I100" s="219">
        <f t="shared" si="19"/>
        <v>14</v>
      </c>
      <c r="J100" s="129">
        <f>111.5/4.184</f>
        <v>26.649139579349903</v>
      </c>
      <c r="K100" s="31">
        <v>4</v>
      </c>
      <c r="L100" s="31">
        <v>11.2</v>
      </c>
      <c r="M100" s="31">
        <v>6.2E-2</v>
      </c>
      <c r="N100" s="31" t="s">
        <v>599</v>
      </c>
      <c r="O100" s="250">
        <f>M100/(60*60*24)*10^(K100-5)</f>
        <v>7.1759259259259263E-8</v>
      </c>
      <c r="P100" s="250">
        <f>O100*10^5</f>
        <v>7.1759259259259259E-3</v>
      </c>
      <c r="Q100" s="653">
        <f>(LN(2)/R100)/(60*60*24)</f>
        <v>111.79793234837824</v>
      </c>
      <c r="R100" s="209">
        <f>S100*10^-5</f>
        <v>7.1759259259259289E-8</v>
      </c>
      <c r="S100" s="209">
        <f>EXP(LN(P100)+$J100*(1/$H100-1/298.15)/0.0019872)</f>
        <v>7.1759259259259285E-3</v>
      </c>
      <c r="W100" s="146" t="s">
        <v>983</v>
      </c>
      <c r="X100" s="146" t="s">
        <v>984</v>
      </c>
      <c r="Y100" s="146" t="s">
        <v>985</v>
      </c>
      <c r="AD100" s="250"/>
      <c r="AE100" s="653"/>
      <c r="AF100" s="209"/>
      <c r="AJ100" s="146" t="s">
        <v>983</v>
      </c>
      <c r="AK100" s="146" t="s">
        <v>984</v>
      </c>
      <c r="AL100" s="146" t="s">
        <v>991</v>
      </c>
      <c r="AS100" s="653"/>
      <c r="AT100" s="209"/>
      <c r="AU100" s="209"/>
      <c r="AY100" s="146" t="s">
        <v>983</v>
      </c>
      <c r="AZ100" s="146" t="s">
        <v>984</v>
      </c>
      <c r="BA100" s="146" t="s">
        <v>990</v>
      </c>
    </row>
    <row r="101" spans="1:58" x14ac:dyDescent="0.3">
      <c r="G101" s="31">
        <v>35</v>
      </c>
      <c r="H101" s="31">
        <f t="shared" si="18"/>
        <v>308.14999999999998</v>
      </c>
      <c r="I101" s="219">
        <f t="shared" si="19"/>
        <v>13.682201234974167</v>
      </c>
      <c r="J101" s="129">
        <f>111.5/4.184</f>
        <v>26.649139579349903</v>
      </c>
      <c r="K101" s="31">
        <v>4</v>
      </c>
      <c r="L101" s="31">
        <v>3.5</v>
      </c>
      <c r="M101" s="31">
        <v>0.19800000000000001</v>
      </c>
      <c r="N101" s="31" t="s">
        <v>599</v>
      </c>
      <c r="O101" s="250">
        <f>M101/(60*60*24)*10^(K101-5)</f>
        <v>2.2916666666666666E-7</v>
      </c>
      <c r="P101" s="250">
        <f>O101*10^5</f>
        <v>2.2916666666666665E-2</v>
      </c>
      <c r="Q101" s="653">
        <f>(LN(2)/R101)/(60*60*24)</f>
        <v>150.6857626272203</v>
      </c>
      <c r="R101" s="209">
        <f>S101*10^-5</f>
        <v>5.3240177918356237E-8</v>
      </c>
      <c r="S101" s="209">
        <f>EXP(LN(P101)+$J101*(1/$H101-1/298.15)/0.0019872)</f>
        <v>5.3240177918356234E-3</v>
      </c>
      <c r="Y101" s="146" t="s">
        <v>992</v>
      </c>
      <c r="AD101" s="250"/>
      <c r="AE101" s="653"/>
      <c r="AF101" s="209"/>
      <c r="AJ101" s="157" t="s">
        <v>967</v>
      </c>
      <c r="AK101" s="157" t="s">
        <v>986</v>
      </c>
      <c r="AL101" s="157" t="s">
        <v>988</v>
      </c>
      <c r="AS101" s="653"/>
      <c r="AT101" s="209"/>
      <c r="AU101" s="209"/>
      <c r="AY101" s="157" t="s">
        <v>967</v>
      </c>
      <c r="AZ101" s="157" t="s">
        <v>986</v>
      </c>
      <c r="BA101" s="157" t="s">
        <v>989</v>
      </c>
    </row>
    <row r="102" spans="1:58" x14ac:dyDescent="0.3">
      <c r="G102" s="31">
        <v>50</v>
      </c>
      <c r="H102" s="31">
        <f t="shared" si="18"/>
        <v>323.14999999999998</v>
      </c>
      <c r="I102" s="219">
        <f t="shared" si="19"/>
        <v>13.242382102408241</v>
      </c>
      <c r="J102" s="129">
        <f>111.5/4.184</f>
        <v>26.649139579349903</v>
      </c>
      <c r="K102" s="31">
        <v>4</v>
      </c>
      <c r="L102" s="31">
        <v>0.4</v>
      </c>
      <c r="M102" s="31">
        <v>1.835</v>
      </c>
      <c r="N102" s="31" t="s">
        <v>599</v>
      </c>
      <c r="O102" s="250">
        <f>M102/(60*60*24)*10^(K102-5)</f>
        <v>2.1238425925925925E-6</v>
      </c>
      <c r="P102" s="250">
        <f>O102*10^5</f>
        <v>0.21238425925925924</v>
      </c>
      <c r="Q102" s="653">
        <f>(LN(2)/R102)/(60*60*24)</f>
        <v>122.57639376201078</v>
      </c>
      <c r="R102" s="209">
        <f>S102*10^-5</f>
        <v>6.5449280777607363E-8</v>
      </c>
      <c r="S102" s="209">
        <f>EXP(LN(P102)+$J102*(1/$H102-1/298.15)/0.0019872)</f>
        <v>6.5449280777607356E-3</v>
      </c>
      <c r="AE102" s="653"/>
      <c r="AF102" s="209"/>
      <c r="AL102" s="146" t="s">
        <v>992</v>
      </c>
      <c r="AS102" s="653"/>
      <c r="AT102" s="209"/>
      <c r="AU102" s="209"/>
      <c r="BA102" s="146" t="s">
        <v>992</v>
      </c>
    </row>
    <row r="103" spans="1:58" x14ac:dyDescent="0.3">
      <c r="G103" s="31">
        <v>50</v>
      </c>
      <c r="H103" s="31">
        <f t="shared" si="18"/>
        <v>323.14999999999998</v>
      </c>
      <c r="I103" s="219">
        <f t="shared" si="19"/>
        <v>13.242382102408241</v>
      </c>
      <c r="J103" s="129">
        <f>157.6/4.184</f>
        <v>37.667304015296367</v>
      </c>
      <c r="P103" s="250"/>
      <c r="Q103" s="653"/>
      <c r="R103" s="209"/>
      <c r="S103" s="209"/>
      <c r="Z103" s="31">
        <v>7</v>
      </c>
      <c r="AA103" s="31">
        <v>9.6999999999999993</v>
      </c>
      <c r="AB103" s="31">
        <v>7.0999999999999994E-2</v>
      </c>
      <c r="AC103" s="31" t="s">
        <v>599</v>
      </c>
      <c r="AD103" s="250">
        <f>AB103/24/60/60</f>
        <v>8.2175925925925924E-7</v>
      </c>
      <c r="AE103" s="653">
        <f>(LN(2)/AF103)/(60*60*24)</f>
        <v>1386.9671770223986</v>
      </c>
      <c r="AF103" s="209">
        <f>EXP(LN(AD103)+$J103*(1/$H103-1/298.15)/0.001972)</f>
        <v>5.7842297531939688E-9</v>
      </c>
      <c r="AS103" s="653"/>
      <c r="AT103" s="209"/>
      <c r="AU103" s="209"/>
    </row>
    <row r="104" spans="1:58" x14ac:dyDescent="0.3">
      <c r="G104" s="31">
        <v>60</v>
      </c>
      <c r="H104" s="31">
        <f t="shared" si="18"/>
        <v>333.15</v>
      </c>
      <c r="I104" s="219">
        <f t="shared" si="19"/>
        <v>12.971172405674658</v>
      </c>
      <c r="J104" s="129">
        <f>157.6/4.184</f>
        <v>37.667304015296367</v>
      </c>
      <c r="P104" s="250"/>
      <c r="Q104" s="653"/>
      <c r="R104" s="209"/>
      <c r="S104" s="209"/>
      <c r="Z104" s="31">
        <v>7</v>
      </c>
      <c r="AA104" s="31">
        <v>2.5</v>
      </c>
      <c r="AB104" s="31">
        <v>0.27300000000000002</v>
      </c>
      <c r="AC104" s="31" t="s">
        <v>599</v>
      </c>
      <c r="AD104" s="250">
        <f>AB104/24/60/60</f>
        <v>3.1597222222222224E-6</v>
      </c>
      <c r="AE104" s="653">
        <f>(LN(2)/AF104)/(60*60*24)</f>
        <v>2126.7027985037312</v>
      </c>
      <c r="AF104" s="209">
        <f>EXP(LN(AD104)+$J104*(1/$H104-1/298.15)/0.001972)</f>
        <v>3.7722886421557172E-9</v>
      </c>
      <c r="AS104" s="653"/>
      <c r="AT104" s="209"/>
      <c r="AU104" s="209"/>
    </row>
    <row r="105" spans="1:58" x14ac:dyDescent="0.3">
      <c r="G105" s="31">
        <v>70</v>
      </c>
      <c r="H105" s="31">
        <f t="shared" si="18"/>
        <v>343.15</v>
      </c>
      <c r="I105" s="219">
        <f t="shared" si="19"/>
        <v>12.715769772716893</v>
      </c>
      <c r="J105" s="129">
        <f>157.6/4.184</f>
        <v>37.667304015296367</v>
      </c>
      <c r="P105" s="250"/>
      <c r="Q105" s="653"/>
      <c r="R105" s="209"/>
      <c r="S105" s="209"/>
      <c r="Z105" s="31">
        <v>7</v>
      </c>
      <c r="AA105" s="31">
        <v>0.3</v>
      </c>
      <c r="AB105" s="31">
        <v>2.1869999999999998</v>
      </c>
      <c r="AC105" s="31" t="s">
        <v>599</v>
      </c>
      <c r="AD105" s="250">
        <f>AB105/24/60/60</f>
        <v>2.5312499999999999E-5</v>
      </c>
      <c r="AE105" s="653">
        <f>(LN(2)/AF105)/(60*60*24)</f>
        <v>1411.4174780192186</v>
      </c>
      <c r="AF105" s="209">
        <f>EXP(LN(AD105)+$J105*(1/$H105-1/298.15)/0.001972)</f>
        <v>5.6840282460546121E-9</v>
      </c>
      <c r="AS105" s="653"/>
      <c r="AT105" s="209"/>
      <c r="AU105" s="209"/>
    </row>
    <row r="106" spans="1:58" x14ac:dyDescent="0.3">
      <c r="G106" s="31">
        <v>50</v>
      </c>
      <c r="H106" s="31">
        <f t="shared" si="18"/>
        <v>323.14999999999998</v>
      </c>
      <c r="I106" s="219">
        <f t="shared" si="19"/>
        <v>13.242382102408241</v>
      </c>
      <c r="J106" s="129">
        <f>166.1/4.184</f>
        <v>39.698852772466537</v>
      </c>
      <c r="P106" s="250"/>
      <c r="Q106" s="653"/>
      <c r="R106" s="209"/>
      <c r="S106" s="209"/>
      <c r="AE106" s="653"/>
      <c r="AF106" s="209"/>
      <c r="AM106" s="31">
        <v>9</v>
      </c>
      <c r="AN106" s="31">
        <v>14.4</v>
      </c>
      <c r="AO106" s="31">
        <v>4.8000000000000001E-2</v>
      </c>
      <c r="AP106" s="31" t="s">
        <v>599</v>
      </c>
      <c r="AQ106" s="250">
        <f>(AO106/60/60/24)*10^(9-AM106)</f>
        <v>5.5555555555555552E-7</v>
      </c>
      <c r="AR106" s="250">
        <f>AQ106*10^($I106-9)</f>
        <v>9.7075491325194895E-3</v>
      </c>
      <c r="AS106" s="653">
        <f>(LN(2)/AT106)/(60*60*24)</f>
        <v>14738.10835298414</v>
      </c>
      <c r="AT106" s="209">
        <f>AU106*10^(9-14)</f>
        <v>5.4433965471640859E-10</v>
      </c>
      <c r="AU106" s="209">
        <f>EXP(LN(AR106)+$J106*(1/$H106-1/298.15)/0.0019872)</f>
        <v>5.4433965471640852E-5</v>
      </c>
    </row>
    <row r="107" spans="1:58" x14ac:dyDescent="0.3">
      <c r="G107" s="31">
        <v>60</v>
      </c>
      <c r="H107" s="31">
        <f t="shared" si="18"/>
        <v>333.15</v>
      </c>
      <c r="I107" s="219">
        <f t="shared" si="19"/>
        <v>12.971172405674658</v>
      </c>
      <c r="J107" s="129">
        <f>166.1/4.184</f>
        <v>39.698852772466537</v>
      </c>
      <c r="P107" s="250"/>
      <c r="Q107" s="653"/>
      <c r="R107" s="209"/>
      <c r="S107" s="209"/>
      <c r="AD107" s="250"/>
      <c r="AE107" s="653"/>
      <c r="AF107" s="209"/>
      <c r="AM107" s="31">
        <v>9</v>
      </c>
      <c r="AN107" s="31">
        <v>2.7</v>
      </c>
      <c r="AO107" s="31">
        <v>0.253</v>
      </c>
      <c r="AP107" s="31" t="s">
        <v>599</v>
      </c>
      <c r="AQ107" s="250">
        <f>(AO107/60/60/24)*10^(9-AM107)</f>
        <v>2.9282407407407406E-6</v>
      </c>
      <c r="AR107" s="250">
        <f>AQ107*10^($I107-9)</f>
        <v>2.7401805816969292E-2</v>
      </c>
      <c r="AS107" s="653">
        <f>(LN(2)/AT107)/(60*60*24)</f>
        <v>33393.65154514114</v>
      </c>
      <c r="AT107" s="209">
        <f>AU107*10^(9-14)</f>
        <v>2.402413764541932E-10</v>
      </c>
      <c r="AU107" s="209">
        <f>EXP(LN(AR107)+$J107*(1/$H107-1/298.15)/0.0019872)</f>
        <v>2.402413764541932E-5</v>
      </c>
    </row>
    <row r="108" spans="1:58" x14ac:dyDescent="0.3">
      <c r="G108" s="31">
        <v>70</v>
      </c>
      <c r="H108" s="31">
        <f t="shared" si="18"/>
        <v>343.15</v>
      </c>
      <c r="I108" s="219">
        <f t="shared" si="19"/>
        <v>12.715769772716893</v>
      </c>
      <c r="J108" s="129">
        <f>166.1/4.184</f>
        <v>39.698852772466537</v>
      </c>
      <c r="P108" s="250"/>
      <c r="Q108" s="653"/>
      <c r="R108" s="209"/>
      <c r="S108" s="209"/>
      <c r="AE108" s="653"/>
      <c r="AF108" s="209"/>
      <c r="AM108" s="31">
        <v>9</v>
      </c>
      <c r="AN108" s="31">
        <v>0.4</v>
      </c>
      <c r="AO108" s="31">
        <v>1.7689999999999999</v>
      </c>
      <c r="AP108" s="31" t="s">
        <v>599</v>
      </c>
      <c r="AQ108" s="250">
        <f>(AO108/60/60/24)*10^(9-AM108)</f>
        <v>2.0474537037037037E-5</v>
      </c>
      <c r="AR108" s="250">
        <f>AQ108*10^($I108-9)</f>
        <v>0.10641034791549009</v>
      </c>
      <c r="AS108" s="653">
        <f>(LN(2)/AT108)/(60*60*24)</f>
        <v>49360.636760954258</v>
      </c>
      <c r="AT108" s="209">
        <f>AU108*10^(9-14)</f>
        <v>1.6252903808531234E-10</v>
      </c>
      <c r="AU108" s="209">
        <f>EXP(LN(AR108)+$J108*(1/$H108-1/298.15)/0.0019872)</f>
        <v>1.6252903808531234E-5</v>
      </c>
    </row>
    <row r="109" spans="1:58" x14ac:dyDescent="0.3">
      <c r="I109" s="219"/>
      <c r="J109" s="91"/>
      <c r="P109" s="250"/>
      <c r="Q109" s="653"/>
      <c r="R109" s="209"/>
      <c r="S109" s="209"/>
      <c r="AD109" s="250"/>
      <c r="AE109" s="653"/>
      <c r="AF109" s="209"/>
      <c r="AS109" s="653"/>
      <c r="AT109" s="209"/>
      <c r="AU109" s="209"/>
    </row>
    <row r="110" spans="1:58" x14ac:dyDescent="0.3">
      <c r="I110" s="219"/>
      <c r="J110" s="91"/>
      <c r="P110" s="250"/>
      <c r="Q110" s="653"/>
      <c r="R110" s="209"/>
      <c r="S110" s="209"/>
      <c r="AD110" s="250"/>
      <c r="AE110" s="653"/>
      <c r="AF110" s="209"/>
      <c r="AS110" s="653"/>
      <c r="AT110" s="209"/>
      <c r="AU110" s="209"/>
    </row>
    <row r="111" spans="1:58" s="9" customFormat="1" x14ac:dyDescent="0.3">
      <c r="A111" s="42">
        <v>20</v>
      </c>
      <c r="B111" s="42" t="s">
        <v>284</v>
      </c>
      <c r="C111" s="42" t="s">
        <v>285</v>
      </c>
      <c r="D111" s="43" t="s">
        <v>922</v>
      </c>
      <c r="E111" s="42" t="s">
        <v>286</v>
      </c>
      <c r="F111" s="42"/>
      <c r="G111" s="42">
        <v>25</v>
      </c>
      <c r="H111" s="42">
        <f t="shared" ref="H111:H119" si="20">G111+273.15</f>
        <v>298.14999999999998</v>
      </c>
      <c r="I111" s="688">
        <f t="shared" ref="I111:I119" si="21">-LOG10(EXP(LN(10^-14)+13.36*(1/298.15-1/H111)/0.0019872))</f>
        <v>14</v>
      </c>
      <c r="J111" s="825">
        <v>22.66</v>
      </c>
      <c r="K111" s="42">
        <v>5</v>
      </c>
      <c r="L111" s="42">
        <v>9.3000000000000007</v>
      </c>
      <c r="M111" s="42"/>
      <c r="N111" s="42" t="s">
        <v>605</v>
      </c>
      <c r="O111" s="479">
        <f t="shared" ref="O111:O119" si="22">(LN(2)/L111)/(60*60*24)*10^(K111-5)</f>
        <v>8.6263836688563473E-7</v>
      </c>
      <c r="P111" s="479">
        <f t="shared" ref="P111:P119" si="23">O111*10^5</f>
        <v>8.6263836688563467E-2</v>
      </c>
      <c r="Q111" s="749">
        <f t="shared" ref="Q111:Q119" si="24">(LN(2)/R111)/(60*60*24)</f>
        <v>9.3000000000000007</v>
      </c>
      <c r="R111" s="217">
        <f t="shared" ref="R111:R119" si="25">S111*10^-5</f>
        <v>8.6263836688563484E-7</v>
      </c>
      <c r="S111" s="217">
        <f t="shared" ref="S111:S119" si="26">EXP(LN(P111)+$J111*(1/$H111-1/298.15)/0.0019872)</f>
        <v>8.6263836688563481E-2</v>
      </c>
      <c r="T111" s="475">
        <f>AVERAGE(Q111:Q120)</f>
        <v>24.096656897184502</v>
      </c>
      <c r="U111" s="475">
        <f>MEDIAN(Q111:Q120)</f>
        <v>26.276327944780647</v>
      </c>
      <c r="V111" s="475">
        <f>STDEV(Q111:Q119)</f>
        <v>6.1706263404461001</v>
      </c>
      <c r="W111" s="476"/>
      <c r="X111" s="476"/>
      <c r="Y111" s="476"/>
      <c r="Z111" s="42"/>
      <c r="AA111" s="42"/>
      <c r="AB111" s="42"/>
      <c r="AC111" s="42"/>
      <c r="AD111" s="482"/>
      <c r="AE111" s="749"/>
      <c r="AF111" s="217"/>
      <c r="AG111" s="475">
        <f>AE112</f>
        <v>537.49999999999943</v>
      </c>
      <c r="AH111" s="480"/>
      <c r="AI111" s="480"/>
      <c r="AJ111" s="161"/>
      <c r="AK111" s="161"/>
      <c r="AL111" s="161"/>
      <c r="AM111" s="42"/>
      <c r="AN111" s="42"/>
      <c r="AO111" s="42"/>
      <c r="AP111" s="42"/>
      <c r="AQ111" s="479"/>
      <c r="AR111" s="479"/>
      <c r="AS111" s="749"/>
      <c r="AT111" s="217"/>
      <c r="AU111" s="217"/>
      <c r="AV111" s="475">
        <f>AS112</f>
        <v>1186.0000000000002</v>
      </c>
      <c r="AW111" s="475"/>
      <c r="AX111" s="475"/>
      <c r="AY111" s="161"/>
      <c r="AZ111" s="161"/>
      <c r="BA111" s="161"/>
      <c r="BB111" s="187"/>
      <c r="BC111" s="187"/>
      <c r="BD111" s="187"/>
      <c r="BE111" s="42"/>
      <c r="BF111" s="42"/>
    </row>
    <row r="112" spans="1:58" x14ac:dyDescent="0.3">
      <c r="G112" s="31">
        <v>25</v>
      </c>
      <c r="H112" s="31">
        <f t="shared" si="20"/>
        <v>298.14999999999998</v>
      </c>
      <c r="I112" s="219">
        <f t="shared" si="21"/>
        <v>14</v>
      </c>
      <c r="J112" s="819">
        <v>22.66</v>
      </c>
      <c r="P112" s="250"/>
      <c r="Q112" s="653"/>
      <c r="R112" s="209"/>
      <c r="S112" s="209"/>
      <c r="Z112" s="31">
        <v>7</v>
      </c>
      <c r="AA112" s="31">
        <f>(424+651)/2</f>
        <v>537.5</v>
      </c>
      <c r="AC112" s="31" t="s">
        <v>605</v>
      </c>
      <c r="AD112" s="250">
        <f>(LN(2)/AA112)/(60*60*24)</f>
        <v>1.4925649882858426E-8</v>
      </c>
      <c r="AE112" s="653">
        <f>(LN(2)/AF112)/(60*60*24)</f>
        <v>537.49999999999943</v>
      </c>
      <c r="AF112" s="209">
        <f>EXP(LN(AD112)+$J112*(1/$H112-1/298.15)/0.001972)</f>
        <v>1.4925649882858442E-8</v>
      </c>
      <c r="AM112" s="31">
        <v>9</v>
      </c>
      <c r="AN112" s="31">
        <f>(682+1690)/2</f>
        <v>1186</v>
      </c>
      <c r="AP112" s="31" t="s">
        <v>605</v>
      </c>
      <c r="AQ112" s="250">
        <f>(LN(2)/AN112)/(60*60*24)*10^(9-AM112)</f>
        <v>6.7643649342634091E-9</v>
      </c>
      <c r="AR112" s="250">
        <f>AQ112*10^($I112-9)</f>
        <v>6.764364934263409E-4</v>
      </c>
      <c r="AS112" s="653">
        <f>(LN(2)/AT112)/(60*60*24)</f>
        <v>1186.0000000000002</v>
      </c>
      <c r="AT112" s="209">
        <f>AU112*10^(9-14)</f>
        <v>6.7643649342634082E-9</v>
      </c>
      <c r="AU112" s="209">
        <f>EXP(LN(AR112)+J112*(1/H112-1/298.15)/0.0019872)</f>
        <v>6.7643649342634079E-4</v>
      </c>
    </row>
    <row r="113" spans="1:58" x14ac:dyDescent="0.3">
      <c r="E113" s="31" t="s">
        <v>289</v>
      </c>
      <c r="G113" s="31">
        <v>15</v>
      </c>
      <c r="H113" s="31">
        <f t="shared" si="20"/>
        <v>288.14999999999998</v>
      </c>
      <c r="I113" s="219">
        <f t="shared" si="21"/>
        <v>14.339856635234117</v>
      </c>
      <c r="J113" s="129">
        <f t="shared" ref="J113:J119" si="27">86.08/4.184</f>
        <v>20.5736137667304</v>
      </c>
      <c r="K113" s="31">
        <v>4</v>
      </c>
      <c r="L113" s="31">
        <v>8.7799999999999994</v>
      </c>
      <c r="N113" s="31" t="s">
        <v>605</v>
      </c>
      <c r="O113" s="250">
        <f t="shared" si="22"/>
        <v>9.1372856629116239E-8</v>
      </c>
      <c r="P113" s="250">
        <f t="shared" si="23"/>
        <v>9.1372856629116234E-3</v>
      </c>
      <c r="Q113" s="653">
        <f t="shared" si="24"/>
        <v>26.310875413447043</v>
      </c>
      <c r="R113" s="209">
        <f t="shared" si="25"/>
        <v>3.0491333663250981E-7</v>
      </c>
      <c r="S113" s="209">
        <f t="shared" si="26"/>
        <v>3.0491333663250977E-2</v>
      </c>
      <c r="AE113" s="653"/>
      <c r="AF113" s="209"/>
      <c r="AS113" s="653"/>
      <c r="AT113" s="209"/>
      <c r="AU113" s="209"/>
    </row>
    <row r="114" spans="1:58" x14ac:dyDescent="0.3">
      <c r="G114" s="31">
        <v>20</v>
      </c>
      <c r="H114" s="31">
        <f t="shared" si="20"/>
        <v>293.14999999999998</v>
      </c>
      <c r="I114" s="219">
        <f t="shared" si="21"/>
        <v>14.167030000755094</v>
      </c>
      <c r="J114" s="129">
        <f t="shared" si="27"/>
        <v>20.5736137667304</v>
      </c>
      <c r="K114" s="31">
        <v>4</v>
      </c>
      <c r="L114" s="31">
        <v>4.97</v>
      </c>
      <c r="N114" s="31" t="s">
        <v>605</v>
      </c>
      <c r="O114" s="250">
        <f t="shared" si="22"/>
        <v>1.6141925175123551E-7</v>
      </c>
      <c r="P114" s="250">
        <f t="shared" si="23"/>
        <v>1.6141925175123552E-2</v>
      </c>
      <c r="Q114" s="653">
        <f t="shared" si="24"/>
        <v>27.487802215028847</v>
      </c>
      <c r="R114" s="209">
        <f t="shared" si="25"/>
        <v>2.9185806669003586E-7</v>
      </c>
      <c r="S114" s="209">
        <f t="shared" si="26"/>
        <v>2.9185806669003583E-2</v>
      </c>
      <c r="AE114" s="653"/>
      <c r="AF114" s="209"/>
      <c r="AS114" s="653"/>
      <c r="AT114" s="209"/>
      <c r="AU114" s="209"/>
    </row>
    <row r="115" spans="1:58" x14ac:dyDescent="0.3">
      <c r="G115" s="31">
        <v>25</v>
      </c>
      <c r="H115" s="31">
        <f t="shared" si="20"/>
        <v>298.14999999999998</v>
      </c>
      <c r="I115" s="219">
        <f t="shared" si="21"/>
        <v>14</v>
      </c>
      <c r="J115" s="129">
        <f t="shared" si="27"/>
        <v>20.5736137667304</v>
      </c>
      <c r="K115" s="31">
        <v>4</v>
      </c>
      <c r="L115" s="31">
        <v>2.64</v>
      </c>
      <c r="N115" s="31" t="s">
        <v>605</v>
      </c>
      <c r="O115" s="250">
        <f t="shared" si="22"/>
        <v>3.038839701528941E-7</v>
      </c>
      <c r="P115" s="250">
        <f t="shared" si="23"/>
        <v>3.038839701528941E-2</v>
      </c>
      <c r="Q115" s="653">
        <f t="shared" si="24"/>
        <v>26.4</v>
      </c>
      <c r="R115" s="209">
        <f t="shared" si="25"/>
        <v>3.038839701528941E-7</v>
      </c>
      <c r="S115" s="209">
        <f t="shared" si="26"/>
        <v>3.038839701528941E-2</v>
      </c>
      <c r="AE115" s="653"/>
      <c r="AF115" s="209"/>
      <c r="AS115" s="653"/>
      <c r="AT115" s="209"/>
      <c r="AU115" s="209"/>
    </row>
    <row r="116" spans="1:58" x14ac:dyDescent="0.3">
      <c r="G116" s="31">
        <v>30</v>
      </c>
      <c r="H116" s="31">
        <f t="shared" si="20"/>
        <v>303.14999999999998</v>
      </c>
      <c r="I116" s="219">
        <f t="shared" si="21"/>
        <v>13.838479812893434</v>
      </c>
      <c r="J116" s="129">
        <f t="shared" si="27"/>
        <v>20.5736137667304</v>
      </c>
      <c r="K116" s="31">
        <v>4</v>
      </c>
      <c r="L116" s="31">
        <v>1.48</v>
      </c>
      <c r="N116" s="31" t="s">
        <v>605</v>
      </c>
      <c r="O116" s="250">
        <f t="shared" si="22"/>
        <v>5.4206329811056789E-7</v>
      </c>
      <c r="P116" s="250">
        <f t="shared" si="23"/>
        <v>5.4206329811056789E-2</v>
      </c>
      <c r="Q116" s="653">
        <f t="shared" si="24"/>
        <v>26.241780476114254</v>
      </c>
      <c r="R116" s="209">
        <f t="shared" si="25"/>
        <v>3.0571617727458173E-7</v>
      </c>
      <c r="S116" s="209">
        <f t="shared" si="26"/>
        <v>3.0571617727458172E-2</v>
      </c>
      <c r="AE116" s="653"/>
      <c r="AF116" s="209"/>
      <c r="AS116" s="653"/>
      <c r="AT116" s="209"/>
      <c r="AU116" s="209"/>
    </row>
    <row r="117" spans="1:58" x14ac:dyDescent="0.3">
      <c r="G117" s="31">
        <v>35</v>
      </c>
      <c r="H117" s="31">
        <f t="shared" si="20"/>
        <v>308.14999999999998</v>
      </c>
      <c r="I117" s="219">
        <f t="shared" si="21"/>
        <v>13.682201234974167</v>
      </c>
      <c r="J117" s="129">
        <f t="shared" si="27"/>
        <v>20.5736137667304</v>
      </c>
      <c r="K117" s="31">
        <v>4</v>
      </c>
      <c r="L117" s="31">
        <v>0.79</v>
      </c>
      <c r="N117" s="31" t="s">
        <v>605</v>
      </c>
      <c r="O117" s="250">
        <f t="shared" si="22"/>
        <v>1.0155109888653675E-6</v>
      </c>
      <c r="P117" s="250">
        <f t="shared" si="23"/>
        <v>0.10155109888653675</v>
      </c>
      <c r="Q117" s="653">
        <f t="shared" si="24"/>
        <v>24.379145932542155</v>
      </c>
      <c r="R117" s="209">
        <f t="shared" si="25"/>
        <v>3.2907374336389837E-7</v>
      </c>
      <c r="S117" s="209">
        <f t="shared" si="26"/>
        <v>3.2907374336389836E-2</v>
      </c>
      <c r="AE117" s="653"/>
      <c r="AF117" s="209"/>
      <c r="AS117" s="653"/>
      <c r="AT117" s="209"/>
      <c r="AU117" s="209"/>
    </row>
    <row r="118" spans="1:58" x14ac:dyDescent="0.3">
      <c r="G118" s="31">
        <v>45</v>
      </c>
      <c r="H118" s="31">
        <f t="shared" si="20"/>
        <v>318.14999999999998</v>
      </c>
      <c r="I118" s="219">
        <f t="shared" si="21"/>
        <v>13.3843803901134</v>
      </c>
      <c r="J118" s="129">
        <f t="shared" si="27"/>
        <v>20.5736137667304</v>
      </c>
      <c r="K118" s="31">
        <v>4</v>
      </c>
      <c r="L118" s="31">
        <v>0.27</v>
      </c>
      <c r="N118" s="31" t="s">
        <v>605</v>
      </c>
      <c r="O118" s="250">
        <f t="shared" si="22"/>
        <v>2.9713099303838534E-6</v>
      </c>
      <c r="P118" s="250">
        <f t="shared" si="23"/>
        <v>0.29713099303838536</v>
      </c>
      <c r="Q118" s="653">
        <f t="shared" si="24"/>
        <v>23.95420347603833</v>
      </c>
      <c r="R118" s="209">
        <f t="shared" si="25"/>
        <v>3.3491144132851009E-7</v>
      </c>
      <c r="S118" s="209">
        <f t="shared" si="26"/>
        <v>3.3491144132851008E-2</v>
      </c>
      <c r="AE118" s="653"/>
      <c r="AF118" s="209"/>
      <c r="AS118" s="653"/>
      <c r="AT118" s="209"/>
      <c r="AU118" s="209"/>
    </row>
    <row r="119" spans="1:58" x14ac:dyDescent="0.3">
      <c r="G119" s="31">
        <v>55</v>
      </c>
      <c r="H119" s="31">
        <f t="shared" si="20"/>
        <v>328.15</v>
      </c>
      <c r="I119" s="219">
        <f t="shared" si="21"/>
        <v>13.104711051872215</v>
      </c>
      <c r="J119" s="129">
        <f t="shared" si="27"/>
        <v>20.5736137667304</v>
      </c>
      <c r="K119" s="31">
        <v>4</v>
      </c>
      <c r="L119" s="31">
        <v>0.12</v>
      </c>
      <c r="N119" s="31" t="s">
        <v>605</v>
      </c>
      <c r="O119" s="250">
        <f t="shared" si="22"/>
        <v>6.6854473433636709E-6</v>
      </c>
      <c r="P119" s="250">
        <f t="shared" si="23"/>
        <v>0.66854473433636707</v>
      </c>
      <c r="Q119" s="653">
        <f t="shared" si="24"/>
        <v>28.699447664305396</v>
      </c>
      <c r="R119" s="209">
        <f t="shared" si="25"/>
        <v>2.7953627909063705E-7</v>
      </c>
      <c r="S119" s="209">
        <f t="shared" si="26"/>
        <v>2.7953627909063705E-2</v>
      </c>
      <c r="AE119" s="653"/>
      <c r="AF119" s="209"/>
      <c r="AS119" s="653"/>
      <c r="AT119" s="209"/>
      <c r="AU119" s="209"/>
    </row>
    <row r="120" spans="1:58" ht="15" thickBot="1" x14ac:dyDescent="0.35">
      <c r="I120" s="219"/>
      <c r="J120" s="91"/>
      <c r="P120" s="250"/>
      <c r="Q120" s="653"/>
      <c r="R120" s="209"/>
      <c r="S120" s="209"/>
      <c r="AE120" s="653"/>
      <c r="AF120" s="209"/>
      <c r="AS120" s="653"/>
      <c r="AT120" s="209"/>
      <c r="AU120" s="209"/>
    </row>
    <row r="121" spans="1:58" s="8" customFormat="1" x14ac:dyDescent="0.3">
      <c r="A121" s="37">
        <v>21</v>
      </c>
      <c r="B121" s="37" t="s">
        <v>291</v>
      </c>
      <c r="C121" s="37" t="s">
        <v>287</v>
      </c>
      <c r="D121" s="38" t="s">
        <v>923</v>
      </c>
      <c r="E121" s="37" t="s">
        <v>289</v>
      </c>
      <c r="F121" s="37"/>
      <c r="G121" s="37">
        <v>15</v>
      </c>
      <c r="H121" s="37">
        <f t="shared" ref="H121:H130" si="28">G121+273.15</f>
        <v>288.14999999999998</v>
      </c>
      <c r="I121" s="218">
        <f t="shared" ref="I121:I130" si="29">-LOG10(EXP(LN(10^-14)+13.36*(1/298.15-1/H121)/0.0019872))</f>
        <v>14.339856635234117</v>
      </c>
      <c r="J121" s="109">
        <f t="shared" ref="J121:J127" si="30">58.02/4.184</f>
        <v>13.867112810707457</v>
      </c>
      <c r="K121" s="37">
        <v>4</v>
      </c>
      <c r="L121" s="37">
        <v>2.34</v>
      </c>
      <c r="M121" s="37"/>
      <c r="N121" s="37" t="s">
        <v>605</v>
      </c>
      <c r="O121" s="249">
        <f t="shared" ref="O121:O127" si="31">(LN(2)/L121)/(60*60*24)*10^(K121-5)</f>
        <v>3.4284345350582928E-7</v>
      </c>
      <c r="P121" s="249">
        <f t="shared" ref="P121:P130" si="32">O121*10^5</f>
        <v>3.4284345350582925E-2</v>
      </c>
      <c r="Q121" s="654">
        <f t="shared" ref="Q121:Q130" si="33">(LN(2)/R121)/(60*60*24)</f>
        <v>10.386257806693159</v>
      </c>
      <c r="R121" s="215">
        <f t="shared" ref="R121:R130" si="34">S121*10^-5</f>
        <v>7.724184168494724E-7</v>
      </c>
      <c r="S121" s="215">
        <f t="shared" ref="S121:S130" si="35">EXP(LN(P121)+$J121*(1/$H121-1/298.15)/0.0019872)</f>
        <v>7.7241841684947229E-2</v>
      </c>
      <c r="T121" s="410">
        <f>AVERAGE(Q121:Q130)</f>
        <v>7.2098561378824737</v>
      </c>
      <c r="U121" s="410">
        <f>MEDIAN(Q121:Q130)</f>
        <v>9.5716604217274899</v>
      </c>
      <c r="V121" s="410">
        <f>STDEV(Q121:Q130)</f>
        <v>4.5089966986914831</v>
      </c>
      <c r="W121" s="477" t="s">
        <v>973</v>
      </c>
      <c r="X121" s="477"/>
      <c r="Y121" s="477"/>
      <c r="Z121" s="37"/>
      <c r="AA121" s="37"/>
      <c r="AB121" s="37"/>
      <c r="AC121" s="37"/>
      <c r="AD121" s="248"/>
      <c r="AE121" s="654"/>
      <c r="AF121" s="215"/>
      <c r="AG121" s="882">
        <f>AE131</f>
        <v>1083.0424696249131</v>
      </c>
      <c r="AH121" s="423"/>
      <c r="AI121" s="423"/>
      <c r="AJ121" s="159"/>
      <c r="AK121" s="159"/>
      <c r="AL121" s="159"/>
      <c r="AM121" s="37"/>
      <c r="AN121" s="37"/>
      <c r="AO121" s="37"/>
      <c r="AP121" s="37"/>
      <c r="AQ121" s="249"/>
      <c r="AR121" s="249"/>
      <c r="AS121" s="654"/>
      <c r="AT121" s="215"/>
      <c r="AU121" s="215"/>
      <c r="AV121" s="410">
        <f>AVERAGE(AS131:AS133)</f>
        <v>1748.4534525540055</v>
      </c>
      <c r="AW121" s="410">
        <f>MEDIAN(AS131:AS133)</f>
        <v>949.51668569855531</v>
      </c>
      <c r="AX121" s="410">
        <f>STDEV(AS131:AS133)</f>
        <v>2166.4282763013925</v>
      </c>
      <c r="AY121" s="159"/>
      <c r="AZ121" s="159"/>
      <c r="BA121" s="159"/>
      <c r="BB121" s="186"/>
      <c r="BC121" s="186"/>
      <c r="BD121" s="186"/>
      <c r="BE121" s="37"/>
      <c r="BF121" s="37"/>
    </row>
    <row r="122" spans="1:58" x14ac:dyDescent="0.3">
      <c r="G122" s="31">
        <v>20</v>
      </c>
      <c r="H122" s="31">
        <f t="shared" si="28"/>
        <v>293.14999999999998</v>
      </c>
      <c r="I122" s="219">
        <f t="shared" si="29"/>
        <v>14.167030000755094</v>
      </c>
      <c r="J122" s="129">
        <f t="shared" si="30"/>
        <v>13.867112810707457</v>
      </c>
      <c r="K122" s="31">
        <v>4</v>
      </c>
      <c r="L122" s="31">
        <v>1.41</v>
      </c>
      <c r="N122" s="31" t="s">
        <v>605</v>
      </c>
      <c r="O122" s="250">
        <f t="shared" si="31"/>
        <v>5.6897424198839758E-7</v>
      </c>
      <c r="P122" s="250">
        <f t="shared" si="32"/>
        <v>5.6897424198839759E-2</v>
      </c>
      <c r="Q122" s="653">
        <f t="shared" si="33"/>
        <v>9.4590835826590176</v>
      </c>
      <c r="R122" s="209">
        <f t="shared" si="34"/>
        <v>8.4813044962873763E-7</v>
      </c>
      <c r="S122" s="209">
        <f t="shared" si="35"/>
        <v>8.4813044962873757E-2</v>
      </c>
      <c r="AE122" s="653"/>
      <c r="AF122" s="209"/>
      <c r="AS122" s="653"/>
      <c r="AT122" s="209"/>
      <c r="AU122" s="209"/>
    </row>
    <row r="123" spans="1:58" x14ac:dyDescent="0.3">
      <c r="G123" s="31">
        <v>25</v>
      </c>
      <c r="H123" s="31">
        <f t="shared" si="28"/>
        <v>298.14999999999998</v>
      </c>
      <c r="I123" s="219">
        <f t="shared" si="29"/>
        <v>14</v>
      </c>
      <c r="J123" s="129">
        <f t="shared" si="30"/>
        <v>13.867112810707457</v>
      </c>
      <c r="K123" s="31">
        <v>4</v>
      </c>
      <c r="L123" s="31">
        <v>1.06</v>
      </c>
      <c r="N123" s="31" t="s">
        <v>605</v>
      </c>
      <c r="O123" s="250">
        <f t="shared" si="31"/>
        <v>7.5684309547513238E-7</v>
      </c>
      <c r="P123" s="250">
        <f t="shared" si="32"/>
        <v>7.5684309547513234E-2</v>
      </c>
      <c r="Q123" s="653">
        <f t="shared" si="33"/>
        <v>10.600000000000003</v>
      </c>
      <c r="R123" s="209">
        <f t="shared" si="34"/>
        <v>7.5684309547513228E-7</v>
      </c>
      <c r="S123" s="209">
        <f t="shared" si="35"/>
        <v>7.568430954751322E-2</v>
      </c>
      <c r="AE123" s="653"/>
      <c r="AF123" s="209"/>
      <c r="AS123" s="653"/>
      <c r="AT123" s="209"/>
      <c r="AU123" s="209"/>
    </row>
    <row r="124" spans="1:58" x14ac:dyDescent="0.3">
      <c r="G124" s="31">
        <v>30</v>
      </c>
      <c r="H124" s="31">
        <f t="shared" si="28"/>
        <v>303.14999999999998</v>
      </c>
      <c r="I124" s="219">
        <f t="shared" si="29"/>
        <v>13.838479812893434</v>
      </c>
      <c r="J124" s="129">
        <f t="shared" si="30"/>
        <v>13.867112810707457</v>
      </c>
      <c r="K124" s="31">
        <v>4</v>
      </c>
      <c r="L124" s="31">
        <v>0.65</v>
      </c>
      <c r="N124" s="31" t="s">
        <v>605</v>
      </c>
      <c r="O124" s="250">
        <f t="shared" si="31"/>
        <v>1.2342364326209853E-6</v>
      </c>
      <c r="P124" s="250">
        <f t="shared" si="32"/>
        <v>0.12342364326209852</v>
      </c>
      <c r="Q124" s="653">
        <f t="shared" si="33"/>
        <v>9.5623459924619443</v>
      </c>
      <c r="R124" s="209">
        <f t="shared" si="34"/>
        <v>8.3897160993344297E-7</v>
      </c>
      <c r="S124" s="209">
        <f t="shared" si="35"/>
        <v>8.3897160993344294E-2</v>
      </c>
      <c r="AE124" s="653"/>
      <c r="AF124" s="209"/>
      <c r="AS124" s="653"/>
      <c r="AT124" s="209"/>
      <c r="AU124" s="209"/>
    </row>
    <row r="125" spans="1:58" x14ac:dyDescent="0.3">
      <c r="G125" s="31">
        <v>35</v>
      </c>
      <c r="H125" s="31">
        <f t="shared" si="28"/>
        <v>308.14999999999998</v>
      </c>
      <c r="I125" s="219">
        <f t="shared" si="29"/>
        <v>13.682201234974167</v>
      </c>
      <c r="J125" s="129">
        <f t="shared" si="30"/>
        <v>13.867112810707457</v>
      </c>
      <c r="K125" s="31">
        <v>4</v>
      </c>
      <c r="L125" s="31">
        <v>0.47</v>
      </c>
      <c r="N125" s="31" t="s">
        <v>605</v>
      </c>
      <c r="O125" s="250">
        <f t="shared" si="31"/>
        <v>1.7069227259651926E-6</v>
      </c>
      <c r="P125" s="250">
        <f t="shared" si="32"/>
        <v>0.17069227259651926</v>
      </c>
      <c r="Q125" s="653">
        <f t="shared" si="33"/>
        <v>10.045220727575368</v>
      </c>
      <c r="R125" s="209">
        <f t="shared" si="34"/>
        <v>7.9864216323425852E-7</v>
      </c>
      <c r="S125" s="209">
        <f t="shared" si="35"/>
        <v>7.9864216323425843E-2</v>
      </c>
      <c r="AE125" s="653"/>
      <c r="AF125" s="209"/>
      <c r="AS125" s="653"/>
      <c r="AT125" s="209"/>
      <c r="AU125" s="209"/>
    </row>
    <row r="126" spans="1:58" x14ac:dyDescent="0.3">
      <c r="G126" s="31">
        <v>45</v>
      </c>
      <c r="H126" s="31">
        <f t="shared" si="28"/>
        <v>318.14999999999998</v>
      </c>
      <c r="I126" s="219">
        <f t="shared" si="29"/>
        <v>13.3843803901134</v>
      </c>
      <c r="J126" s="129">
        <f t="shared" si="30"/>
        <v>13.867112810707457</v>
      </c>
      <c r="K126" s="31">
        <v>4</v>
      </c>
      <c r="L126" s="31">
        <v>0.22</v>
      </c>
      <c r="N126" s="31" t="s">
        <v>605</v>
      </c>
      <c r="O126" s="250">
        <f t="shared" si="31"/>
        <v>3.646607641834729E-6</v>
      </c>
      <c r="P126" s="250">
        <f t="shared" si="32"/>
        <v>0.36466076418347287</v>
      </c>
      <c r="Q126" s="653">
        <f t="shared" si="33"/>
        <v>9.5809748509930337</v>
      </c>
      <c r="R126" s="209">
        <f t="shared" si="34"/>
        <v>8.3734034759572467E-7</v>
      </c>
      <c r="S126" s="209">
        <f t="shared" si="35"/>
        <v>8.3734034759572459E-2</v>
      </c>
      <c r="AE126" s="653"/>
      <c r="AF126" s="209"/>
      <c r="AS126" s="653"/>
      <c r="AT126" s="209"/>
      <c r="AU126" s="209"/>
    </row>
    <row r="127" spans="1:58" x14ac:dyDescent="0.3">
      <c r="G127" s="31">
        <v>55</v>
      </c>
      <c r="H127" s="31">
        <f t="shared" si="28"/>
        <v>328.15</v>
      </c>
      <c r="I127" s="219">
        <f t="shared" si="29"/>
        <v>13.104711051872215</v>
      </c>
      <c r="J127" s="129">
        <f t="shared" si="30"/>
        <v>13.867112810707457</v>
      </c>
      <c r="K127" s="31">
        <v>4</v>
      </c>
      <c r="L127" s="31">
        <v>0.12</v>
      </c>
      <c r="N127" s="31" t="s">
        <v>605</v>
      </c>
      <c r="O127" s="250">
        <f t="shared" si="31"/>
        <v>6.6854473433636709E-6</v>
      </c>
      <c r="P127" s="250">
        <f t="shared" si="32"/>
        <v>0.66854473433636707</v>
      </c>
      <c r="Q127" s="653">
        <f t="shared" si="33"/>
        <v>10.196547937583095</v>
      </c>
      <c r="R127" s="209">
        <f t="shared" si="34"/>
        <v>7.8678949592993327E-7</v>
      </c>
      <c r="S127" s="209">
        <f t="shared" si="35"/>
        <v>7.8678949592993319E-2</v>
      </c>
      <c r="AE127" s="653"/>
      <c r="AF127" s="209"/>
      <c r="AS127" s="653"/>
      <c r="AT127" s="209"/>
      <c r="AU127" s="209"/>
    </row>
    <row r="128" spans="1:58" x14ac:dyDescent="0.3">
      <c r="E128" s="31" t="s">
        <v>292</v>
      </c>
      <c r="F128" s="31" t="s">
        <v>293</v>
      </c>
      <c r="G128" s="31">
        <v>25</v>
      </c>
      <c r="H128" s="31">
        <f t="shared" si="28"/>
        <v>298.14999999999998</v>
      </c>
      <c r="I128" s="219">
        <f t="shared" si="29"/>
        <v>14</v>
      </c>
      <c r="J128" s="92">
        <v>22.66</v>
      </c>
      <c r="K128" s="31">
        <v>4</v>
      </c>
      <c r="L128" s="31">
        <v>3.1059999999999999</v>
      </c>
      <c r="M128" s="31">
        <v>0.223</v>
      </c>
      <c r="N128" s="31" t="s">
        <v>599</v>
      </c>
      <c r="O128" s="250">
        <f>L128/(60*60*24)*10^(K128-5)</f>
        <v>3.5949074074074076E-6</v>
      </c>
      <c r="P128" s="250">
        <f t="shared" si="32"/>
        <v>0.35949074074074078</v>
      </c>
      <c r="Q128" s="653">
        <f t="shared" si="33"/>
        <v>2.2316393450094822</v>
      </c>
      <c r="R128" s="209">
        <f t="shared" si="34"/>
        <v>3.594907407407408E-6</v>
      </c>
      <c r="S128" s="209">
        <f t="shared" si="35"/>
        <v>0.35949074074074078</v>
      </c>
      <c r="W128" s="146" t="s">
        <v>967</v>
      </c>
      <c r="X128" s="146" t="s">
        <v>966</v>
      </c>
      <c r="Y128" s="146" t="s">
        <v>977</v>
      </c>
      <c r="AE128" s="653"/>
      <c r="AF128" s="209"/>
      <c r="AJ128" s="146" t="s">
        <v>967</v>
      </c>
      <c r="AK128" s="146" t="s">
        <v>966</v>
      </c>
      <c r="AL128" s="146" t="s">
        <v>977</v>
      </c>
      <c r="AS128" s="653"/>
      <c r="AT128" s="209"/>
      <c r="AU128" s="209"/>
      <c r="AY128" s="146" t="s">
        <v>967</v>
      </c>
      <c r="AZ128" s="146" t="s">
        <v>966</v>
      </c>
      <c r="BA128" s="146" t="s">
        <v>976</v>
      </c>
    </row>
    <row r="129" spans="1:58" x14ac:dyDescent="0.3">
      <c r="G129" s="31">
        <v>25</v>
      </c>
      <c r="H129" s="31">
        <f t="shared" si="28"/>
        <v>298.14999999999998</v>
      </c>
      <c r="I129" s="219">
        <f t="shared" si="29"/>
        <v>14</v>
      </c>
      <c r="J129" s="92">
        <v>22.66</v>
      </c>
      <c r="K129" s="31">
        <v>5</v>
      </c>
      <c r="L129" s="31">
        <v>19.23</v>
      </c>
      <c r="M129" s="31">
        <v>3.5999999999999997E-2</v>
      </c>
      <c r="N129" s="31" t="s">
        <v>599</v>
      </c>
      <c r="O129" s="250">
        <f>L129/(60*60*24)*10^(K129-5)</f>
        <v>2.2256944444444445E-4</v>
      </c>
      <c r="P129" s="250">
        <f t="shared" si="32"/>
        <v>22.256944444444446</v>
      </c>
      <c r="Q129" s="653">
        <f t="shared" si="33"/>
        <v>3.604509519292487E-2</v>
      </c>
      <c r="R129" s="209">
        <f t="shared" si="34"/>
        <v>2.2256944444444445E-4</v>
      </c>
      <c r="S129" s="209">
        <f t="shared" si="35"/>
        <v>22.256944444444443</v>
      </c>
      <c r="W129" s="146" t="s">
        <v>975</v>
      </c>
      <c r="X129" s="146" t="s">
        <v>974</v>
      </c>
      <c r="Y129" s="146" t="s">
        <v>977</v>
      </c>
      <c r="AE129" s="653"/>
      <c r="AF129" s="209"/>
      <c r="AJ129" s="146" t="s">
        <v>975</v>
      </c>
      <c r="AK129" s="146" t="s">
        <v>974</v>
      </c>
      <c r="AL129" s="146" t="s">
        <v>977</v>
      </c>
      <c r="AS129" s="653"/>
      <c r="AT129" s="209"/>
      <c r="AU129" s="209"/>
      <c r="AY129" s="146" t="s">
        <v>975</v>
      </c>
      <c r="AZ129" s="146" t="s">
        <v>974</v>
      </c>
      <c r="BA129" s="146" t="s">
        <v>976</v>
      </c>
    </row>
    <row r="130" spans="1:58" x14ac:dyDescent="0.3">
      <c r="G130" s="31">
        <v>25</v>
      </c>
      <c r="H130" s="31">
        <f t="shared" si="28"/>
        <v>298.14999999999998</v>
      </c>
      <c r="I130" s="219">
        <f t="shared" si="29"/>
        <v>14</v>
      </c>
      <c r="J130" s="92">
        <v>22.66</v>
      </c>
      <c r="K130" s="31">
        <v>6</v>
      </c>
      <c r="L130" s="31">
        <v>155.4</v>
      </c>
      <c r="M130" s="103">
        <v>4.4600000000000004E-3</v>
      </c>
      <c r="N130" s="31" t="s">
        <v>599</v>
      </c>
      <c r="O130" s="250">
        <f>L130/(60*60*24)*10^(K130-5)</f>
        <v>1.7986111111111112E-2</v>
      </c>
      <c r="P130" s="250">
        <f t="shared" si="32"/>
        <v>1798.6111111111113</v>
      </c>
      <c r="Q130" s="653">
        <f t="shared" si="33"/>
        <v>4.4604065673098142E-4</v>
      </c>
      <c r="R130" s="209">
        <f t="shared" si="34"/>
        <v>1.7986111111111116E-2</v>
      </c>
      <c r="S130" s="209">
        <f t="shared" si="35"/>
        <v>1798.6111111111113</v>
      </c>
      <c r="AE130" s="653"/>
      <c r="AF130" s="209"/>
      <c r="AS130" s="653"/>
      <c r="AT130" s="209"/>
      <c r="AU130" s="209"/>
      <c r="AY130" s="157" t="s">
        <v>979</v>
      </c>
      <c r="AZ130" s="157" t="s">
        <v>978</v>
      </c>
      <c r="BA130" s="157" t="s">
        <v>980</v>
      </c>
    </row>
    <row r="131" spans="1:58" x14ac:dyDescent="0.3">
      <c r="G131" s="31">
        <v>25</v>
      </c>
      <c r="H131" s="31">
        <f t="shared" ref="H131:H133" si="36">G131+273.15</f>
        <v>298.14999999999998</v>
      </c>
      <c r="I131" s="219">
        <f t="shared" ref="I131:I133" si="37">-LOG10(EXP(LN(10^-14)+13.36*(1/298.15-1/H131)/0.0019872))</f>
        <v>14</v>
      </c>
      <c r="J131" s="92">
        <v>22.66</v>
      </c>
      <c r="P131" s="250"/>
      <c r="Q131" s="653"/>
      <c r="R131" s="209"/>
      <c r="S131" s="209"/>
      <c r="Z131" s="31">
        <v>7</v>
      </c>
      <c r="AA131" s="31">
        <v>1086</v>
      </c>
      <c r="AB131" s="31">
        <v>6.4000000000000005E-4</v>
      </c>
      <c r="AC131" s="31" t="s">
        <v>599</v>
      </c>
      <c r="AD131" s="247">
        <f>AB131/24/60/60</f>
        <v>7.4074074074074079E-9</v>
      </c>
      <c r="AE131" s="653">
        <f>(LN(2)/AF131)/(60*60*24)</f>
        <v>1083.0424696249131</v>
      </c>
      <c r="AF131" s="209">
        <f>EXP(LN(AD131)+$J131*(1/$H131-1/298.15)/0.001972)</f>
        <v>7.4074074074074162E-9</v>
      </c>
      <c r="AM131" s="31">
        <v>8</v>
      </c>
      <c r="AN131" s="31">
        <v>951.9</v>
      </c>
      <c r="AO131" s="31">
        <f>10^-3*0.73</f>
        <v>7.2999999999999996E-4</v>
      </c>
      <c r="AP131" s="31" t="s">
        <v>599</v>
      </c>
      <c r="AQ131" s="250">
        <f>(AO131/60/60/24)*10^(9-AM131)</f>
        <v>8.4490740740740737E-8</v>
      </c>
      <c r="AR131" s="250">
        <f>AQ131*10^($I131-9)</f>
        <v>8.4490740740740741E-3</v>
      </c>
      <c r="AS131" s="653">
        <f>(LN(2)/AT131)/(60*60*24)</f>
        <v>94.951668569855514</v>
      </c>
      <c r="AT131" s="209">
        <f>AU131*10^(9-14)</f>
        <v>8.449074074074075E-8</v>
      </c>
      <c r="AU131" s="209">
        <f>EXP(LN(AR131)+$J131*(1/$H131-1/298.15)/0.0019872)</f>
        <v>8.4490740740740741E-3</v>
      </c>
    </row>
    <row r="132" spans="1:58" x14ac:dyDescent="0.3">
      <c r="G132" s="31">
        <v>25</v>
      </c>
      <c r="H132" s="31">
        <f t="shared" si="36"/>
        <v>298.14999999999998</v>
      </c>
      <c r="I132" s="219">
        <f t="shared" si="37"/>
        <v>14</v>
      </c>
      <c r="J132" s="92">
        <v>22.66</v>
      </c>
      <c r="P132" s="250"/>
      <c r="Q132" s="653"/>
      <c r="R132" s="209"/>
      <c r="S132" s="209"/>
      <c r="AE132" s="653"/>
      <c r="AF132" s="209"/>
      <c r="AM132" s="31">
        <v>9</v>
      </c>
      <c r="AN132" s="31">
        <v>952.9</v>
      </c>
      <c r="AO132" s="31">
        <v>7.2999999999999996E-4</v>
      </c>
      <c r="AP132" s="31" t="s">
        <v>599</v>
      </c>
      <c r="AQ132" s="250">
        <f>(AO132/60/60/24)*10^(9-AM132)</f>
        <v>8.449074074074074E-9</v>
      </c>
      <c r="AR132" s="250">
        <f>AQ132*10^($I132-9)</f>
        <v>8.4490740740740739E-4</v>
      </c>
      <c r="AS132" s="653">
        <f>(LN(2)/AT132)/(60*60*24)</f>
        <v>949.51668569855531</v>
      </c>
      <c r="AT132" s="209">
        <f>AU132*10^(9-14)</f>
        <v>8.4490740740740723E-9</v>
      </c>
      <c r="AU132" s="209">
        <f>EXP(LN(AR132)+$J132*(1/$H132-1/298.15)/0.0019872)</f>
        <v>8.4490740740740717E-4</v>
      </c>
    </row>
    <row r="133" spans="1:58" x14ac:dyDescent="0.3">
      <c r="G133" s="31">
        <v>25</v>
      </c>
      <c r="H133" s="31">
        <f t="shared" si="36"/>
        <v>298.14999999999998</v>
      </c>
      <c r="I133" s="219">
        <f t="shared" si="37"/>
        <v>14</v>
      </c>
      <c r="J133" s="92">
        <v>22.66</v>
      </c>
      <c r="P133" s="250"/>
      <c r="Q133" s="653"/>
      <c r="R133" s="209"/>
      <c r="S133" s="209"/>
      <c r="AE133" s="653"/>
      <c r="AF133" s="209"/>
      <c r="AM133" s="31">
        <v>10</v>
      </c>
      <c r="AN133" s="31">
        <v>418.6</v>
      </c>
      <c r="AO133" s="31">
        <v>1.65E-3</v>
      </c>
      <c r="AP133" s="31" t="s">
        <v>599</v>
      </c>
      <c r="AQ133" s="250">
        <f>(AO133/60/60/24)*10^(9-AM133)</f>
        <v>1.9097222222222226E-9</v>
      </c>
      <c r="AR133" s="250">
        <f>AQ133*10^($I133-9)</f>
        <v>1.9097222222222226E-4</v>
      </c>
      <c r="AS133" s="653">
        <f>(LN(2)/AT133)/(60*60*24)</f>
        <v>4200.8920033936056</v>
      </c>
      <c r="AT133" s="209">
        <f>AU133*10^(9-14)</f>
        <v>1.9097222222222231E-9</v>
      </c>
      <c r="AU133" s="209">
        <f>EXP(LN(AR133)+$J133*(1/$H133-1/298.15)/0.0019872)</f>
        <v>1.9097222222222229E-4</v>
      </c>
    </row>
    <row r="134" spans="1:58" x14ac:dyDescent="0.3">
      <c r="I134" s="219"/>
      <c r="P134" s="250"/>
      <c r="Q134" s="653"/>
      <c r="R134" s="209"/>
      <c r="S134" s="209"/>
      <c r="AE134" s="653"/>
      <c r="AF134" s="209"/>
      <c r="AS134" s="653"/>
      <c r="AT134" s="209"/>
      <c r="AU134" s="209"/>
    </row>
    <row r="135" spans="1:58" s="9" customFormat="1" x14ac:dyDescent="0.3">
      <c r="A135" s="42">
        <v>22</v>
      </c>
      <c r="B135" s="42" t="s">
        <v>288</v>
      </c>
      <c r="C135" s="285" t="s">
        <v>290</v>
      </c>
      <c r="D135" s="318" t="s">
        <v>924</v>
      </c>
      <c r="E135" s="42" t="s">
        <v>289</v>
      </c>
      <c r="F135" s="42"/>
      <c r="G135" s="42">
        <v>15</v>
      </c>
      <c r="H135" s="42">
        <f t="shared" ref="H135:H141" si="38">G135+273.15</f>
        <v>288.14999999999998</v>
      </c>
      <c r="I135" s="688">
        <f t="shared" ref="I135:I141" si="39">-LOG10(EXP(LN(10^-14)+13.36*(1/298.15-1/H135)/0.0019872))</f>
        <v>14.339856635234117</v>
      </c>
      <c r="J135" s="478">
        <f t="shared" ref="J135:J141" si="40">34.44/4.184</f>
        <v>8.2313575525812617</v>
      </c>
      <c r="K135" s="42">
        <v>4</v>
      </c>
      <c r="L135" s="42">
        <v>0.66</v>
      </c>
      <c r="M135" s="42"/>
      <c r="N135" s="42" t="s">
        <v>605</v>
      </c>
      <c r="O135" s="479">
        <f t="shared" ref="O135:O141" si="41">(LN(2)/L135)/(60*60*24)*10^(K135-5)</f>
        <v>1.2155358806115764E-6</v>
      </c>
      <c r="P135" s="479">
        <f t="shared" ref="P135:P141" si="42">O135*10^5</f>
        <v>0.12155358806115764</v>
      </c>
      <c r="Q135" s="749">
        <f t="shared" ref="Q135:Q141" si="43">(LN(2)/R135)/(60*60*24)</f>
        <v>4.0752251617595467</v>
      </c>
      <c r="R135" s="217">
        <f t="shared" ref="R135:R141" si="44">S135*10^-5</f>
        <v>1.9686119155616271E-6</v>
      </c>
      <c r="S135" s="217">
        <f t="shared" ref="S135:S141" si="45">EXP(LN(P135)+$J135*(1/$H135-1/298.15)/0.0019872)</f>
        <v>0.19686119155616269</v>
      </c>
      <c r="T135" s="475">
        <f>AVERAGE(Q135:Q141)</f>
        <v>4.2601682586274316</v>
      </c>
      <c r="U135" s="475">
        <f>MEDIAN(Q135:Q141)</f>
        <v>4.2999999999999989</v>
      </c>
      <c r="V135" s="475">
        <f>STDEV(Q135:Q141)</f>
        <v>0.2167023667087648</v>
      </c>
      <c r="W135" s="476" t="s">
        <v>973</v>
      </c>
      <c r="X135" s="476"/>
      <c r="Y135" s="476"/>
      <c r="Z135" s="42"/>
      <c r="AA135" s="42"/>
      <c r="AB135" s="42"/>
      <c r="AC135" s="42"/>
      <c r="AD135" s="482"/>
      <c r="AE135" s="749"/>
      <c r="AF135" s="217"/>
      <c r="AG135" s="480"/>
      <c r="AH135" s="480"/>
      <c r="AI135" s="480"/>
      <c r="AJ135" s="161"/>
      <c r="AK135" s="161"/>
      <c r="AL135" s="161"/>
      <c r="AM135" s="42"/>
      <c r="AN135" s="42"/>
      <c r="AO135" s="42"/>
      <c r="AP135" s="42"/>
      <c r="AQ135" s="479"/>
      <c r="AR135" s="479"/>
      <c r="AS135" s="749"/>
      <c r="AT135" s="217"/>
      <c r="AU135" s="217"/>
      <c r="AV135" s="475"/>
      <c r="AW135" s="475"/>
      <c r="AX135" s="475"/>
      <c r="AY135" s="161"/>
      <c r="AZ135" s="161"/>
      <c r="BA135" s="161"/>
      <c r="BB135" s="187"/>
      <c r="BC135" s="187"/>
      <c r="BD135" s="187"/>
      <c r="BE135" s="42"/>
      <c r="BF135" s="42"/>
    </row>
    <row r="136" spans="1:58" x14ac:dyDescent="0.3">
      <c r="G136" s="31">
        <v>20</v>
      </c>
      <c r="H136" s="31">
        <f t="shared" si="38"/>
        <v>293.14999999999998</v>
      </c>
      <c r="I136" s="219">
        <f t="shared" si="39"/>
        <v>14.167030000755094</v>
      </c>
      <c r="J136" s="129">
        <f t="shared" si="40"/>
        <v>8.2313575525812617</v>
      </c>
      <c r="K136" s="31">
        <v>4</v>
      </c>
      <c r="L136" s="31">
        <v>0.53</v>
      </c>
      <c r="N136" s="31" t="s">
        <v>605</v>
      </c>
      <c r="O136" s="250">
        <f t="shared" si="41"/>
        <v>1.5136861909502648E-6</v>
      </c>
      <c r="P136" s="250">
        <f t="shared" si="42"/>
        <v>0.15136861909502647</v>
      </c>
      <c r="Q136" s="653">
        <f t="shared" si="43"/>
        <v>4.1818207779650285</v>
      </c>
      <c r="R136" s="209">
        <f t="shared" si="44"/>
        <v>1.9184315249254556E-6</v>
      </c>
      <c r="S136" s="209">
        <f t="shared" si="45"/>
        <v>0.19184315249254555</v>
      </c>
      <c r="AE136" s="653"/>
      <c r="AF136" s="209"/>
      <c r="AS136" s="653"/>
      <c r="AT136" s="209"/>
      <c r="AU136" s="209"/>
    </row>
    <row r="137" spans="1:58" x14ac:dyDescent="0.3">
      <c r="G137" s="31">
        <v>25</v>
      </c>
      <c r="H137" s="31">
        <f t="shared" si="38"/>
        <v>298.14999999999998</v>
      </c>
      <c r="I137" s="219">
        <f t="shared" si="39"/>
        <v>14</v>
      </c>
      <c r="J137" s="129">
        <f t="shared" si="40"/>
        <v>8.2313575525812617</v>
      </c>
      <c r="K137" s="31">
        <v>4</v>
      </c>
      <c r="L137" s="31">
        <v>0.43</v>
      </c>
      <c r="N137" s="31" t="s">
        <v>605</v>
      </c>
      <c r="O137" s="250">
        <f t="shared" si="41"/>
        <v>1.8657062353573035E-6</v>
      </c>
      <c r="P137" s="250">
        <f t="shared" si="42"/>
        <v>0.18657062353573034</v>
      </c>
      <c r="Q137" s="653">
        <f t="shared" si="43"/>
        <v>4.2999999999999989</v>
      </c>
      <c r="R137" s="209">
        <f t="shared" si="44"/>
        <v>1.8657062353573035E-6</v>
      </c>
      <c r="S137" s="209">
        <f t="shared" si="45"/>
        <v>0.18657062353573034</v>
      </c>
      <c r="AE137" s="653"/>
      <c r="AF137" s="209"/>
      <c r="AS137" s="653"/>
      <c r="AT137" s="209"/>
      <c r="AU137" s="209"/>
    </row>
    <row r="138" spans="1:58" x14ac:dyDescent="0.3">
      <c r="G138" s="31">
        <v>30</v>
      </c>
      <c r="H138" s="31">
        <f t="shared" si="38"/>
        <v>303.14999999999998</v>
      </c>
      <c r="I138" s="219">
        <f t="shared" si="39"/>
        <v>13.838479812893434</v>
      </c>
      <c r="J138" s="129">
        <f t="shared" si="40"/>
        <v>8.2313575525812617</v>
      </c>
      <c r="K138" s="31">
        <v>4</v>
      </c>
      <c r="L138" s="31">
        <v>0.35</v>
      </c>
      <c r="N138" s="31" t="s">
        <v>605</v>
      </c>
      <c r="O138" s="250">
        <f t="shared" si="41"/>
        <v>2.2921533748675442E-6</v>
      </c>
      <c r="P138" s="250">
        <f t="shared" si="42"/>
        <v>0.22921533748675441</v>
      </c>
      <c r="Q138" s="653">
        <f t="shared" si="43"/>
        <v>4.4013285986795134</v>
      </c>
      <c r="R138" s="209">
        <f t="shared" si="44"/>
        <v>1.8227534327801214E-6</v>
      </c>
      <c r="S138" s="209">
        <f t="shared" si="45"/>
        <v>0.18227534327801212</v>
      </c>
      <c r="AE138" s="653"/>
      <c r="AF138" s="209"/>
      <c r="AS138" s="653"/>
      <c r="AT138" s="209"/>
      <c r="AU138" s="209"/>
    </row>
    <row r="139" spans="1:58" x14ac:dyDescent="0.3">
      <c r="G139" s="31">
        <v>35</v>
      </c>
      <c r="H139" s="31">
        <f t="shared" si="38"/>
        <v>308.14999999999998</v>
      </c>
      <c r="I139" s="219">
        <f t="shared" si="39"/>
        <v>13.682201234974167</v>
      </c>
      <c r="J139" s="129">
        <f t="shared" si="40"/>
        <v>8.2313575525812617</v>
      </c>
      <c r="K139" s="31">
        <v>4</v>
      </c>
      <c r="L139" s="31">
        <v>0.28000000000000003</v>
      </c>
      <c r="N139" s="31" t="s">
        <v>605</v>
      </c>
      <c r="O139" s="250">
        <f t="shared" si="41"/>
        <v>2.8651917185844298E-6</v>
      </c>
      <c r="P139" s="250">
        <f t="shared" si="42"/>
        <v>0.286519171858443</v>
      </c>
      <c r="Q139" s="653">
        <f t="shared" si="43"/>
        <v>4.3950120700069082</v>
      </c>
      <c r="R139" s="209">
        <f t="shared" si="44"/>
        <v>1.8253731011991949E-6</v>
      </c>
      <c r="S139" s="209">
        <f t="shared" si="45"/>
        <v>0.18253731011991947</v>
      </c>
      <c r="AE139" s="653"/>
      <c r="AF139" s="209"/>
      <c r="AS139" s="653"/>
      <c r="AT139" s="209"/>
      <c r="AU139" s="209"/>
    </row>
    <row r="140" spans="1:58" x14ac:dyDescent="0.3">
      <c r="G140" s="31">
        <v>45</v>
      </c>
      <c r="H140" s="31">
        <f t="shared" si="38"/>
        <v>318.14999999999998</v>
      </c>
      <c r="I140" s="219">
        <f t="shared" si="39"/>
        <v>13.3843803901134</v>
      </c>
      <c r="J140" s="129">
        <f t="shared" si="40"/>
        <v>8.2313575525812617</v>
      </c>
      <c r="K140" s="31">
        <v>4</v>
      </c>
      <c r="L140" s="31">
        <v>0.19</v>
      </c>
      <c r="N140" s="31" t="s">
        <v>605</v>
      </c>
      <c r="O140" s="250">
        <f t="shared" si="41"/>
        <v>4.222387795808633E-6</v>
      </c>
      <c r="P140" s="250">
        <f t="shared" si="42"/>
        <v>0.42223877958086331</v>
      </c>
      <c r="Q140" s="653">
        <f t="shared" si="43"/>
        <v>4.5503928757398411</v>
      </c>
      <c r="R140" s="209">
        <f t="shared" si="44"/>
        <v>1.7630426715038385E-6</v>
      </c>
      <c r="S140" s="209">
        <f t="shared" si="45"/>
        <v>0.17630426715038383</v>
      </c>
      <c r="AE140" s="653"/>
      <c r="AF140" s="209"/>
      <c r="AS140" s="653"/>
      <c r="AT140" s="209"/>
      <c r="AU140" s="209"/>
    </row>
    <row r="141" spans="1:58" x14ac:dyDescent="0.3">
      <c r="G141" s="31">
        <v>55</v>
      </c>
      <c r="H141" s="31">
        <f t="shared" si="38"/>
        <v>328.15</v>
      </c>
      <c r="I141" s="219">
        <f t="shared" si="39"/>
        <v>13.104711051872215</v>
      </c>
      <c r="J141" s="129">
        <f t="shared" si="40"/>
        <v>8.2313575525812617</v>
      </c>
      <c r="K141" s="31">
        <v>4</v>
      </c>
      <c r="L141" s="31">
        <v>0.11</v>
      </c>
      <c r="N141" s="31" t="s">
        <v>605</v>
      </c>
      <c r="O141" s="250">
        <f t="shared" si="41"/>
        <v>7.293215283669458E-6</v>
      </c>
      <c r="P141" s="250">
        <f t="shared" si="42"/>
        <v>0.72932152836694575</v>
      </c>
      <c r="Q141" s="653">
        <f t="shared" si="43"/>
        <v>3.917398326241186</v>
      </c>
      <c r="R141" s="209">
        <f t="shared" si="44"/>
        <v>2.0479247051024733E-6</v>
      </c>
      <c r="S141" s="209">
        <f t="shared" si="45"/>
        <v>0.20479247051024732</v>
      </c>
      <c r="AE141" s="653"/>
      <c r="AF141" s="209"/>
      <c r="AS141" s="653"/>
      <c r="AT141" s="209"/>
      <c r="AU141" s="209"/>
    </row>
    <row r="142" spans="1:58" x14ac:dyDescent="0.3">
      <c r="I142" s="219"/>
      <c r="P142" s="250"/>
      <c r="Q142" s="653"/>
      <c r="R142" s="209"/>
      <c r="S142" s="209"/>
      <c r="AE142" s="653"/>
      <c r="AF142" s="209"/>
      <c r="AS142" s="653"/>
      <c r="AT142" s="209"/>
      <c r="AU142" s="209"/>
    </row>
    <row r="143" spans="1:58" s="9" customFormat="1" x14ac:dyDescent="0.3">
      <c r="A143" s="42">
        <v>23</v>
      </c>
      <c r="B143" s="42" t="s">
        <v>294</v>
      </c>
      <c r="C143" s="42" t="s">
        <v>295</v>
      </c>
      <c r="D143" s="318" t="s">
        <v>924</v>
      </c>
      <c r="E143" s="42" t="s">
        <v>297</v>
      </c>
      <c r="F143" s="42" t="s">
        <v>296</v>
      </c>
      <c r="G143" s="42">
        <v>25</v>
      </c>
      <c r="H143" s="42">
        <f>G143+273.15</f>
        <v>298.14999999999998</v>
      </c>
      <c r="I143" s="688">
        <f>-LOG10(EXP(LN(10^-14)+13.36*(1/298.15-1/H143)/0.0019872))</f>
        <v>14</v>
      </c>
      <c r="J143" s="93">
        <v>22.66</v>
      </c>
      <c r="K143" s="42">
        <v>5</v>
      </c>
      <c r="L143" s="42" t="s">
        <v>298</v>
      </c>
      <c r="M143" s="42"/>
      <c r="N143" s="42"/>
      <c r="O143" s="479"/>
      <c r="P143" s="482"/>
      <c r="Q143" s="749"/>
      <c r="R143" s="216"/>
      <c r="S143" s="216"/>
      <c r="T143" s="475"/>
      <c r="U143" s="475"/>
      <c r="V143" s="475"/>
      <c r="W143" s="476"/>
      <c r="X143" s="476"/>
      <c r="Y143" s="476"/>
      <c r="Z143" s="42">
        <v>7</v>
      </c>
      <c r="AA143" s="42">
        <v>15.875</v>
      </c>
      <c r="AB143" s="42"/>
      <c r="AC143" s="42" t="s">
        <v>605</v>
      </c>
      <c r="AD143" s="482">
        <f>(LN(2)/AA143)/(60*60*24)</f>
        <v>5.0535664957709629E-7</v>
      </c>
      <c r="AE143" s="749">
        <f>(LN(2)/AF143)/(60*60*24)</f>
        <v>15.875000000000011</v>
      </c>
      <c r="AF143" s="217">
        <f>EXP(LN(AD143)+$J143*(1/$H143-1/298.15)/0.001972)</f>
        <v>5.0535664957709598E-7</v>
      </c>
      <c r="AG143" s="475">
        <f>AE143</f>
        <v>15.875000000000011</v>
      </c>
      <c r="AH143" s="480"/>
      <c r="AI143" s="480"/>
      <c r="AJ143" s="161" t="s">
        <v>965</v>
      </c>
      <c r="AK143" s="161" t="s">
        <v>964</v>
      </c>
      <c r="AL143" s="161" t="s">
        <v>1286</v>
      </c>
      <c r="AM143" s="42">
        <v>9</v>
      </c>
      <c r="AN143" s="42" t="s">
        <v>117</v>
      </c>
      <c r="AO143" s="42"/>
      <c r="AP143" s="42" t="s">
        <v>605</v>
      </c>
      <c r="AQ143" s="479"/>
      <c r="AR143" s="479"/>
      <c r="AS143" s="749"/>
      <c r="AT143" s="217"/>
      <c r="AU143" s="217"/>
      <c r="AV143" s="475"/>
      <c r="AW143" s="475"/>
      <c r="AX143" s="475"/>
      <c r="AY143" s="161"/>
      <c r="AZ143" s="161"/>
      <c r="BA143" s="161"/>
      <c r="BB143" s="187"/>
      <c r="BC143" s="187"/>
      <c r="BD143" s="187"/>
      <c r="BE143" s="42"/>
      <c r="BF143" s="42"/>
    </row>
    <row r="144" spans="1:58" s="10" customFormat="1" x14ac:dyDescent="0.3">
      <c r="A144" s="50"/>
      <c r="B144" s="50"/>
      <c r="C144" s="50"/>
      <c r="D144" s="361"/>
      <c r="E144" s="50"/>
      <c r="F144" s="50"/>
      <c r="G144" s="50"/>
      <c r="H144" s="50"/>
      <c r="I144" s="690"/>
      <c r="J144" s="110"/>
      <c r="K144" s="50"/>
      <c r="L144" s="50"/>
      <c r="M144" s="50"/>
      <c r="N144" s="50"/>
      <c r="O144" s="531"/>
      <c r="P144" s="532"/>
      <c r="Q144" s="711"/>
      <c r="R144" s="221"/>
      <c r="S144" s="221"/>
      <c r="T144" s="539"/>
      <c r="U144" s="539"/>
      <c r="V144" s="539"/>
      <c r="W144" s="146"/>
      <c r="X144" s="146"/>
      <c r="Y144" s="146"/>
      <c r="Z144" s="50"/>
      <c r="AA144" s="50"/>
      <c r="AB144" s="50"/>
      <c r="AC144" s="50"/>
      <c r="AD144" s="532"/>
      <c r="AE144" s="711"/>
      <c r="AF144" s="222"/>
      <c r="AG144" s="539"/>
      <c r="AH144" s="467"/>
      <c r="AI144" s="467"/>
      <c r="AJ144" s="165" t="s">
        <v>968</v>
      </c>
      <c r="AK144" s="165" t="s">
        <v>969</v>
      </c>
      <c r="AL144" s="165" t="s">
        <v>1284</v>
      </c>
      <c r="AM144" s="50"/>
      <c r="AN144" s="50"/>
      <c r="AO144" s="50"/>
      <c r="AP144" s="50"/>
      <c r="AQ144" s="531"/>
      <c r="AR144" s="531"/>
      <c r="AS144" s="711"/>
      <c r="AT144" s="222"/>
      <c r="AU144" s="222"/>
      <c r="AV144" s="539"/>
      <c r="AW144" s="539"/>
      <c r="AX144" s="539"/>
      <c r="AY144" s="165"/>
      <c r="AZ144" s="165"/>
      <c r="BA144" s="165"/>
      <c r="BB144" s="188"/>
      <c r="BC144" s="188"/>
      <c r="BD144" s="188"/>
      <c r="BE144" s="50"/>
      <c r="BF144" s="50"/>
    </row>
    <row r="145" spans="1:58" x14ac:dyDescent="0.3">
      <c r="I145" s="219"/>
      <c r="Q145" s="653"/>
      <c r="R145" s="208"/>
      <c r="S145" s="208"/>
      <c r="AE145" s="653"/>
      <c r="AF145" s="209"/>
      <c r="AJ145" s="157" t="s">
        <v>967</v>
      </c>
      <c r="AK145" s="157" t="s">
        <v>966</v>
      </c>
      <c r="AL145" s="157" t="s">
        <v>1285</v>
      </c>
      <c r="AS145" s="653"/>
      <c r="AT145" s="209"/>
      <c r="AU145" s="209"/>
    </row>
    <row r="146" spans="1:58" ht="15" thickBot="1" x14ac:dyDescent="0.35">
      <c r="I146" s="219"/>
      <c r="Q146" s="653"/>
      <c r="R146" s="208"/>
      <c r="S146" s="208"/>
      <c r="W146" s="540"/>
      <c r="X146" s="540"/>
      <c r="Y146" s="540"/>
      <c r="AE146" s="653"/>
      <c r="AF146" s="209"/>
      <c r="AJ146" s="157" t="s">
        <v>970</v>
      </c>
      <c r="AK146" s="157" t="s">
        <v>971</v>
      </c>
      <c r="AL146" s="157" t="s">
        <v>972</v>
      </c>
      <c r="AS146" s="653"/>
      <c r="AT146" s="209"/>
      <c r="AU146" s="209"/>
    </row>
    <row r="147" spans="1:58" s="8" customFormat="1" x14ac:dyDescent="0.3">
      <c r="A147" s="37"/>
      <c r="B147" s="37"/>
      <c r="C147" s="37"/>
      <c r="D147" s="38"/>
      <c r="E147" s="37"/>
      <c r="F147" s="37"/>
      <c r="G147" s="37"/>
      <c r="H147" s="37"/>
      <c r="I147" s="606"/>
      <c r="J147" s="96"/>
      <c r="K147" s="37"/>
      <c r="L147" s="37"/>
      <c r="M147" s="37"/>
      <c r="N147" s="37"/>
      <c r="O147" s="249"/>
      <c r="P147" s="248"/>
      <c r="Q147" s="650"/>
      <c r="R147" s="605"/>
      <c r="S147" s="605"/>
      <c r="T147" s="410"/>
      <c r="U147" s="410"/>
      <c r="V147" s="410"/>
      <c r="W147" s="146"/>
      <c r="X147" s="146"/>
      <c r="Y147" s="146"/>
      <c r="Z147" s="37"/>
      <c r="AA147" s="37"/>
      <c r="AB147" s="37"/>
      <c r="AC147" s="37"/>
      <c r="AD147" s="248"/>
      <c r="AE147" s="650"/>
      <c r="AF147" s="607"/>
      <c r="AG147" s="423"/>
      <c r="AH147" s="423"/>
      <c r="AI147" s="423"/>
      <c r="AJ147" s="159"/>
      <c r="AK147" s="159"/>
      <c r="AL147" s="159"/>
      <c r="AM147" s="37"/>
      <c r="AN147" s="37"/>
      <c r="AO147" s="37"/>
      <c r="AP147" s="37"/>
      <c r="AQ147" s="249"/>
      <c r="AR147" s="249"/>
      <c r="AS147" s="650"/>
      <c r="AT147" s="607"/>
      <c r="AU147" s="607"/>
      <c r="AV147" s="410"/>
      <c r="AW147" s="410"/>
      <c r="AX147" s="410"/>
      <c r="AY147" s="159"/>
      <c r="AZ147" s="159"/>
      <c r="BA147" s="159"/>
      <c r="BB147" s="186"/>
      <c r="BC147" s="186"/>
      <c r="BD147" s="186"/>
      <c r="BE147" s="37"/>
      <c r="BF147" s="37"/>
    </row>
    <row r="148" spans="1:58" s="1" customFormat="1" x14ac:dyDescent="0.3">
      <c r="A148" s="108"/>
      <c r="B148" s="108"/>
      <c r="C148" s="108"/>
      <c r="D148" s="378"/>
      <c r="E148" s="108"/>
      <c r="F148" s="108"/>
      <c r="G148" s="108"/>
      <c r="H148" s="108"/>
      <c r="I148" s="551"/>
      <c r="J148" s="533"/>
      <c r="K148" s="108"/>
      <c r="L148" s="108"/>
      <c r="M148" s="108"/>
      <c r="N148" s="108" t="s">
        <v>790</v>
      </c>
      <c r="O148" s="492"/>
      <c r="P148" s="483"/>
      <c r="Q148" s="753">
        <f>AVERAGE(Q9:Q141)</f>
        <v>86.302698358671734</v>
      </c>
      <c r="R148" s="552"/>
      <c r="S148" s="552"/>
      <c r="T148" s="484">
        <f>AVERAGE(T5:T144)</f>
        <v>105.23559163453611</v>
      </c>
      <c r="U148" s="484"/>
      <c r="V148" s="484"/>
      <c r="W148" s="108" t="s">
        <v>790</v>
      </c>
      <c r="X148" s="143"/>
      <c r="Y148" s="143"/>
      <c r="Z148" s="108"/>
      <c r="AA148" s="108"/>
      <c r="AB148" s="108"/>
      <c r="AC148" s="108" t="s">
        <v>790</v>
      </c>
      <c r="AD148" s="483"/>
      <c r="AE148" s="753">
        <f>AVERAGE(AE6:AE143)</f>
        <v>354.29735783738079</v>
      </c>
      <c r="AF148" s="590"/>
      <c r="AG148" s="484">
        <f>AVERAGE(AG6:AG143)</f>
        <v>344.7724712572994</v>
      </c>
      <c r="AH148" s="506"/>
      <c r="AI148" s="506"/>
      <c r="AJ148" s="425"/>
      <c r="AK148" s="425"/>
      <c r="AL148" s="425"/>
      <c r="AM148" s="108" t="s">
        <v>790</v>
      </c>
      <c r="AN148" s="108"/>
      <c r="AO148" s="108"/>
      <c r="AP148" s="108" t="s">
        <v>790</v>
      </c>
      <c r="AQ148" s="492"/>
      <c r="AR148" s="492"/>
      <c r="AS148" s="753">
        <f>AVERAGE(AS6:AS133)</f>
        <v>4803.6696073866988</v>
      </c>
      <c r="AT148" s="590"/>
      <c r="AU148" s="590"/>
      <c r="AV148" s="484">
        <f>AVERAGE(AV5:AV121)</f>
        <v>2996.5776811286664</v>
      </c>
      <c r="AW148" s="484"/>
      <c r="AX148" s="484"/>
      <c r="AY148" s="425"/>
      <c r="AZ148" s="425"/>
      <c r="BA148" s="425"/>
      <c r="BB148" s="319" t="s">
        <v>790</v>
      </c>
      <c r="BC148" s="319"/>
      <c r="BD148" s="319"/>
      <c r="BE148" s="108"/>
      <c r="BF148" s="108"/>
    </row>
    <row r="149" spans="1:58" s="1" customFormat="1" x14ac:dyDescent="0.3">
      <c r="A149" s="108"/>
      <c r="B149" s="108"/>
      <c r="C149" s="108"/>
      <c r="D149" s="378"/>
      <c r="E149" s="108"/>
      <c r="F149" s="108"/>
      <c r="G149" s="108"/>
      <c r="H149" s="108"/>
      <c r="I149" s="551"/>
      <c r="J149" s="533"/>
      <c r="K149" s="108"/>
      <c r="L149" s="108"/>
      <c r="M149" s="108"/>
      <c r="N149" s="108" t="s">
        <v>791</v>
      </c>
      <c r="O149" s="492"/>
      <c r="P149" s="483"/>
      <c r="Q149" s="753">
        <f>STDEV(Q9:Q142)</f>
        <v>198.7871597662168</v>
      </c>
      <c r="R149" s="552"/>
      <c r="S149" s="552"/>
      <c r="T149" s="484">
        <f>STDEV(T5:T144)</f>
        <v>143.32645931792609</v>
      </c>
      <c r="U149" s="484"/>
      <c r="V149" s="484"/>
      <c r="W149" s="108" t="s">
        <v>791</v>
      </c>
      <c r="X149" s="143"/>
      <c r="Y149" s="143"/>
      <c r="Z149" s="108"/>
      <c r="AA149" s="108"/>
      <c r="AB149" s="108"/>
      <c r="AC149" s="108" t="s">
        <v>791</v>
      </c>
      <c r="AD149" s="483"/>
      <c r="AE149" s="753">
        <f>STDEV(AE6:AE143)</f>
        <v>548.08692038505126</v>
      </c>
      <c r="AF149" s="590"/>
      <c r="AG149" s="484">
        <f>STDEV(AG6:AG143)</f>
        <v>486.67851507447074</v>
      </c>
      <c r="AH149" s="506"/>
      <c r="AI149" s="506"/>
      <c r="AJ149" s="425"/>
      <c r="AK149" s="425"/>
      <c r="AL149" s="425"/>
      <c r="AM149" s="108" t="s">
        <v>791</v>
      </c>
      <c r="AN149" s="108"/>
      <c r="AO149" s="108"/>
      <c r="AP149" s="108" t="s">
        <v>791</v>
      </c>
      <c r="AQ149" s="492"/>
      <c r="AR149" s="492"/>
      <c r="AS149" s="753">
        <f>STDEV(AS6:AS133)</f>
        <v>12180.177436965103</v>
      </c>
      <c r="AT149" s="590"/>
      <c r="AU149" s="590"/>
      <c r="AV149" s="484">
        <f>STDEV(AV5:AV121)</f>
        <v>8880.2456580822982</v>
      </c>
      <c r="AW149" s="484"/>
      <c r="AX149" s="484"/>
      <c r="AY149" s="425"/>
      <c r="AZ149" s="425"/>
      <c r="BA149" s="425"/>
      <c r="BB149" s="319" t="s">
        <v>791</v>
      </c>
      <c r="BC149" s="319"/>
      <c r="BD149" s="319"/>
      <c r="BE149" s="108"/>
      <c r="BF149" s="108"/>
    </row>
    <row r="150" spans="1:58" s="1" customFormat="1" x14ac:dyDescent="0.3">
      <c r="A150" s="108"/>
      <c r="B150" s="108"/>
      <c r="C150" s="108"/>
      <c r="D150" s="378"/>
      <c r="E150" s="108"/>
      <c r="F150" s="108"/>
      <c r="G150" s="108"/>
      <c r="H150" s="108"/>
      <c r="I150" s="551"/>
      <c r="J150" s="533"/>
      <c r="K150" s="108"/>
      <c r="L150" s="108"/>
      <c r="M150" s="108"/>
      <c r="N150" s="108" t="s">
        <v>800</v>
      </c>
      <c r="O150" s="492"/>
      <c r="P150" s="483"/>
      <c r="Q150" s="753">
        <f>MEDIAN(Q8:Q142)</f>
        <v>25.310463204328205</v>
      </c>
      <c r="R150" s="552"/>
      <c r="S150" s="552"/>
      <c r="T150" s="484">
        <f>MEDIAN(T5:T135)</f>
        <v>52.173999999999999</v>
      </c>
      <c r="U150" s="484"/>
      <c r="V150" s="484"/>
      <c r="W150" s="108" t="s">
        <v>800</v>
      </c>
      <c r="X150" s="143"/>
      <c r="Y150" s="143"/>
      <c r="Z150" s="108"/>
      <c r="AA150" s="108"/>
      <c r="AB150" s="108"/>
      <c r="AC150" s="108" t="s">
        <v>800</v>
      </c>
      <c r="AD150" s="483"/>
      <c r="AE150" s="753">
        <f>MEDIAN(AE6:AE143)</f>
        <v>128.0000000000002</v>
      </c>
      <c r="AF150" s="590"/>
      <c r="AG150" s="484">
        <f>MEDIAN(AG6:AG143)</f>
        <v>135.21842258976235</v>
      </c>
      <c r="AH150" s="506"/>
      <c r="AI150" s="506"/>
      <c r="AJ150" s="425"/>
      <c r="AK150" s="425"/>
      <c r="AL150" s="425"/>
      <c r="AM150" s="108" t="s">
        <v>800</v>
      </c>
      <c r="AN150" s="108"/>
      <c r="AO150" s="108"/>
      <c r="AP150" s="108" t="s">
        <v>800</v>
      </c>
      <c r="AQ150" s="492"/>
      <c r="AR150" s="492"/>
      <c r="AS150" s="753">
        <f>MEDIAN(AS6:AS134)</f>
        <v>390.16111512986794</v>
      </c>
      <c r="AT150" s="590"/>
      <c r="AU150" s="590"/>
      <c r="AV150" s="484">
        <f>MEDIAN(AV5:AV122)</f>
        <v>261.08055756493394</v>
      </c>
      <c r="AW150" s="484"/>
      <c r="AX150" s="484"/>
      <c r="AY150" s="425"/>
      <c r="AZ150" s="425"/>
      <c r="BA150" s="425"/>
      <c r="BB150" s="319" t="s">
        <v>800</v>
      </c>
      <c r="BC150" s="319"/>
      <c r="BD150" s="319"/>
      <c r="BE150" s="108"/>
      <c r="BF150" s="108"/>
    </row>
    <row r="151" spans="1:58" s="1" customFormat="1" x14ac:dyDescent="0.3">
      <c r="A151" s="108"/>
      <c r="B151" s="108"/>
      <c r="C151" s="108"/>
      <c r="D151" s="378"/>
      <c r="E151" s="108"/>
      <c r="F151" s="108"/>
      <c r="G151" s="108"/>
      <c r="H151" s="108"/>
      <c r="I151" s="551"/>
      <c r="J151" s="533"/>
      <c r="K151" s="108"/>
      <c r="L151" s="108"/>
      <c r="M151" s="108"/>
      <c r="N151" s="108" t="s">
        <v>789</v>
      </c>
      <c r="O151" s="492"/>
      <c r="P151" s="483"/>
      <c r="Q151" s="753">
        <f>COUNT(Q5:Q142)</f>
        <v>64</v>
      </c>
      <c r="R151" s="552"/>
      <c r="S151" s="552"/>
      <c r="T151" s="485">
        <f>COUNT(T5:T135)</f>
        <v>19</v>
      </c>
      <c r="U151" s="484"/>
      <c r="V151" s="484"/>
      <c r="W151" s="108" t="s">
        <v>789</v>
      </c>
      <c r="X151" s="143"/>
      <c r="Y151" s="143"/>
      <c r="Z151" s="108"/>
      <c r="AA151" s="108"/>
      <c r="AB151" s="108"/>
      <c r="AC151" s="108" t="s">
        <v>789</v>
      </c>
      <c r="AD151" s="483"/>
      <c r="AE151" s="753">
        <f>COUNT(AE6:AE143)</f>
        <v>27</v>
      </c>
      <c r="AF151" s="590"/>
      <c r="AG151" s="506">
        <f>COUNT(AG6:AG143)</f>
        <v>14</v>
      </c>
      <c r="AH151" s="506"/>
      <c r="AI151" s="506"/>
      <c r="AJ151" s="425"/>
      <c r="AK151" s="425"/>
      <c r="AL151" s="425"/>
      <c r="AM151" s="108" t="s">
        <v>789</v>
      </c>
      <c r="AN151" s="108"/>
      <c r="AO151" s="108"/>
      <c r="AP151" s="108" t="s">
        <v>789</v>
      </c>
      <c r="AQ151" s="492"/>
      <c r="AR151" s="492"/>
      <c r="AS151" s="753">
        <f>COUNT(AS6:AS134)</f>
        <v>23</v>
      </c>
      <c r="AT151" s="590"/>
      <c r="AU151" s="590"/>
      <c r="AV151" s="485">
        <f>COUNT(AV5:AV121)</f>
        <v>13</v>
      </c>
      <c r="AW151" s="484"/>
      <c r="AX151" s="484"/>
      <c r="AY151" s="425"/>
      <c r="AZ151" s="425"/>
      <c r="BA151" s="425"/>
      <c r="BB151" s="319" t="s">
        <v>789</v>
      </c>
      <c r="BC151" s="319"/>
      <c r="BD151" s="319"/>
      <c r="BE151" s="108"/>
      <c r="BF151" s="108"/>
    </row>
    <row r="152" spans="1:58" s="1" customFormat="1" x14ac:dyDescent="0.3">
      <c r="A152" s="108"/>
      <c r="B152" s="108"/>
      <c r="C152" s="108"/>
      <c r="D152" s="378"/>
      <c r="E152" s="108"/>
      <c r="F152" s="108"/>
      <c r="G152" s="108"/>
      <c r="H152" s="108"/>
      <c r="I152" s="551"/>
      <c r="J152" s="533"/>
      <c r="K152" s="108"/>
      <c r="L152" s="108"/>
      <c r="M152" s="108"/>
      <c r="N152" s="108" t="s">
        <v>787</v>
      </c>
      <c r="O152" s="492"/>
      <c r="P152" s="483"/>
      <c r="Q152" s="753">
        <f>MIN(Q7:Q141)</f>
        <v>4.4604065673098142E-4</v>
      </c>
      <c r="R152" s="552"/>
      <c r="S152" s="552"/>
      <c r="T152" s="484">
        <f>MIN(T5:T135)</f>
        <v>3.4734522904090515</v>
      </c>
      <c r="U152" s="484"/>
      <c r="V152" s="484"/>
      <c r="W152" s="108" t="s">
        <v>787</v>
      </c>
      <c r="X152" s="143"/>
      <c r="Y152" s="143"/>
      <c r="Z152" s="108"/>
      <c r="AA152" s="108"/>
      <c r="AB152" s="108"/>
      <c r="AC152" s="108" t="s">
        <v>787</v>
      </c>
      <c r="AD152" s="483"/>
      <c r="AE152" s="753">
        <f>MIN(AE6:AE143)</f>
        <v>13.899999999999995</v>
      </c>
      <c r="AF152" s="551"/>
      <c r="AG152" s="484">
        <f>MIN(AG6:AG143)</f>
        <v>15.875000000000011</v>
      </c>
      <c r="AH152" s="506"/>
      <c r="AI152" s="506"/>
      <c r="AJ152" s="425"/>
      <c r="AK152" s="425"/>
      <c r="AL152" s="425"/>
      <c r="AM152" s="108" t="s">
        <v>787</v>
      </c>
      <c r="AN152" s="108"/>
      <c r="AO152" s="108"/>
      <c r="AP152" s="108" t="s">
        <v>787</v>
      </c>
      <c r="AQ152" s="492"/>
      <c r="AR152" s="492"/>
      <c r="AS152" s="753">
        <f>MIN(AS6:AS134)</f>
        <v>14.812499999999995</v>
      </c>
      <c r="AT152" s="590"/>
      <c r="AU152" s="590"/>
      <c r="AV152" s="484">
        <f>MIN(AV5:AV122)</f>
        <v>15.332651640032442</v>
      </c>
      <c r="AW152" s="484"/>
      <c r="AX152" s="484"/>
      <c r="AY152" s="425"/>
      <c r="AZ152" s="425"/>
      <c r="BA152" s="425"/>
      <c r="BB152" s="319" t="s">
        <v>787</v>
      </c>
      <c r="BC152" s="319"/>
      <c r="BD152" s="319"/>
      <c r="BE152" s="108"/>
      <c r="BF152" s="108"/>
    </row>
    <row r="153" spans="1:58" s="1" customFormat="1" x14ac:dyDescent="0.3">
      <c r="A153" s="108"/>
      <c r="B153" s="108"/>
      <c r="C153" s="108"/>
      <c r="D153" s="378"/>
      <c r="E153" s="108"/>
      <c r="F153" s="108"/>
      <c r="G153" s="108"/>
      <c r="H153" s="108"/>
      <c r="I153" s="551"/>
      <c r="J153" s="533"/>
      <c r="K153" s="108"/>
      <c r="L153" s="108"/>
      <c r="M153" s="108"/>
      <c r="N153" s="108" t="s">
        <v>788</v>
      </c>
      <c r="O153" s="492"/>
      <c r="P153" s="483"/>
      <c r="Q153" s="753">
        <f>MAX(Q7:Q141)</f>
        <v>1332.7904272350891</v>
      </c>
      <c r="R153" s="552"/>
      <c r="S153" s="552"/>
      <c r="T153" s="484">
        <f>MAX(T5:T135)</f>
        <v>489.3215669657302</v>
      </c>
      <c r="U153" s="484"/>
      <c r="V153" s="484"/>
      <c r="W153" s="108" t="s">
        <v>788</v>
      </c>
      <c r="X153" s="143"/>
      <c r="Y153" s="143"/>
      <c r="Z153" s="108"/>
      <c r="AA153" s="108"/>
      <c r="AB153" s="108"/>
      <c r="AC153" s="108" t="s">
        <v>788</v>
      </c>
      <c r="AD153" s="483"/>
      <c r="AE153" s="753">
        <f>MAX(AE6:AE145)</f>
        <v>2126.7027985037312</v>
      </c>
      <c r="AF153" s="551"/>
      <c r="AG153" s="484">
        <f>MAX(AG6:AG145)</f>
        <v>1641.6958178484495</v>
      </c>
      <c r="AH153" s="506"/>
      <c r="AI153" s="506"/>
      <c r="AJ153" s="425"/>
      <c r="AK153" s="425"/>
      <c r="AL153" s="425"/>
      <c r="AM153" s="108" t="s">
        <v>788</v>
      </c>
      <c r="AN153" s="108"/>
      <c r="AO153" s="108"/>
      <c r="AP153" s="108" t="s">
        <v>788</v>
      </c>
      <c r="AQ153" s="492"/>
      <c r="AR153" s="492"/>
      <c r="AS153" s="753">
        <f>MAX(AS6:AS134)</f>
        <v>49360.636760954258</v>
      </c>
      <c r="AT153" s="590"/>
      <c r="AU153" s="590"/>
      <c r="AV153" s="484">
        <f>MAX(AV5:AV122)</f>
        <v>32497.465553026512</v>
      </c>
      <c r="AW153" s="484"/>
      <c r="AX153" s="484"/>
      <c r="AY153" s="425"/>
      <c r="AZ153" s="425"/>
      <c r="BA153" s="425"/>
      <c r="BB153" s="319" t="s">
        <v>788</v>
      </c>
      <c r="BC153" s="319"/>
      <c r="BD153" s="319"/>
      <c r="BE153" s="108"/>
      <c r="BF153" s="108"/>
    </row>
    <row r="154" spans="1:58" x14ac:dyDescent="0.3">
      <c r="I154" s="604"/>
      <c r="Q154" s="649"/>
      <c r="S154" s="843" t="s">
        <v>1276</v>
      </c>
      <c r="T154" s="157">
        <f>QUARTILE(T$6:T146,3)-QUARTILE(T$6:T146,1)</f>
        <v>64.098777751035911</v>
      </c>
      <c r="U154" s="119"/>
      <c r="W154" s="31"/>
      <c r="AE154" s="649"/>
      <c r="AF154" s="843" t="s">
        <v>1276</v>
      </c>
      <c r="AG154" s="157">
        <f>QUARTILE(AG$6:AG146,3)-QUARTILE(AG$6:AG146,1)</f>
        <v>417.88701451143487</v>
      </c>
      <c r="AH154" s="119"/>
      <c r="AS154" s="649"/>
      <c r="AU154" s="843" t="s">
        <v>1276</v>
      </c>
      <c r="AV154" s="157">
        <f>QUARTILE(AV$6:AV146,3)-QUARTILE(AV$6:AV146,1)</f>
        <v>998.8107089210805</v>
      </c>
      <c r="AW154" s="119"/>
    </row>
    <row r="155" spans="1:58" x14ac:dyDescent="0.3">
      <c r="I155" s="604"/>
      <c r="Q155" s="649"/>
      <c r="S155" s="843" t="s">
        <v>1277</v>
      </c>
      <c r="T155" s="157">
        <f>MAX(T150-2*T154,0)</f>
        <v>0</v>
      </c>
      <c r="U155" s="844" t="str">
        <f>IF(T152&lt;T155,"Outlier Flag","")</f>
        <v/>
      </c>
      <c r="AE155" s="649"/>
      <c r="AF155" s="843" t="s">
        <v>1277</v>
      </c>
      <c r="AG155" s="157">
        <f>MAX(AG150-2*AG154,0)</f>
        <v>0</v>
      </c>
      <c r="AH155" s="844" t="str">
        <f>IF(AG152&lt;AG155,"Outlier Flag","")</f>
        <v/>
      </c>
      <c r="AS155" s="649"/>
      <c r="AU155" s="843" t="s">
        <v>1277</v>
      </c>
      <c r="AV155" s="157">
        <f>MAX(AV150-2*AV154,0)</f>
        <v>0</v>
      </c>
      <c r="AW155" s="844" t="str">
        <f>IF(AV152&lt;AV155,"Outlier Flag","")</f>
        <v/>
      </c>
    </row>
    <row r="156" spans="1:58" x14ac:dyDescent="0.3">
      <c r="S156" s="843" t="s">
        <v>1278</v>
      </c>
      <c r="T156" s="157">
        <f>T150+2.2*T154</f>
        <v>193.19131105227902</v>
      </c>
      <c r="U156" s="844" t="str">
        <f>IF(T153&gt;T156,"Outlier Flag","")</f>
        <v>Outlier Flag</v>
      </c>
      <c r="AF156" s="843" t="s">
        <v>1278</v>
      </c>
      <c r="AG156" s="157">
        <f>AG150+2.2*AG154</f>
        <v>1054.5698545149191</v>
      </c>
      <c r="AH156" s="844" t="str">
        <f>IF(AG153&gt;AG156,"Outlier Flag","")</f>
        <v>Outlier Flag</v>
      </c>
      <c r="AU156" s="843" t="s">
        <v>1278</v>
      </c>
      <c r="AV156" s="157">
        <f>AV150+2.2*AV154</f>
        <v>2458.4641171913108</v>
      </c>
      <c r="AW156" s="844" t="str">
        <f>IF(AV153&gt;AV156,"Outlier Flag","")</f>
        <v>Outlier Flag</v>
      </c>
    </row>
    <row r="158" spans="1:58" x14ac:dyDescent="0.3">
      <c r="AP158" s="31" t="s">
        <v>790</v>
      </c>
      <c r="AV158" s="412">
        <v>538.17035847051295</v>
      </c>
    </row>
    <row r="159" spans="1:58" x14ac:dyDescent="0.3">
      <c r="N159" s="31" t="s">
        <v>790</v>
      </c>
      <c r="T159" s="412">
        <v>39.317845050759281</v>
      </c>
      <c r="AC159" s="31" t="s">
        <v>790</v>
      </c>
      <c r="AG159" s="184">
        <v>175.17302584406909</v>
      </c>
      <c r="AP159" s="31" t="s">
        <v>791</v>
      </c>
      <c r="AV159" s="412">
        <v>562.26581995562753</v>
      </c>
    </row>
    <row r="160" spans="1:58" x14ac:dyDescent="0.3">
      <c r="N160" s="31" t="s">
        <v>791</v>
      </c>
      <c r="T160" s="412">
        <v>30.012333317477101</v>
      </c>
      <c r="AC160" s="31" t="s">
        <v>791</v>
      </c>
      <c r="AG160" s="184">
        <v>214.66830257178927</v>
      </c>
      <c r="AP160" s="31" t="s">
        <v>800</v>
      </c>
      <c r="AV160" s="412">
        <v>250.14477048356437</v>
      </c>
    </row>
    <row r="161" spans="14:48" x14ac:dyDescent="0.3">
      <c r="N161" s="31" t="s">
        <v>800</v>
      </c>
      <c r="T161" s="412">
        <v>33.736296047713843</v>
      </c>
      <c r="AC161" s="31" t="s">
        <v>800</v>
      </c>
      <c r="AG161" s="184">
        <v>120.42164747014161</v>
      </c>
      <c r="AP161" s="31" t="s">
        <v>789</v>
      </c>
      <c r="AV161" s="412">
        <v>12</v>
      </c>
    </row>
    <row r="162" spans="14:48" x14ac:dyDescent="0.3">
      <c r="N162" s="31" t="s">
        <v>789</v>
      </c>
      <c r="T162" s="412">
        <v>15</v>
      </c>
      <c r="AC162" s="31" t="s">
        <v>789</v>
      </c>
      <c r="AG162" s="184">
        <v>12</v>
      </c>
      <c r="AP162" s="31" t="s">
        <v>787</v>
      </c>
      <c r="AV162" s="412">
        <v>15.332651640032442</v>
      </c>
    </row>
    <row r="163" spans="14:48" x14ac:dyDescent="0.3">
      <c r="N163" s="31" t="s">
        <v>787</v>
      </c>
      <c r="T163" s="412">
        <v>3.4734522904090515</v>
      </c>
      <c r="AC163" s="31" t="s">
        <v>787</v>
      </c>
      <c r="AG163" s="184">
        <v>15.875000000000011</v>
      </c>
      <c r="AP163" s="31" t="s">
        <v>788</v>
      </c>
      <c r="AV163" s="412">
        <v>1748.4534525540055</v>
      </c>
    </row>
    <row r="164" spans="14:48" x14ac:dyDescent="0.3">
      <c r="N164" s="31" t="s">
        <v>788</v>
      </c>
      <c r="T164" s="412">
        <v>101.11410843829165</v>
      </c>
      <c r="AC164" s="31" t="s">
        <v>788</v>
      </c>
      <c r="AG164" s="184">
        <v>683.69356294533304</v>
      </c>
    </row>
  </sheetData>
  <sheetProtection formatCells="0" formatColumns="0" formatRows="0" insertColumns="0" insertRows="0" insertHyperlinks="0" deleteColumns="0" deleteRows="0" sort="0"/>
  <mergeCells count="3">
    <mergeCell ref="A1:B1"/>
    <mergeCell ref="BB38:BB42"/>
    <mergeCell ref="BC38:BC4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60"/>
  <sheetViews>
    <sheetView workbookViewId="0"/>
  </sheetViews>
  <sheetFormatPr defaultRowHeight="14.4" x14ac:dyDescent="0.3"/>
  <cols>
    <col min="1" max="1" width="6.109375" style="31" customWidth="1"/>
    <col min="2" max="2" width="19" style="31" bestFit="1" customWidth="1"/>
    <col min="3" max="3" width="21.88671875" style="31" customWidth="1"/>
    <col min="4" max="4" width="19.33203125" style="32" customWidth="1"/>
    <col min="5" max="5" width="13.109375" style="31" customWidth="1"/>
    <col min="6" max="6" width="15.44140625" style="31" customWidth="1"/>
    <col min="7" max="8" width="12.33203125" style="31" customWidth="1"/>
    <col min="9" max="9" width="8.88671875" style="31"/>
    <col min="10" max="10" width="9.33203125" style="31" bestFit="1" customWidth="1"/>
    <col min="11" max="11" width="9.33203125" style="31" customWidth="1"/>
    <col min="12" max="12" width="10.109375" style="31" customWidth="1"/>
    <col min="13" max="13" width="11.5546875" style="31" customWidth="1"/>
    <col min="14" max="14" width="10.6640625" style="31" customWidth="1"/>
    <col min="15" max="15" width="10.33203125" style="31" customWidth="1"/>
    <col min="16" max="16" width="12.33203125" style="31" bestFit="1" customWidth="1"/>
    <col min="17" max="17" width="8.88671875" style="31"/>
    <col min="18" max="18" width="10.33203125" style="31" customWidth="1"/>
    <col min="19" max="19" width="12.33203125" style="31" bestFit="1" customWidth="1"/>
    <col min="20" max="22" width="8.88671875" style="31"/>
    <col min="23" max="24" width="14.6640625" style="31" customWidth="1"/>
    <col min="25" max="25" width="15.109375" style="31" customWidth="1"/>
    <col min="26" max="27" width="8.88671875" style="31"/>
    <col min="28" max="28" width="11.44140625" style="31" customWidth="1"/>
    <col min="29" max="29" width="10.33203125" style="31" customWidth="1"/>
    <col min="30" max="30" width="14.88671875" style="31" bestFit="1" customWidth="1"/>
    <col min="31" max="31" width="8.88671875" style="31"/>
    <col min="32" max="32" width="10.33203125" style="31" customWidth="1"/>
    <col min="33" max="35" width="10.109375" style="31" customWidth="1"/>
    <col min="36" max="37" width="15" style="31" customWidth="1"/>
    <col min="38" max="38" width="14.6640625" style="31" customWidth="1"/>
    <col min="39" max="39" width="8.88671875" style="31"/>
    <col min="40" max="40" width="10.33203125" style="31" customWidth="1"/>
    <col min="41" max="41" width="11.5546875" style="31" customWidth="1"/>
    <col min="42" max="42" width="10.5546875" style="31" customWidth="1"/>
    <col min="43" max="43" width="10.33203125" style="31" customWidth="1"/>
    <col min="44" max="44" width="12.33203125" style="31" bestFit="1" customWidth="1"/>
    <col min="45" max="45" width="8.88671875" style="31"/>
    <col min="46" max="46" width="10.33203125" style="31" customWidth="1"/>
    <col min="47" max="47" width="12.33203125" style="31" bestFit="1" customWidth="1"/>
    <col min="48" max="50" width="8.88671875" style="31"/>
    <col min="51" max="51" width="15" style="31" customWidth="1"/>
    <col min="52" max="52" width="15.5546875" style="31" customWidth="1"/>
    <col min="53" max="53" width="14.88671875" style="31" customWidth="1"/>
    <col min="54" max="54" width="16.88671875" style="185" customWidth="1"/>
    <col min="55" max="55" width="17" style="185" customWidth="1"/>
    <col min="56" max="56" width="9.109375" style="185"/>
    <col min="57" max="58" width="8.88671875" style="31"/>
  </cols>
  <sheetData>
    <row r="1" spans="1:58" x14ac:dyDescent="0.3">
      <c r="A1" s="657" t="s">
        <v>1111</v>
      </c>
      <c r="B1" s="657"/>
      <c r="I1" s="583"/>
      <c r="J1" s="92"/>
      <c r="K1" s="108" t="s">
        <v>626</v>
      </c>
      <c r="O1" s="86" t="s">
        <v>601</v>
      </c>
      <c r="P1" s="87"/>
      <c r="Q1" s="583" t="s">
        <v>602</v>
      </c>
      <c r="R1" s="586"/>
      <c r="S1" s="586"/>
      <c r="T1" s="118"/>
      <c r="U1" s="118"/>
      <c r="V1" s="118"/>
      <c r="W1" s="587"/>
      <c r="X1" s="587"/>
      <c r="Y1" s="587"/>
      <c r="Z1" s="108" t="s">
        <v>89</v>
      </c>
      <c r="AD1" s="87" t="s">
        <v>601</v>
      </c>
      <c r="AE1" s="583" t="s">
        <v>602</v>
      </c>
      <c r="AF1" s="586"/>
      <c r="AG1" s="156"/>
      <c r="AH1" s="156"/>
      <c r="AI1" s="156"/>
      <c r="AJ1" s="587"/>
      <c r="AK1" s="587"/>
      <c r="AL1" s="587"/>
      <c r="AM1" s="108" t="s">
        <v>627</v>
      </c>
      <c r="AQ1" s="86" t="s">
        <v>601</v>
      </c>
      <c r="AR1" s="86"/>
      <c r="AS1" s="583" t="s">
        <v>602</v>
      </c>
      <c r="AT1" s="586"/>
      <c r="AU1" s="586"/>
      <c r="AV1" s="118"/>
      <c r="AW1" s="118"/>
      <c r="AX1" s="118"/>
      <c r="AY1" s="587"/>
      <c r="AZ1" s="587"/>
      <c r="BA1" s="587"/>
    </row>
    <row r="2" spans="1:58" x14ac:dyDescent="0.3">
      <c r="G2" s="584"/>
      <c r="H2" s="584"/>
      <c r="I2" s="583"/>
      <c r="J2" s="92"/>
      <c r="K2" s="108"/>
      <c r="O2" s="588" t="s">
        <v>603</v>
      </c>
      <c r="P2" s="589"/>
      <c r="Q2" s="590" t="s">
        <v>603</v>
      </c>
      <c r="R2" s="590" t="s">
        <v>603</v>
      </c>
      <c r="S2" s="590"/>
      <c r="T2" s="591" t="s">
        <v>801</v>
      </c>
      <c r="U2" s="591"/>
      <c r="V2" s="591"/>
      <c r="W2" s="592"/>
      <c r="X2" s="592"/>
      <c r="Y2" s="592"/>
      <c r="AD2" s="589"/>
      <c r="AE2" s="583"/>
      <c r="AF2" s="590"/>
      <c r="AG2" s="593" t="s">
        <v>801</v>
      </c>
      <c r="AH2" s="593"/>
      <c r="AI2" s="593"/>
      <c r="AJ2" s="592"/>
      <c r="AK2" s="592"/>
      <c r="AL2" s="592"/>
      <c r="AM2" s="108"/>
      <c r="AQ2" s="588" t="s">
        <v>604</v>
      </c>
      <c r="AR2" s="588"/>
      <c r="AS2" s="590" t="s">
        <v>604</v>
      </c>
      <c r="AT2" s="590" t="s">
        <v>604</v>
      </c>
      <c r="AU2" s="590"/>
      <c r="AV2" s="591" t="s">
        <v>801</v>
      </c>
      <c r="AW2" s="591"/>
      <c r="AX2" s="591"/>
      <c r="AY2" s="592"/>
      <c r="AZ2" s="592"/>
      <c r="BA2" s="592"/>
    </row>
    <row r="3" spans="1:58" ht="43.2" x14ac:dyDescent="0.3">
      <c r="B3" s="108" t="s">
        <v>1</v>
      </c>
      <c r="C3" s="108" t="s">
        <v>2</v>
      </c>
      <c r="D3" s="378" t="s">
        <v>930</v>
      </c>
      <c r="E3" s="108" t="s">
        <v>5</v>
      </c>
      <c r="F3" s="108" t="s">
        <v>7</v>
      </c>
      <c r="G3" s="594" t="s">
        <v>1176</v>
      </c>
      <c r="H3" s="594" t="s">
        <v>1176</v>
      </c>
      <c r="I3" s="595" t="s">
        <v>593</v>
      </c>
      <c r="J3" s="533"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row>
    <row r="4" spans="1:58" x14ac:dyDescent="0.3">
      <c r="G4" s="33" t="s">
        <v>85</v>
      </c>
      <c r="H4" s="33" t="s">
        <v>522</v>
      </c>
      <c r="I4" s="595"/>
      <c r="J4" s="601" t="s">
        <v>595</v>
      </c>
      <c r="L4" s="31" t="s">
        <v>88</v>
      </c>
      <c r="O4" s="86" t="s">
        <v>596</v>
      </c>
      <c r="P4" s="87" t="s">
        <v>597</v>
      </c>
      <c r="Q4" s="583" t="s">
        <v>88</v>
      </c>
      <c r="R4" s="586" t="s">
        <v>596</v>
      </c>
      <c r="S4" s="586" t="s">
        <v>597</v>
      </c>
      <c r="T4" s="117" t="s">
        <v>88</v>
      </c>
      <c r="U4" s="117" t="s">
        <v>88</v>
      </c>
      <c r="V4" s="117" t="s">
        <v>88</v>
      </c>
      <c r="W4" s="592"/>
      <c r="X4" s="592"/>
      <c r="Y4" s="592"/>
      <c r="AA4" s="31" t="s">
        <v>88</v>
      </c>
      <c r="AD4" s="87" t="s">
        <v>596</v>
      </c>
      <c r="AE4" s="583" t="s">
        <v>88</v>
      </c>
      <c r="AF4" s="586" t="s">
        <v>596</v>
      </c>
      <c r="AG4" s="292" t="s">
        <v>88</v>
      </c>
      <c r="AH4" s="292" t="s">
        <v>88</v>
      </c>
      <c r="AI4" s="292" t="s">
        <v>88</v>
      </c>
      <c r="AJ4" s="602"/>
      <c r="AK4" s="602"/>
      <c r="AL4" s="602"/>
      <c r="AN4" s="31" t="s">
        <v>88</v>
      </c>
      <c r="AQ4" s="86" t="s">
        <v>596</v>
      </c>
      <c r="AR4" s="86" t="s">
        <v>597</v>
      </c>
      <c r="AS4" s="583" t="s">
        <v>88</v>
      </c>
      <c r="AT4" s="586" t="s">
        <v>596</v>
      </c>
      <c r="AU4" s="586" t="s">
        <v>597</v>
      </c>
      <c r="AV4" s="302" t="s">
        <v>88</v>
      </c>
      <c r="AW4" s="302" t="s">
        <v>88</v>
      </c>
      <c r="AX4" s="302" t="s">
        <v>88</v>
      </c>
      <c r="AY4" s="602"/>
      <c r="AZ4" s="602"/>
      <c r="BA4" s="648"/>
      <c r="BB4" s="319"/>
      <c r="BC4" s="192"/>
      <c r="BD4" s="603"/>
    </row>
    <row r="5" spans="1:58" x14ac:dyDescent="0.3">
      <c r="A5" s="242"/>
      <c r="B5" s="57"/>
      <c r="C5" s="57"/>
      <c r="D5" s="438"/>
      <c r="E5" s="442"/>
      <c r="F5" s="57"/>
      <c r="I5" s="583"/>
      <c r="J5" s="92"/>
      <c r="O5" s="250"/>
      <c r="P5" s="247"/>
      <c r="Q5" s="583"/>
      <c r="R5" s="583"/>
      <c r="S5" s="583"/>
      <c r="T5" s="412"/>
      <c r="U5" s="412"/>
      <c r="V5" s="412"/>
      <c r="W5" s="153"/>
      <c r="X5" s="153"/>
      <c r="Y5" s="153"/>
      <c r="AD5" s="247"/>
      <c r="AE5" s="583"/>
      <c r="AF5" s="586"/>
      <c r="AG5" s="184"/>
      <c r="AH5" s="184"/>
      <c r="AI5" s="184"/>
      <c r="AJ5" s="157"/>
      <c r="AK5" s="157"/>
      <c r="AL5" s="157"/>
      <c r="AQ5" s="250"/>
      <c r="AR5" s="250"/>
      <c r="AS5" s="583"/>
      <c r="AT5" s="586"/>
      <c r="AU5" s="586"/>
      <c r="AV5" s="412"/>
      <c r="AW5" s="412"/>
      <c r="AX5" s="412"/>
      <c r="AY5" s="157"/>
      <c r="AZ5" s="157"/>
      <c r="BA5" s="157"/>
    </row>
    <row r="6" spans="1:58" x14ac:dyDescent="0.3">
      <c r="A6" s="242">
        <v>1</v>
      </c>
      <c r="B6" s="518" t="s">
        <v>76</v>
      </c>
      <c r="C6" s="518" t="s">
        <v>20</v>
      </c>
      <c r="D6" s="438" t="s">
        <v>911</v>
      </c>
      <c r="E6" s="545" t="s">
        <v>67</v>
      </c>
      <c r="F6" s="57" t="s">
        <v>194</v>
      </c>
      <c r="G6" s="374">
        <v>25</v>
      </c>
      <c r="H6" s="31">
        <f>G6+273.15</f>
        <v>298.14999999999998</v>
      </c>
      <c r="I6" s="219">
        <f>-LOG10(EXP(LN(10^-14)+13.36*(1/298.15-1/H6)/0.0019872))</f>
        <v>14</v>
      </c>
      <c r="J6" s="92">
        <v>22.66</v>
      </c>
      <c r="O6" s="250"/>
      <c r="P6" s="250"/>
      <c r="Q6" s="653"/>
      <c r="R6" s="209"/>
      <c r="S6" s="209"/>
      <c r="T6" s="412"/>
      <c r="U6" s="412"/>
      <c r="V6" s="412"/>
      <c r="W6" s="153"/>
      <c r="X6" s="153"/>
      <c r="Y6" s="153"/>
      <c r="AD6" s="250"/>
      <c r="AE6" s="653"/>
      <c r="AF6" s="209"/>
      <c r="AG6" s="412"/>
      <c r="AH6" s="412"/>
      <c r="AI6" s="412"/>
      <c r="AJ6" s="146"/>
      <c r="AK6" s="146"/>
      <c r="AL6" s="146"/>
      <c r="AM6" s="31">
        <v>9</v>
      </c>
      <c r="AN6" s="31">
        <v>0.73299999999999998</v>
      </c>
      <c r="AP6" s="31" t="s">
        <v>605</v>
      </c>
      <c r="AQ6" s="250">
        <f>(LN(2)/AN6)/(60*60*24)*10^(9-AM6)</f>
        <v>1.0944797833610374E-5</v>
      </c>
      <c r="AR6" s="250">
        <f>AQ6*10^($I6-9)</f>
        <v>1.0944797833610374</v>
      </c>
      <c r="AS6" s="653">
        <f>(LN(2)/AT6)/(60*60*24)</f>
        <v>0.73299999999999998</v>
      </c>
      <c r="AT6" s="209">
        <f>AU6*10^(9-14)</f>
        <v>1.0944797833610374E-5</v>
      </c>
      <c r="AU6" s="209">
        <f>EXP(LN(AR6)+$J6*(1/$H6-1/298.15)/0.0019872)</f>
        <v>1.0944797833610374</v>
      </c>
      <c r="AV6" s="412">
        <f>AVERAGE(AS6:AS14)</f>
        <v>0.72276105811004454</v>
      </c>
      <c r="AW6" s="412">
        <f>MEDIAN(AS6:AS15)</f>
        <v>0.74983333333333324</v>
      </c>
      <c r="AX6" s="412">
        <f>STDEV(AS6:AS15)</f>
        <v>0.1016893929022189</v>
      </c>
      <c r="AY6" s="146"/>
      <c r="AZ6" s="146"/>
      <c r="BA6" s="146" t="s">
        <v>1089</v>
      </c>
      <c r="BB6" s="185" t="s">
        <v>114</v>
      </c>
      <c r="BC6" s="185" t="s">
        <v>115</v>
      </c>
    </row>
    <row r="7" spans="1:58" x14ac:dyDescent="0.3">
      <c r="A7" s="242"/>
      <c r="B7" s="57"/>
      <c r="C7" s="57"/>
      <c r="D7" s="438"/>
      <c r="E7" s="519"/>
      <c r="F7" s="57"/>
      <c r="G7" s="374">
        <v>25</v>
      </c>
      <c r="H7" s="31">
        <f t="shared" ref="H7:H8" si="0">G7+273.15</f>
        <v>298.14999999999998</v>
      </c>
      <c r="I7" s="219">
        <f t="shared" ref="I7:I8" si="1">-LOG10(EXP(LN(10^-14)+13.36*(1/298.15-1/H7)/0.0019872))</f>
        <v>14</v>
      </c>
      <c r="J7" s="92">
        <v>22.66</v>
      </c>
      <c r="O7" s="250"/>
      <c r="P7" s="250"/>
      <c r="Q7" s="653"/>
      <c r="R7" s="209"/>
      <c r="S7" s="209"/>
      <c r="T7" s="412"/>
      <c r="U7" s="412"/>
      <c r="V7" s="412"/>
      <c r="W7" s="153"/>
      <c r="X7" s="153"/>
      <c r="Y7" s="153"/>
      <c r="AD7" s="250"/>
      <c r="AE7" s="653"/>
      <c r="AF7" s="209"/>
      <c r="AG7" s="184"/>
      <c r="AH7" s="184"/>
      <c r="AI7" s="184"/>
      <c r="AJ7" s="157"/>
      <c r="AK7" s="157"/>
      <c r="AL7" s="157"/>
      <c r="AM7" s="31">
        <v>9</v>
      </c>
      <c r="AN7" s="31">
        <v>0.81299999999999994</v>
      </c>
      <c r="AP7" s="31" t="s">
        <v>605</v>
      </c>
      <c r="AQ7" s="250">
        <f>(LN(2)/AN7)/(60*60*24)*10^(9-AM7)</f>
        <v>9.8678189569943476E-6</v>
      </c>
      <c r="AR7" s="250">
        <f>AQ7*10^($I7-9)</f>
        <v>0.98678189569943475</v>
      </c>
      <c r="AS7" s="653">
        <f>(LN(2)/AT7)/(60*60*24)</f>
        <v>0.81299999999999994</v>
      </c>
      <c r="AT7" s="209">
        <f>AU7*10^(9-14)</f>
        <v>9.8678189569943476E-6</v>
      </c>
      <c r="AU7" s="209">
        <f>EXP(LN(AR7)+$J7*(1/$H7-1/298.15)/0.0019872)</f>
        <v>0.98678189569943475</v>
      </c>
      <c r="AV7" s="412"/>
      <c r="AW7" s="412"/>
      <c r="AX7" s="412"/>
      <c r="AY7" s="157"/>
      <c r="AZ7" s="157"/>
      <c r="BA7" s="157"/>
    </row>
    <row r="8" spans="1:58" x14ac:dyDescent="0.3">
      <c r="A8" s="242"/>
      <c r="B8" s="57"/>
      <c r="C8" s="57"/>
      <c r="D8" s="438"/>
      <c r="E8" s="519"/>
      <c r="F8" s="57"/>
      <c r="G8" s="374">
        <v>25</v>
      </c>
      <c r="H8" s="31">
        <f t="shared" si="0"/>
        <v>298.14999999999998</v>
      </c>
      <c r="I8" s="219">
        <f t="shared" si="1"/>
        <v>14</v>
      </c>
      <c r="J8" s="92">
        <v>22.66</v>
      </c>
      <c r="O8" s="250"/>
      <c r="P8" s="250"/>
      <c r="Q8" s="653"/>
      <c r="R8" s="209"/>
      <c r="S8" s="209"/>
      <c r="T8" s="412"/>
      <c r="U8" s="412"/>
      <c r="V8" s="412"/>
      <c r="W8" s="402"/>
      <c r="X8" s="402"/>
      <c r="Y8" s="402"/>
      <c r="AD8" s="250"/>
      <c r="AE8" s="653"/>
      <c r="AF8" s="209"/>
      <c r="AG8" s="184"/>
      <c r="AH8" s="184"/>
      <c r="AI8" s="184"/>
      <c r="AJ8" s="157"/>
      <c r="AK8" s="157"/>
      <c r="AL8" s="157"/>
      <c r="AQ8" s="250"/>
      <c r="AR8" s="250"/>
      <c r="AS8" s="653"/>
      <c r="AT8" s="209"/>
      <c r="AU8" s="209"/>
      <c r="AV8" s="412"/>
      <c r="AW8" s="412"/>
      <c r="AX8" s="412"/>
      <c r="AY8" s="157"/>
      <c r="AZ8" s="157"/>
      <c r="BA8" s="157"/>
    </row>
    <row r="9" spans="1:58" x14ac:dyDescent="0.3">
      <c r="A9" s="242"/>
      <c r="B9" s="57"/>
      <c r="C9" s="57"/>
      <c r="D9" s="438"/>
      <c r="E9" s="520"/>
      <c r="F9" s="57"/>
      <c r="G9" s="374">
        <v>25</v>
      </c>
      <c r="H9" s="31">
        <f>G9+273.15</f>
        <v>298.14999999999998</v>
      </c>
      <c r="I9" s="219">
        <f>-LOG10(EXP(LN(10^-14)+13.36*(1/298.15-1/H9)/0.0019872))</f>
        <v>14</v>
      </c>
      <c r="J9" s="92">
        <v>22.66</v>
      </c>
      <c r="O9" s="250"/>
      <c r="P9" s="250"/>
      <c r="Q9" s="653"/>
      <c r="R9" s="209"/>
      <c r="S9" s="209"/>
      <c r="T9" s="412"/>
      <c r="U9" s="412"/>
      <c r="V9" s="412"/>
      <c r="W9" s="402"/>
      <c r="X9" s="402"/>
      <c r="Y9" s="402"/>
      <c r="AD9" s="250"/>
      <c r="AE9" s="653"/>
      <c r="AF9" s="209"/>
      <c r="AG9" s="184"/>
      <c r="AH9" s="184"/>
      <c r="AI9" s="184"/>
      <c r="AJ9" s="157"/>
      <c r="AK9" s="157"/>
      <c r="AL9" s="157"/>
      <c r="AQ9" s="250"/>
      <c r="AR9" s="250"/>
      <c r="AS9" s="653"/>
      <c r="AT9" s="209"/>
      <c r="AU9" s="209"/>
      <c r="AV9" s="412"/>
      <c r="AW9" s="412"/>
      <c r="AX9" s="412"/>
      <c r="AY9" s="157"/>
      <c r="AZ9" s="157"/>
      <c r="BA9" s="157"/>
      <c r="BB9" s="185" t="s">
        <v>114</v>
      </c>
      <c r="BC9" s="185" t="s">
        <v>115</v>
      </c>
    </row>
    <row r="10" spans="1:58" x14ac:dyDescent="0.3">
      <c r="A10" s="242"/>
      <c r="B10" s="57"/>
      <c r="C10" s="57"/>
      <c r="D10" s="438"/>
      <c r="E10" s="31" t="s">
        <v>946</v>
      </c>
      <c r="F10" s="57" t="s">
        <v>949</v>
      </c>
      <c r="G10" s="31">
        <v>25</v>
      </c>
      <c r="H10" s="31">
        <f>G10+273.15</f>
        <v>298.14999999999998</v>
      </c>
      <c r="I10" s="219">
        <f>-LOG10(EXP(LN(10^-14)+13.36*(1/298.15-1/H10)/0.0019872))</f>
        <v>14</v>
      </c>
      <c r="J10" s="129">
        <f>80.7/4.184</f>
        <v>19.287762906309752</v>
      </c>
      <c r="L10" s="129"/>
      <c r="O10" s="250"/>
      <c r="P10" s="250"/>
      <c r="Q10" s="653"/>
      <c r="R10" s="209"/>
      <c r="S10" s="209"/>
      <c r="T10" s="412"/>
      <c r="U10" s="412"/>
      <c r="V10" s="412"/>
      <c r="W10" s="146"/>
      <c r="X10" s="402"/>
      <c r="Y10" s="402"/>
      <c r="AD10" s="250"/>
      <c r="AE10" s="653"/>
      <c r="AF10" s="209"/>
      <c r="AG10" s="184"/>
      <c r="AH10" s="184"/>
      <c r="AI10" s="184"/>
      <c r="AJ10" s="157"/>
      <c r="AK10" s="157"/>
      <c r="AL10" s="157"/>
      <c r="AQ10" s="250"/>
      <c r="AR10" s="250"/>
      <c r="AS10" s="653"/>
      <c r="AT10" s="209"/>
      <c r="AU10" s="209"/>
      <c r="AV10" s="412"/>
      <c r="AW10" s="412"/>
      <c r="AX10" s="412"/>
      <c r="AY10" s="157"/>
      <c r="AZ10" s="157"/>
      <c r="BA10" s="157"/>
    </row>
    <row r="11" spans="1:58" x14ac:dyDescent="0.3">
      <c r="A11" s="242"/>
      <c r="B11" s="57"/>
      <c r="C11" s="57"/>
      <c r="D11" s="438"/>
      <c r="E11" s="521"/>
      <c r="F11" s="57" t="s">
        <v>963</v>
      </c>
      <c r="G11" s="31">
        <v>25</v>
      </c>
      <c r="H11" s="31">
        <f t="shared" ref="H11:H14" si="2">G11+273.15</f>
        <v>298.14999999999998</v>
      </c>
      <c r="I11" s="219">
        <f t="shared" ref="I11:I14" si="3">-LOG10(EXP(LN(10^-14)+13.36*(1/298.15-1/H11)/0.0019872))</f>
        <v>14</v>
      </c>
      <c r="J11" s="279">
        <v>22.66</v>
      </c>
      <c r="O11" s="250"/>
      <c r="P11" s="250"/>
      <c r="Q11" s="653"/>
      <c r="R11" s="209"/>
      <c r="S11" s="209"/>
      <c r="T11" s="412"/>
      <c r="U11" s="412"/>
      <c r="V11" s="412"/>
      <c r="W11" s="153"/>
      <c r="X11" s="153"/>
      <c r="Y11" s="153"/>
      <c r="AA11" s="129"/>
      <c r="AD11" s="250"/>
      <c r="AE11" s="653"/>
      <c r="AF11" s="209"/>
      <c r="AG11" s="184"/>
      <c r="AH11" s="184"/>
      <c r="AI11" s="184"/>
      <c r="AJ11" s="157"/>
      <c r="AK11" s="157"/>
      <c r="AL11" s="157"/>
      <c r="AQ11" s="250"/>
      <c r="AR11" s="250"/>
      <c r="AS11" s="653"/>
      <c r="AT11" s="209"/>
      <c r="AU11" s="209"/>
      <c r="AV11" s="412"/>
      <c r="AW11" s="412"/>
      <c r="AX11" s="412"/>
      <c r="AY11" s="157"/>
      <c r="AZ11" s="157"/>
      <c r="BA11" s="157"/>
    </row>
    <row r="12" spans="1:58" x14ac:dyDescent="0.3">
      <c r="A12" s="242"/>
      <c r="B12" s="57"/>
      <c r="C12" s="57"/>
      <c r="D12" s="438"/>
      <c r="E12" s="520"/>
      <c r="F12" s="57"/>
      <c r="G12" s="31">
        <v>25</v>
      </c>
      <c r="H12" s="31">
        <f t="shared" si="2"/>
        <v>298.14999999999998</v>
      </c>
      <c r="I12" s="219">
        <f t="shared" si="3"/>
        <v>14</v>
      </c>
      <c r="J12" s="92">
        <v>22.66</v>
      </c>
      <c r="O12" s="250"/>
      <c r="P12" s="250"/>
      <c r="Q12" s="653"/>
      <c r="R12" s="209"/>
      <c r="S12" s="209"/>
      <c r="T12" s="412"/>
      <c r="U12" s="412"/>
      <c r="V12" s="412"/>
      <c r="W12" s="153"/>
      <c r="X12" s="153"/>
      <c r="Y12" s="153"/>
      <c r="AA12" s="129"/>
      <c r="AD12" s="250"/>
      <c r="AE12" s="653"/>
      <c r="AF12" s="209"/>
      <c r="AG12" s="184"/>
      <c r="AH12" s="184"/>
      <c r="AI12" s="184"/>
      <c r="AJ12" s="157"/>
      <c r="AK12" s="157"/>
      <c r="AL12" s="157"/>
      <c r="AQ12" s="250"/>
      <c r="AR12" s="250"/>
      <c r="AS12" s="653"/>
      <c r="AT12" s="209"/>
      <c r="AU12" s="209"/>
      <c r="AV12" s="412"/>
      <c r="AW12" s="412"/>
      <c r="AX12" s="412"/>
      <c r="AY12" s="157"/>
      <c r="AZ12" s="157"/>
      <c r="BA12" s="157"/>
    </row>
    <row r="13" spans="1:58" x14ac:dyDescent="0.3">
      <c r="A13" s="242"/>
      <c r="B13" s="57"/>
      <c r="C13" s="57"/>
      <c r="D13" s="438"/>
      <c r="E13" s="520"/>
      <c r="F13" s="518" t="s">
        <v>1115</v>
      </c>
      <c r="G13" s="31">
        <v>25</v>
      </c>
      <c r="H13" s="31">
        <f t="shared" si="2"/>
        <v>298.14999999999998</v>
      </c>
      <c r="I13" s="219">
        <f t="shared" si="3"/>
        <v>14</v>
      </c>
      <c r="J13" s="129">
        <f>84.4/4.184</f>
        <v>20.172084130019122</v>
      </c>
      <c r="O13" s="250"/>
      <c r="P13" s="250"/>
      <c r="Q13" s="653"/>
      <c r="R13" s="209"/>
      <c r="S13" s="209"/>
      <c r="T13" s="412"/>
      <c r="U13" s="412"/>
      <c r="V13" s="412"/>
      <c r="W13" s="402"/>
      <c r="X13" s="402"/>
      <c r="Y13" s="402"/>
      <c r="AD13" s="250"/>
      <c r="AE13" s="653"/>
      <c r="AF13" s="209"/>
      <c r="AG13" s="184"/>
      <c r="AH13" s="184"/>
      <c r="AI13" s="184"/>
      <c r="AJ13" s="157"/>
      <c r="AK13" s="157"/>
      <c r="AL13" s="157"/>
      <c r="AM13" s="31">
        <v>9</v>
      </c>
      <c r="AN13" s="31">
        <f>18.4/24</f>
        <v>0.76666666666666661</v>
      </c>
      <c r="AP13" s="31" t="s">
        <v>605</v>
      </c>
      <c r="AQ13" s="250">
        <f t="shared" ref="AQ13:AQ14" si="4">(LN(2)/AN13)/(60*60*24)*10^(9-AM13)</f>
        <v>1.0464178450482268E-5</v>
      </c>
      <c r="AR13" s="250">
        <f t="shared" ref="AR13:AR14" si="5">AQ13*10^($I13-9)</f>
        <v>1.0464178450482267</v>
      </c>
      <c r="AS13" s="653">
        <f t="shared" ref="AS13:AS14" si="6">(LN(2)/AT13)/(60*60*24)</f>
        <v>0.7666666666666665</v>
      </c>
      <c r="AT13" s="209">
        <f t="shared" ref="AT13:AT14" si="7">AU13*10^(9-14)</f>
        <v>1.0464178450482268E-5</v>
      </c>
      <c r="AU13" s="209">
        <f t="shared" ref="AU13:AU14" si="8">EXP(LN(AR13)+$J13*(1/$H13-1/298.15)/0.0019872)</f>
        <v>1.0464178450482267</v>
      </c>
      <c r="AV13" s="412"/>
      <c r="AW13" s="412"/>
      <c r="AX13" s="412"/>
      <c r="AY13" s="157"/>
      <c r="AZ13" s="157"/>
      <c r="BA13" s="157" t="s">
        <v>1090</v>
      </c>
    </row>
    <row r="14" spans="1:58" x14ac:dyDescent="0.3">
      <c r="A14" s="242"/>
      <c r="B14" s="57"/>
      <c r="C14" s="57"/>
      <c r="D14" s="438"/>
      <c r="E14" s="520"/>
      <c r="F14" s="57"/>
      <c r="G14" s="31">
        <v>25</v>
      </c>
      <c r="H14" s="31">
        <f t="shared" si="2"/>
        <v>298.14999999999998</v>
      </c>
      <c r="I14" s="219">
        <f t="shared" si="3"/>
        <v>14</v>
      </c>
      <c r="J14" s="129">
        <f>84.4/4.184</f>
        <v>20.172084130019122</v>
      </c>
      <c r="O14" s="250"/>
      <c r="P14" s="250"/>
      <c r="Q14" s="653"/>
      <c r="R14" s="209"/>
      <c r="S14" s="209"/>
      <c r="T14" s="412"/>
      <c r="U14" s="412"/>
      <c r="V14" s="412"/>
      <c r="W14" s="402"/>
      <c r="X14" s="402"/>
      <c r="Y14" s="402"/>
      <c r="AD14" s="250"/>
      <c r="AE14" s="653"/>
      <c r="AF14" s="209"/>
      <c r="AG14" s="184"/>
      <c r="AH14" s="184"/>
      <c r="AI14" s="184"/>
      <c r="AJ14" s="157"/>
      <c r="AK14" s="157"/>
      <c r="AL14" s="157"/>
      <c r="AM14" s="31">
        <v>9.8000000000000007</v>
      </c>
      <c r="AN14" s="31">
        <f>2.2/24</f>
        <v>9.1666666666666674E-2</v>
      </c>
      <c r="AP14" s="31" t="s">
        <v>605</v>
      </c>
      <c r="AQ14" s="250">
        <f t="shared" si="4"/>
        <v>1.3870760705089258E-5</v>
      </c>
      <c r="AR14" s="250">
        <f t="shared" si="5"/>
        <v>1.3870760705089258</v>
      </c>
      <c r="AS14" s="653">
        <f t="shared" si="6"/>
        <v>0.57837756577351163</v>
      </c>
      <c r="AT14" s="209">
        <f t="shared" si="7"/>
        <v>1.387076070508926E-5</v>
      </c>
      <c r="AU14" s="209">
        <f t="shared" si="8"/>
        <v>1.3870760705089258</v>
      </c>
      <c r="AV14" s="412"/>
      <c r="AW14" s="412"/>
      <c r="AX14" s="412"/>
      <c r="AY14" s="157"/>
      <c r="AZ14" s="157"/>
      <c r="BA14" s="157"/>
    </row>
    <row r="15" spans="1:58" s="10" customFormat="1" x14ac:dyDescent="0.3">
      <c r="A15" s="546"/>
      <c r="B15" s="547"/>
      <c r="C15" s="547"/>
      <c r="D15" s="548"/>
      <c r="E15" s="549"/>
      <c r="F15" s="547"/>
      <c r="G15" s="50"/>
      <c r="H15" s="50"/>
      <c r="I15" s="690"/>
      <c r="J15" s="97"/>
      <c r="K15" s="50"/>
      <c r="L15" s="50"/>
      <c r="M15" s="50"/>
      <c r="N15" s="50"/>
      <c r="O15" s="531"/>
      <c r="P15" s="531"/>
      <c r="Q15" s="711"/>
      <c r="R15" s="222"/>
      <c r="S15" s="222"/>
      <c r="T15" s="539"/>
      <c r="U15" s="539"/>
      <c r="V15" s="539"/>
      <c r="W15" s="535"/>
      <c r="X15" s="402"/>
      <c r="Y15" s="402"/>
      <c r="Z15" s="50"/>
      <c r="AA15" s="50"/>
      <c r="AB15" s="50"/>
      <c r="AC15" s="50"/>
      <c r="AD15" s="531"/>
      <c r="AE15" s="711"/>
      <c r="AF15" s="222"/>
      <c r="AG15" s="467"/>
      <c r="AH15" s="467"/>
      <c r="AI15" s="467"/>
      <c r="AJ15" s="165"/>
      <c r="AK15" s="165"/>
      <c r="AL15" s="165"/>
      <c r="AM15" s="50"/>
      <c r="AN15" s="50"/>
      <c r="AO15" s="50"/>
      <c r="AP15" s="50"/>
      <c r="AQ15" s="531"/>
      <c r="AR15" s="531"/>
      <c r="AS15" s="711"/>
      <c r="AT15" s="222"/>
      <c r="AU15" s="222"/>
      <c r="AV15" s="539"/>
      <c r="AW15" s="539"/>
      <c r="AX15" s="539"/>
      <c r="AY15" s="165"/>
      <c r="AZ15" s="165"/>
      <c r="BA15" s="165"/>
      <c r="BB15" s="188"/>
      <c r="BC15" s="188"/>
      <c r="BD15" s="188"/>
      <c r="BE15" s="50"/>
      <c r="BF15" s="50"/>
    </row>
    <row r="16" spans="1:58" x14ac:dyDescent="0.3">
      <c r="I16" s="238"/>
      <c r="Q16" s="699"/>
      <c r="R16" s="238"/>
      <c r="S16" s="238"/>
      <c r="AE16" s="699"/>
      <c r="AF16" s="238"/>
      <c r="AS16" s="699"/>
      <c r="AT16" s="238"/>
      <c r="AU16" s="238"/>
    </row>
    <row r="17" spans="1:58" s="9" customFormat="1" x14ac:dyDescent="0.3">
      <c r="A17" s="42">
        <v>14</v>
      </c>
      <c r="B17" s="44" t="s">
        <v>257</v>
      </c>
      <c r="C17" s="42" t="s">
        <v>258</v>
      </c>
      <c r="D17" s="43" t="s">
        <v>919</v>
      </c>
      <c r="E17" s="42" t="s">
        <v>947</v>
      </c>
      <c r="F17" s="42" t="s">
        <v>948</v>
      </c>
      <c r="G17" s="42">
        <v>20</v>
      </c>
      <c r="H17" s="42">
        <f>G17+273.15</f>
        <v>293.14999999999998</v>
      </c>
      <c r="I17" s="688">
        <f>-LOG10(EXP(LN(10^-14)+13.36*(1/298.15-1/H17)/0.0019872))</f>
        <v>14.167030000755094</v>
      </c>
      <c r="J17" s="93">
        <v>22.66</v>
      </c>
      <c r="K17" s="42">
        <v>5</v>
      </c>
      <c r="L17" s="42">
        <v>44</v>
      </c>
      <c r="M17" s="42">
        <v>1.5900000000000001E-2</v>
      </c>
      <c r="N17" s="42" t="s">
        <v>599</v>
      </c>
      <c r="O17" s="479">
        <f>M17/(60*60*24)*10^(K17-5)</f>
        <v>1.8402777777777778E-7</v>
      </c>
      <c r="P17" s="479">
        <f>O17*10^5</f>
        <v>1.8402777777777778E-2</v>
      </c>
      <c r="Q17" s="749">
        <f>(LN(2)/R17)/(60*60*24)</f>
        <v>22.705310858776649</v>
      </c>
      <c r="R17" s="217">
        <f>S17*10^-5</f>
        <v>3.5333305330789262E-7</v>
      </c>
      <c r="S17" s="217">
        <f>EXP(LN(P17)+$J17*(1/$H17-1/298.15)/0.0019872)</f>
        <v>3.5333305330789259E-2</v>
      </c>
      <c r="T17" s="475">
        <f>AVERAGE(Q17:Q18)</f>
        <v>18.378060630910532</v>
      </c>
      <c r="U17" s="475">
        <f>MEDIAN(Q17:Q18)</f>
        <v>18.378060630910532</v>
      </c>
      <c r="V17" s="475">
        <f>STDEV(Q17:Q18)</f>
        <v>6.1196559600303262</v>
      </c>
      <c r="W17" s="476" t="s">
        <v>1044</v>
      </c>
      <c r="X17" s="476" t="s">
        <v>1043</v>
      </c>
      <c r="Y17" s="476" t="s">
        <v>1100</v>
      </c>
      <c r="Z17" s="42">
        <v>7</v>
      </c>
      <c r="AA17" s="42">
        <v>12</v>
      </c>
      <c r="AB17" s="42">
        <v>5.9200000000000003E-2</v>
      </c>
      <c r="AC17" s="42" t="s">
        <v>599</v>
      </c>
      <c r="AD17" s="479">
        <f>AB17/24/60/60</f>
        <v>6.8518518518518529E-7</v>
      </c>
      <c r="AE17" s="749">
        <f>(LN(2)/AF17)/(60*60*24)</f>
        <v>6.0676317036265441</v>
      </c>
      <c r="AF17" s="217">
        <f>EXP(LN(AD17)+$J17*(1/$H17-1/298.15)/0.001972)</f>
        <v>1.3221858550250237E-6</v>
      </c>
      <c r="AG17" s="475">
        <f>AVERAGE(AE17:AE19)</f>
        <v>7.0487195558203313</v>
      </c>
      <c r="AH17" s="475">
        <f>MEDIAN(AE17:AE19)</f>
        <v>7.0487195558203313</v>
      </c>
      <c r="AI17" s="475">
        <f>STDEV(AE17:AE19)</f>
        <v>1.3874677464519429</v>
      </c>
      <c r="AJ17" s="476" t="s">
        <v>1040</v>
      </c>
      <c r="AK17" s="476" t="s">
        <v>1039</v>
      </c>
      <c r="AL17" s="476" t="s">
        <v>1042</v>
      </c>
      <c r="AM17" s="42">
        <v>9</v>
      </c>
      <c r="AN17" s="42">
        <v>0.42</v>
      </c>
      <c r="AO17" s="42">
        <v>1.64</v>
      </c>
      <c r="AP17" s="42" t="s">
        <v>599</v>
      </c>
      <c r="AQ17" s="479">
        <f>(AO17/60/60/24)*10^(9-AM17)</f>
        <v>1.8981481481481478E-5</v>
      </c>
      <c r="AR17" s="479">
        <f>AQ17*10^($I17-9)</f>
        <v>2.7884323099511401</v>
      </c>
      <c r="AS17" s="749">
        <f>(LN(2)/AT17)/(60*60*24)</f>
        <v>0.14984792301332686</v>
      </c>
      <c r="AT17" s="217">
        <f>AU17*10^(9-14)</f>
        <v>5.3537857920946374E-5</v>
      </c>
      <c r="AU17" s="217">
        <f>EXP(LN(AR17)+$J17*(1/$H17-1/298.15)/0.0019872)</f>
        <v>5.3537857920946372</v>
      </c>
      <c r="AV17" s="475">
        <f>AVERAGE(AS17:AS20)</f>
        <v>0.2064909260469876</v>
      </c>
      <c r="AW17" s="475">
        <f>MEDIAN(AS17:AS20)</f>
        <v>0.2064909260469876</v>
      </c>
      <c r="AX17" s="475">
        <f>STDEV(AS17:AS20)</f>
        <v>8.0105303103743239E-2</v>
      </c>
      <c r="AY17" s="476" t="s">
        <v>1040</v>
      </c>
      <c r="AZ17" s="476" t="s">
        <v>1039</v>
      </c>
      <c r="BA17" s="476" t="s">
        <v>1042</v>
      </c>
      <c r="BB17" s="187"/>
      <c r="BC17" s="187"/>
      <c r="BD17" s="187"/>
      <c r="BE17" s="42"/>
      <c r="BF17" s="42"/>
    </row>
    <row r="18" spans="1:58" x14ac:dyDescent="0.3">
      <c r="G18" s="31">
        <v>30</v>
      </c>
      <c r="H18" s="31">
        <f>G18+273.15</f>
        <v>303.14999999999998</v>
      </c>
      <c r="I18" s="219">
        <f>-LOG10(EXP(LN(10^-14)+13.36*(1/298.15-1/H18)/0.0019872))</f>
        <v>13.838479812893434</v>
      </c>
      <c r="J18" s="92">
        <v>22.66</v>
      </c>
      <c r="K18" s="31">
        <v>5</v>
      </c>
      <c r="L18" s="31">
        <v>7.5</v>
      </c>
      <c r="M18" s="31">
        <v>9.2700000000000005E-2</v>
      </c>
      <c r="N18" s="31" t="s">
        <v>599</v>
      </c>
      <c r="O18" s="250">
        <f>M18/(60*60*24)*10^(K18-5)</f>
        <v>1.0729166666666666E-6</v>
      </c>
      <c r="P18" s="250">
        <f>O18*10^5</f>
        <v>0.10729166666666666</v>
      </c>
      <c r="Q18" s="653">
        <f>(LN(2)/R18)/(60*60*24)</f>
        <v>14.050810403044414</v>
      </c>
      <c r="R18" s="209">
        <f>S18*10^-5</f>
        <v>5.7096612806747048E-7</v>
      </c>
      <c r="S18" s="209">
        <f>EXP(LN(P18)+$J18*(1/$H18-1/298.15)/0.0019872)</f>
        <v>5.7096612806747042E-2</v>
      </c>
      <c r="T18" s="412"/>
      <c r="U18" s="412"/>
      <c r="V18" s="412"/>
      <c r="W18" s="550" t="s">
        <v>1005</v>
      </c>
      <c r="X18" s="550" t="s">
        <v>1004</v>
      </c>
      <c r="Y18" s="550" t="s">
        <v>1100</v>
      </c>
      <c r="AD18" s="247"/>
      <c r="AE18" s="653"/>
      <c r="AF18" s="209"/>
      <c r="AG18" s="184"/>
      <c r="AH18" s="184"/>
      <c r="AI18" s="184"/>
      <c r="AJ18" s="157"/>
      <c r="AK18" s="157"/>
      <c r="AL18" s="157"/>
      <c r="AQ18" s="250"/>
      <c r="AR18" s="250"/>
      <c r="AS18" s="653"/>
      <c r="AT18" s="209"/>
      <c r="AU18" s="209"/>
      <c r="AV18" s="412"/>
      <c r="AW18" s="412"/>
      <c r="AX18" s="412"/>
      <c r="AY18" s="157"/>
      <c r="AZ18" s="157"/>
      <c r="BA18" s="157"/>
    </row>
    <row r="19" spans="1:58" x14ac:dyDescent="0.3">
      <c r="G19" s="31">
        <v>30</v>
      </c>
      <c r="H19" s="31">
        <f t="shared" ref="H19:H20" si="9">G19+273.15</f>
        <v>303.14999999999998</v>
      </c>
      <c r="I19" s="219">
        <f t="shared" ref="I19:I20" si="10">-LOG10(EXP(LN(10^-14)+13.36*(1/298.15-1/H19)/0.0019872))</f>
        <v>13.838479812893434</v>
      </c>
      <c r="J19" s="92">
        <v>22.66</v>
      </c>
      <c r="O19" s="250"/>
      <c r="P19" s="250"/>
      <c r="Q19" s="653"/>
      <c r="R19" s="209"/>
      <c r="S19" s="209"/>
      <c r="T19" s="412"/>
      <c r="U19" s="412"/>
      <c r="V19" s="412"/>
      <c r="W19" s="550" t="s">
        <v>1040</v>
      </c>
      <c r="X19" s="550" t="s">
        <v>1039</v>
      </c>
      <c r="Y19" s="550" t="s">
        <v>1041</v>
      </c>
      <c r="Z19" s="31">
        <v>7</v>
      </c>
      <c r="AA19" s="31">
        <v>4.2</v>
      </c>
      <c r="AB19" s="31">
        <v>0.16300000000000001</v>
      </c>
      <c r="AC19" s="31" t="s">
        <v>599</v>
      </c>
      <c r="AD19" s="250">
        <f>AB19/24/60/60</f>
        <v>1.8865740740740741E-6</v>
      </c>
      <c r="AE19" s="653">
        <f>(LN(2)/AF19)/(60*60*24)</f>
        <v>8.0298074080141184</v>
      </c>
      <c r="AF19" s="209">
        <f>EXP(LN(AD19)+J19*(1/H19-1/298.15)/0.001972)</f>
        <v>9.9909454914566713E-7</v>
      </c>
      <c r="AG19" s="184"/>
      <c r="AH19" s="184"/>
      <c r="AI19" s="184"/>
      <c r="AJ19" s="157"/>
      <c r="AK19" s="157"/>
      <c r="AL19" s="157"/>
      <c r="AQ19" s="250"/>
      <c r="AR19" s="250"/>
      <c r="AS19" s="653"/>
      <c r="AT19" s="209"/>
      <c r="AU19" s="209"/>
      <c r="AV19" s="412"/>
      <c r="AW19" s="412"/>
      <c r="AX19" s="412"/>
      <c r="AY19" s="157"/>
      <c r="AZ19" s="157"/>
      <c r="BA19" s="157"/>
    </row>
    <row r="20" spans="1:58" x14ac:dyDescent="0.3">
      <c r="G20" s="31">
        <v>30</v>
      </c>
      <c r="H20" s="31">
        <f t="shared" si="9"/>
        <v>303.14999999999998</v>
      </c>
      <c r="I20" s="219">
        <f t="shared" si="10"/>
        <v>13.838479812893434</v>
      </c>
      <c r="J20" s="92">
        <v>22.66</v>
      </c>
      <c r="O20" s="250"/>
      <c r="P20" s="250"/>
      <c r="Q20" s="653"/>
      <c r="R20" s="209"/>
      <c r="S20" s="209"/>
      <c r="T20" s="412"/>
      <c r="U20" s="412"/>
      <c r="V20" s="412"/>
      <c r="W20" s="146" t="s">
        <v>1046</v>
      </c>
      <c r="X20" s="146" t="s">
        <v>1045</v>
      </c>
      <c r="Y20" s="146" t="s">
        <v>1287</v>
      </c>
      <c r="AD20" s="250"/>
      <c r="AE20" s="653"/>
      <c r="AF20" s="209"/>
      <c r="AG20" s="184"/>
      <c r="AH20" s="184"/>
      <c r="AI20" s="184"/>
      <c r="AJ20" s="157"/>
      <c r="AK20" s="157"/>
      <c r="AL20" s="157"/>
      <c r="AM20" s="31">
        <v>9</v>
      </c>
      <c r="AN20" s="31">
        <v>9.7000000000000003E-2</v>
      </c>
      <c r="AO20" s="31">
        <v>7.18</v>
      </c>
      <c r="AP20" s="31" t="s">
        <v>599</v>
      </c>
      <c r="AQ20" s="250">
        <f>(AO20/60/60/24)*10^(9-AM20)</f>
        <v>8.3101851851851837E-5</v>
      </c>
      <c r="AR20" s="250">
        <f>AQ20*10^($I20-9)</f>
        <v>5.7291542425831654</v>
      </c>
      <c r="AS20" s="653">
        <f>(LN(2)/AT20)/(60*60*24)</f>
        <v>0.26313392908064831</v>
      </c>
      <c r="AT20" s="209">
        <f>AU20*10^(9-14)</f>
        <v>3.0488416450383201E-5</v>
      </c>
      <c r="AU20" s="209">
        <f>EXP(LN(AR20)+J20*(1/H20-1/298.15)/0.0019872)</f>
        <v>3.04884164503832</v>
      </c>
      <c r="AV20" s="412"/>
      <c r="AW20" s="412"/>
      <c r="AX20" s="412"/>
      <c r="AY20" s="157"/>
      <c r="AZ20" s="157"/>
      <c r="BA20" s="157"/>
    </row>
    <row r="21" spans="1:58" x14ac:dyDescent="0.3">
      <c r="I21" s="219"/>
      <c r="J21" s="92"/>
      <c r="O21" s="250"/>
      <c r="P21" s="250"/>
      <c r="Q21" s="653"/>
      <c r="R21" s="209"/>
      <c r="S21" s="209"/>
      <c r="T21" s="412"/>
      <c r="U21" s="412"/>
      <c r="V21" s="412"/>
      <c r="W21" s="146"/>
      <c r="X21" s="146"/>
      <c r="Y21" s="146"/>
      <c r="AD21" s="250"/>
      <c r="AE21" s="653"/>
      <c r="AF21" s="209"/>
      <c r="AG21" s="184"/>
      <c r="AH21" s="184"/>
      <c r="AI21" s="184"/>
      <c r="AJ21" s="157"/>
      <c r="AK21" s="157"/>
      <c r="AL21" s="157"/>
      <c r="AQ21" s="250"/>
      <c r="AR21" s="250"/>
      <c r="AS21" s="653"/>
      <c r="AT21" s="209"/>
      <c r="AU21" s="209"/>
      <c r="AV21" s="412"/>
      <c r="AW21" s="412"/>
      <c r="AX21" s="412"/>
      <c r="AY21" s="157"/>
      <c r="AZ21" s="157"/>
      <c r="BA21" s="157"/>
    </row>
    <row r="22" spans="1:58" ht="15" thickBot="1" x14ac:dyDescent="0.35">
      <c r="I22" s="238"/>
      <c r="Q22" s="699"/>
      <c r="R22" s="238"/>
      <c r="S22" s="238"/>
      <c r="AE22" s="699"/>
      <c r="AF22" s="238"/>
      <c r="AS22" s="699"/>
      <c r="AT22" s="238"/>
      <c r="AU22" s="238"/>
    </row>
    <row r="23" spans="1:58" s="8" customFormat="1" x14ac:dyDescent="0.3">
      <c r="A23" s="37">
        <v>15</v>
      </c>
      <c r="B23" s="37" t="s">
        <v>259</v>
      </c>
      <c r="C23" s="37" t="s">
        <v>260</v>
      </c>
      <c r="D23" s="38" t="s">
        <v>912</v>
      </c>
      <c r="E23" s="37" t="s">
        <v>261</v>
      </c>
      <c r="F23" s="37" t="s">
        <v>741</v>
      </c>
      <c r="G23" s="37">
        <v>25</v>
      </c>
      <c r="H23" s="37">
        <f>G23+273.15</f>
        <v>298.14999999999998</v>
      </c>
      <c r="I23" s="218">
        <f>-LOG10(EXP(LN(10^-14)+13.36*(1/298.15-1/H23)/0.0019872))</f>
        <v>14</v>
      </c>
      <c r="J23" s="109">
        <f>56.8/4.184</f>
        <v>13.575525812619501</v>
      </c>
      <c r="K23" s="37"/>
      <c r="L23" s="37"/>
      <c r="M23" s="37"/>
      <c r="N23" s="37"/>
      <c r="O23" s="249"/>
      <c r="P23" s="249"/>
      <c r="Q23" s="654"/>
      <c r="R23" s="215"/>
      <c r="S23" s="215"/>
      <c r="T23" s="410"/>
      <c r="U23" s="410"/>
      <c r="V23" s="410"/>
      <c r="W23" s="477"/>
      <c r="X23" s="477"/>
      <c r="Y23" s="477"/>
      <c r="Z23" s="37"/>
      <c r="AA23" s="37"/>
      <c r="AB23" s="37"/>
      <c r="AC23" s="37"/>
      <c r="AD23" s="248"/>
      <c r="AE23" s="654"/>
      <c r="AF23" s="215"/>
      <c r="AG23" s="410"/>
      <c r="AH23" s="423"/>
      <c r="AI23" s="423"/>
      <c r="AJ23" s="159"/>
      <c r="AK23" s="159"/>
      <c r="AL23" s="159"/>
      <c r="AM23" s="37"/>
      <c r="AN23" s="37"/>
      <c r="AO23" s="37"/>
      <c r="AP23" s="37"/>
      <c r="AQ23" s="249"/>
      <c r="AR23" s="249"/>
      <c r="AS23" s="654"/>
      <c r="AT23" s="215"/>
      <c r="AU23" s="215"/>
      <c r="AV23" s="410">
        <f>AVERAGE(AS24:AS27)</f>
        <v>15.332651640032442</v>
      </c>
      <c r="AW23" s="410">
        <f>MEDIAN(AS25:AS27)</f>
        <v>15.332651640032442</v>
      </c>
      <c r="AX23" s="410">
        <f>STDEV(AS25:AS28)</f>
        <v>0.73560550382449319</v>
      </c>
      <c r="AY23" s="159"/>
      <c r="AZ23" s="159"/>
      <c r="BA23" s="159"/>
      <c r="BB23" s="186" t="s">
        <v>262</v>
      </c>
      <c r="BC23" s="186" t="s">
        <v>263</v>
      </c>
      <c r="BD23" s="186"/>
      <c r="BE23" s="37"/>
      <c r="BF23" s="37"/>
    </row>
    <row r="24" spans="1:58" x14ac:dyDescent="0.3">
      <c r="G24" s="31">
        <v>25</v>
      </c>
      <c r="H24" s="31">
        <f>G24+273.15</f>
        <v>298.14999999999998</v>
      </c>
      <c r="I24" s="219">
        <f>-LOG10(EXP(LN(10^-14)+13.36*(1/298.15-1/H24)/0.0019872))</f>
        <v>14</v>
      </c>
      <c r="J24" s="530">
        <v>22.66</v>
      </c>
      <c r="O24" s="250"/>
      <c r="P24" s="250"/>
      <c r="Q24" s="653"/>
      <c r="R24" s="209"/>
      <c r="S24" s="209"/>
      <c r="T24" s="412"/>
      <c r="U24" s="412"/>
      <c r="V24" s="412"/>
      <c r="W24" s="146"/>
      <c r="X24" s="146"/>
      <c r="Y24" s="146"/>
      <c r="AD24" s="250"/>
      <c r="AE24" s="653"/>
      <c r="AF24" s="209"/>
      <c r="AG24" s="184"/>
      <c r="AH24" s="184"/>
      <c r="AI24" s="184"/>
      <c r="AJ24" s="157"/>
      <c r="AK24" s="157"/>
      <c r="AL24" s="157"/>
      <c r="AQ24" s="250"/>
      <c r="AR24" s="250"/>
      <c r="AS24" s="653"/>
      <c r="AT24" s="209"/>
      <c r="AU24" s="209"/>
      <c r="AV24" s="412"/>
      <c r="AW24" s="412"/>
      <c r="AX24" s="412"/>
      <c r="AY24" s="157"/>
      <c r="AZ24" s="157"/>
      <c r="BA24" s="157" t="s">
        <v>1106</v>
      </c>
    </row>
    <row r="25" spans="1:58" x14ac:dyDescent="0.3">
      <c r="G25" s="31">
        <v>25</v>
      </c>
      <c r="H25" s="31">
        <f>G25+273.15</f>
        <v>298.14999999999998</v>
      </c>
      <c r="I25" s="219">
        <f>-LOG10(EXP(LN(10^-14)+13.36*(1/298.15-1/H25)/0.0019872))</f>
        <v>14</v>
      </c>
      <c r="J25" s="129">
        <f>113.7/4.184</f>
        <v>27.174952198852772</v>
      </c>
      <c r="O25" s="250"/>
      <c r="P25" s="250"/>
      <c r="Q25" s="653"/>
      <c r="R25" s="209"/>
      <c r="S25" s="209"/>
      <c r="T25" s="412"/>
      <c r="U25" s="412"/>
      <c r="V25" s="412"/>
      <c r="W25" s="146"/>
      <c r="X25" s="146"/>
      <c r="Y25" s="146"/>
      <c r="AD25" s="250"/>
      <c r="AE25" s="653"/>
      <c r="AF25" s="209"/>
      <c r="AG25" s="184"/>
      <c r="AH25" s="184"/>
      <c r="AI25" s="184"/>
      <c r="AJ25" s="157"/>
      <c r="AK25" s="157"/>
      <c r="AL25" s="157"/>
      <c r="AM25" s="31">
        <v>9</v>
      </c>
      <c r="AN25" s="31">
        <v>14.8125</v>
      </c>
      <c r="AP25" s="31" t="s">
        <v>605</v>
      </c>
      <c r="AQ25" s="250">
        <f>(LN(2)/AN25)/(60*60*24)*10^(9-AM25)</f>
        <v>5.4160586072819603E-7</v>
      </c>
      <c r="AR25" s="250">
        <f>AQ25*10^($I25-9)</f>
        <v>5.4160586072819601E-2</v>
      </c>
      <c r="AS25" s="653">
        <f>(LN(2)/AT25)/(60*60*24)</f>
        <v>14.812499999999995</v>
      </c>
      <c r="AT25" s="209">
        <f>AU25*10^(9-14)</f>
        <v>5.4160586072819624E-7</v>
      </c>
      <c r="AU25" s="209">
        <f>EXP(LN(AR25)+$J25*(1/$H25-1/298.15)/0.0019872)</f>
        <v>5.4160586072819615E-2</v>
      </c>
      <c r="AV25" s="412"/>
      <c r="AW25" s="412"/>
      <c r="AX25" s="412"/>
      <c r="AY25" s="157"/>
      <c r="AZ25" s="157"/>
      <c r="BA25" s="157"/>
    </row>
    <row r="26" spans="1:58" x14ac:dyDescent="0.3">
      <c r="G26" s="31">
        <v>25</v>
      </c>
      <c r="H26" s="31">
        <f>G26+273.15</f>
        <v>298.14999999999998</v>
      </c>
      <c r="I26" s="219">
        <f>-LOG10(EXP(LN(10^-14)+13.36*(1/298.15-1/H26)/0.0019872))</f>
        <v>14</v>
      </c>
      <c r="J26" s="530">
        <v>22.66</v>
      </c>
      <c r="L26" s="129"/>
      <c r="O26" s="250"/>
      <c r="P26" s="250"/>
      <c r="Q26" s="653"/>
      <c r="R26" s="209"/>
      <c r="S26" s="209"/>
      <c r="T26" s="412"/>
      <c r="U26" s="412"/>
      <c r="V26" s="412"/>
      <c r="W26" s="146"/>
      <c r="X26" s="146"/>
      <c r="Y26" s="146"/>
      <c r="AD26" s="250"/>
      <c r="AE26" s="653"/>
      <c r="AF26" s="209"/>
      <c r="AG26" s="184"/>
      <c r="AH26" s="184"/>
      <c r="AI26" s="184"/>
      <c r="AJ26" s="157"/>
      <c r="AK26" s="157"/>
      <c r="AL26" s="157"/>
      <c r="AQ26" s="250"/>
      <c r="AR26" s="250"/>
      <c r="AS26" s="653"/>
      <c r="AT26" s="209"/>
      <c r="AU26" s="209"/>
      <c r="AV26" s="412"/>
      <c r="AW26" s="412"/>
      <c r="AX26" s="412"/>
      <c r="AY26" s="157"/>
      <c r="AZ26" s="157"/>
      <c r="BA26" s="157"/>
    </row>
    <row r="27" spans="1:58" x14ac:dyDescent="0.3">
      <c r="G27" s="31">
        <v>25</v>
      </c>
      <c r="H27" s="31">
        <f>G27+273.15</f>
        <v>298.14999999999998</v>
      </c>
      <c r="I27" s="219">
        <f>-LOG10(EXP(LN(10^-14)+13.36*(1/298.15-1/H27)/0.0019872))</f>
        <v>14</v>
      </c>
      <c r="J27" s="92">
        <v>22.66</v>
      </c>
      <c r="O27" s="250"/>
      <c r="P27" s="247"/>
      <c r="Q27" s="653"/>
      <c r="R27" s="208"/>
      <c r="S27" s="208"/>
      <c r="T27" s="412"/>
      <c r="U27" s="412"/>
      <c r="V27" s="412"/>
      <c r="W27" s="146"/>
      <c r="X27" s="146"/>
      <c r="Y27" s="146"/>
      <c r="AD27" s="250"/>
      <c r="AE27" s="653"/>
      <c r="AF27" s="209"/>
      <c r="AG27" s="184"/>
      <c r="AH27" s="184"/>
      <c r="AI27" s="184"/>
      <c r="AJ27" s="157"/>
      <c r="AK27" s="157"/>
      <c r="AL27" s="157"/>
      <c r="AM27" s="31">
        <v>9.8000000000000007</v>
      </c>
      <c r="AN27" s="31">
        <v>2.5125000000000002</v>
      </c>
      <c r="AP27" s="31" t="s">
        <v>605</v>
      </c>
      <c r="AQ27" s="250">
        <f>(LN(2)/AN27)/(60*60*24)*10^(9-AM27)</f>
        <v>5.0606423799662308E-7</v>
      </c>
      <c r="AR27" s="250">
        <f>AQ27*10^($I27-9)</f>
        <v>5.0606423799662306E-2</v>
      </c>
      <c r="AS27" s="653">
        <f>(LN(2)/AT27)/(60*60*24)</f>
        <v>15.852803280064887</v>
      </c>
      <c r="AT27" s="209">
        <f>AU27*10^(9-14)</f>
        <v>5.0606423799662308E-7</v>
      </c>
      <c r="AU27" s="209">
        <f>EXP(LN(AR27)+$J27*(1/$H27-1/298.15)/0.0019872)</f>
        <v>5.0606423799662306E-2</v>
      </c>
      <c r="AV27" s="412"/>
      <c r="AW27" s="412"/>
      <c r="AX27" s="412"/>
      <c r="AY27" s="157"/>
      <c r="AZ27" s="157"/>
      <c r="BA27" s="157"/>
    </row>
    <row r="28" spans="1:58" x14ac:dyDescent="0.3">
      <c r="I28" s="219"/>
      <c r="J28" s="92"/>
      <c r="O28" s="250"/>
      <c r="P28" s="250"/>
      <c r="Q28" s="653"/>
      <c r="R28" s="209"/>
      <c r="S28" s="209"/>
      <c r="T28" s="412"/>
      <c r="U28" s="412"/>
      <c r="V28" s="412"/>
      <c r="W28" s="146"/>
      <c r="X28" s="146"/>
      <c r="Y28" s="146"/>
      <c r="AD28" s="250"/>
      <c r="AE28" s="653"/>
      <c r="AF28" s="209"/>
      <c r="AG28" s="184"/>
      <c r="AH28" s="184"/>
      <c r="AI28" s="184"/>
      <c r="AJ28" s="157"/>
      <c r="AK28" s="157"/>
      <c r="AL28" s="157"/>
      <c r="AQ28" s="250"/>
      <c r="AR28" s="250"/>
      <c r="AS28" s="653"/>
      <c r="AT28" s="209"/>
      <c r="AU28" s="209"/>
      <c r="AV28" s="412"/>
      <c r="AW28" s="412"/>
      <c r="AX28" s="412"/>
      <c r="AY28" s="157"/>
      <c r="AZ28" s="157"/>
      <c r="BA28" s="157"/>
    </row>
    <row r="29" spans="1:58" x14ac:dyDescent="0.3">
      <c r="I29" s="238"/>
      <c r="Q29" s="699"/>
      <c r="R29" s="238"/>
      <c r="S29" s="238"/>
      <c r="AE29" s="699"/>
      <c r="AF29" s="238"/>
      <c r="AS29" s="699"/>
      <c r="AT29" s="238"/>
      <c r="AU29" s="238"/>
    </row>
    <row r="30" spans="1:58" s="9" customFormat="1" x14ac:dyDescent="0.3">
      <c r="A30" s="445">
        <v>4</v>
      </c>
      <c r="B30" s="446" t="s">
        <v>78</v>
      </c>
      <c r="C30" s="446" t="s">
        <v>124</v>
      </c>
      <c r="D30" s="909" t="s">
        <v>914</v>
      </c>
      <c r="E30" s="912" t="s">
        <v>70</v>
      </c>
      <c r="F30" s="446" t="s">
        <v>127</v>
      </c>
      <c r="G30" s="42">
        <v>25</v>
      </c>
      <c r="H30" s="42">
        <f t="shared" ref="H30:H40" si="11">G30+273.15</f>
        <v>298.14999999999998</v>
      </c>
      <c r="I30" s="688">
        <f t="shared" ref="I30:I40" si="12">-LOG10(EXP(LN(10^-14)+13.36*(1/298.15-1/H30)/0.0019872))</f>
        <v>14</v>
      </c>
      <c r="J30" s="93">
        <v>22.66</v>
      </c>
      <c r="K30" s="42"/>
      <c r="L30" s="42"/>
      <c r="M30" s="42"/>
      <c r="N30" s="42"/>
      <c r="O30" s="479"/>
      <c r="P30" s="482"/>
      <c r="Q30" s="749"/>
      <c r="R30" s="216"/>
      <c r="S30" s="216"/>
      <c r="T30" s="475">
        <f>AVERAGE(Q32:Q40)</f>
        <v>4.4682006581378992</v>
      </c>
      <c r="U30" s="475">
        <f>MEDIAN(Q32:Q40)</f>
        <v>4.4999999999999991</v>
      </c>
      <c r="V30" s="475">
        <f>STDEV(Q31:Q40)</f>
        <v>1.2240073766739277</v>
      </c>
      <c r="W30" s="494"/>
      <c r="X30" s="494"/>
      <c r="Y30" s="494"/>
      <c r="Z30" s="42">
        <v>7</v>
      </c>
      <c r="AA30" s="42">
        <v>7.3</v>
      </c>
      <c r="AB30" s="42"/>
      <c r="AC30" s="42" t="s">
        <v>605</v>
      </c>
      <c r="AD30" s="479">
        <f>(LN(2)/AA30)/(60*60*24)</f>
        <v>1.098977645484439E-6</v>
      </c>
      <c r="AE30" s="749">
        <f>(LN(2)/AF30)/(60*60*24)</f>
        <v>7.2999999999999972</v>
      </c>
      <c r="AF30" s="217">
        <f>EXP(LN(AD30)+$J30*(1/$H30-1/298.15)/0.001972)</f>
        <v>1.0989776454844392E-6</v>
      </c>
      <c r="AG30" s="475">
        <f>AVERAGE(AE30:AE31)</f>
        <v>7.199999999999994</v>
      </c>
      <c r="AH30" s="475">
        <f>MEDIAN(AE30:AE31)</f>
        <v>7.199999999999994</v>
      </c>
      <c r="AI30" s="475">
        <f>STDEV(AE30:AE31)</f>
        <v>0.14142135623731339</v>
      </c>
      <c r="AJ30" s="476"/>
      <c r="AK30" s="476"/>
      <c r="AL30" s="476"/>
      <c r="AM30" s="42">
        <v>9</v>
      </c>
      <c r="AN30" s="42">
        <f>4.2/24</f>
        <v>0.17500000000000002</v>
      </c>
      <c r="AO30" s="42"/>
      <c r="AP30" s="42" t="s">
        <v>605</v>
      </c>
      <c r="AQ30" s="479">
        <f>(LN(2)/AN30)/(60*60*24)*10^(9-AM30)</f>
        <v>4.584306749735087E-5</v>
      </c>
      <c r="AR30" s="479">
        <f>AQ30*10^($I30-9)</f>
        <v>4.5843067497350871</v>
      </c>
      <c r="AS30" s="749">
        <f>(LN(2)/AT30)/(60*60*24)</f>
        <v>0.17499999999999999</v>
      </c>
      <c r="AT30" s="217">
        <f>AU30*10^(9-14)</f>
        <v>4.5843067497350877E-5</v>
      </c>
      <c r="AU30" s="217">
        <f>EXP(LN(AR30)+$J30*(1/$H30-1/298.15)/0.0019872)</f>
        <v>4.5843067497350871</v>
      </c>
      <c r="AV30" s="475">
        <f>AVERAGE(AS30:AS31)</f>
        <v>0.31458333333333333</v>
      </c>
      <c r="AW30" s="475">
        <f>MEDIAN(AS30:AS31)</f>
        <v>0.31458333333333333</v>
      </c>
      <c r="AX30" s="475">
        <f>STDEV(AS30:AS31)</f>
        <v>0.19740064308124433</v>
      </c>
      <c r="AY30" s="476"/>
      <c r="AZ30" s="476"/>
      <c r="BA30" s="476"/>
      <c r="BB30" s="187" t="s">
        <v>122</v>
      </c>
      <c r="BC30" s="187" t="s">
        <v>125</v>
      </c>
      <c r="BD30" s="187"/>
      <c r="BE30" s="42"/>
      <c r="BF30" s="42"/>
    </row>
    <row r="31" spans="1:58" x14ac:dyDescent="0.3">
      <c r="A31" s="242"/>
      <c r="B31" s="57"/>
      <c r="E31" s="520"/>
      <c r="F31" s="57"/>
      <c r="G31" s="31">
        <v>25</v>
      </c>
      <c r="H31" s="31">
        <f t="shared" si="11"/>
        <v>298.14999999999998</v>
      </c>
      <c r="I31" s="219">
        <f t="shared" si="12"/>
        <v>14</v>
      </c>
      <c r="J31" s="92">
        <v>22.66</v>
      </c>
      <c r="O31" s="250"/>
      <c r="P31" s="250"/>
      <c r="Q31" s="653"/>
      <c r="R31" s="209"/>
      <c r="S31" s="209"/>
      <c r="T31" s="412"/>
      <c r="U31" s="412"/>
      <c r="V31" s="412"/>
      <c r="W31" s="402"/>
      <c r="X31" s="402"/>
      <c r="Y31" s="402"/>
      <c r="Z31" s="31">
        <v>7</v>
      </c>
      <c r="AA31" s="31">
        <v>7.1</v>
      </c>
      <c r="AC31" s="31" t="s">
        <v>605</v>
      </c>
      <c r="AD31" s="250">
        <f>(LN(2)/AA31)/(60*60*24)</f>
        <v>1.1299347622586486E-6</v>
      </c>
      <c r="AE31" s="653">
        <f>(LN(2)/AF31)/(60*60*24)</f>
        <v>7.0999999999999917</v>
      </c>
      <c r="AF31" s="209">
        <f>EXP(LN(AD31)+$J31*(1/$H31-1/298.15)/0.001972)</f>
        <v>1.1299347622586496E-6</v>
      </c>
      <c r="AG31" s="184"/>
      <c r="AH31" s="184"/>
      <c r="AI31" s="184"/>
      <c r="AJ31" s="157"/>
      <c r="AK31" s="157"/>
      <c r="AL31" s="157"/>
      <c r="AM31" s="31">
        <v>9</v>
      </c>
      <c r="AN31" s="31">
        <f>10.9/24</f>
        <v>0.45416666666666666</v>
      </c>
      <c r="AP31" s="31" t="s">
        <v>605</v>
      </c>
      <c r="AQ31" s="250">
        <f>(LN(2)/AN31)/(60*60*24)*10^(9-AM31)</f>
        <v>1.7664301237511348E-5</v>
      </c>
      <c r="AR31" s="250">
        <f>AQ31*10^($I31-9)</f>
        <v>1.7664301237511348</v>
      </c>
      <c r="AS31" s="653">
        <f>(LN(2)/AT31)/(60*60*24)</f>
        <v>0.45416666666666661</v>
      </c>
      <c r="AT31" s="209">
        <f>AU31*10^(9-14)</f>
        <v>1.7664301237511351E-5</v>
      </c>
      <c r="AU31" s="209">
        <f>EXP(LN(AR31)+$J31*(1/$H31-1/298.15)/0.0019872)</f>
        <v>1.7664301237511348</v>
      </c>
      <c r="AV31" s="412"/>
      <c r="AW31" s="412"/>
      <c r="AX31" s="412"/>
      <c r="AY31" s="157"/>
      <c r="AZ31" s="157"/>
      <c r="BA31" s="157"/>
    </row>
    <row r="32" spans="1:58" x14ac:dyDescent="0.3">
      <c r="A32" s="242"/>
      <c r="B32" s="57"/>
      <c r="E32" s="520"/>
      <c r="F32" s="57"/>
      <c r="G32" s="31">
        <v>25</v>
      </c>
      <c r="H32" s="31">
        <f t="shared" si="11"/>
        <v>298.14999999999998</v>
      </c>
      <c r="I32" s="219">
        <f t="shared" si="12"/>
        <v>14</v>
      </c>
      <c r="J32" s="91">
        <v>22.06</v>
      </c>
      <c r="K32" s="31">
        <v>5</v>
      </c>
      <c r="L32" s="31">
        <v>4.7</v>
      </c>
      <c r="N32" s="31" t="s">
        <v>605</v>
      </c>
      <c r="O32" s="250">
        <f t="shared" ref="O32:O40" si="13">(LN(2)/L32)/(60*60*24)*10^(K32-5)</f>
        <v>1.706922725965192E-6</v>
      </c>
      <c r="P32" s="250">
        <f t="shared" ref="P32:P40" si="14">O32*10^5</f>
        <v>0.1706922725965192</v>
      </c>
      <c r="Q32" s="653">
        <f t="shared" ref="Q32:Q40" si="15">(LN(2)/R32)/(60*60*24)</f>
        <v>4.7</v>
      </c>
      <c r="R32" s="209">
        <f t="shared" ref="R32:R40" si="16">S32*10^-5</f>
        <v>1.7069227259651922E-6</v>
      </c>
      <c r="S32" s="209">
        <f t="shared" ref="S32:S40" si="17">EXP(LN(P32)+$J32*(1/$H32-1/298.15)/0.0019872)</f>
        <v>0.1706922725965192</v>
      </c>
      <c r="T32" s="412"/>
      <c r="U32" s="412"/>
      <c r="V32" s="412"/>
      <c r="W32" s="402"/>
      <c r="X32" s="402"/>
      <c r="Y32" s="402"/>
      <c r="AD32" s="250"/>
      <c r="AE32" s="653"/>
      <c r="AF32" s="209"/>
      <c r="AG32" s="184"/>
      <c r="AH32" s="184"/>
      <c r="AI32" s="184"/>
      <c r="AJ32" s="157"/>
      <c r="AK32" s="157"/>
      <c r="AL32" s="157"/>
      <c r="AQ32" s="250"/>
      <c r="AR32" s="250"/>
      <c r="AS32" s="653"/>
      <c r="AT32" s="209"/>
      <c r="AU32" s="209"/>
      <c r="AV32" s="412"/>
      <c r="AW32" s="412"/>
      <c r="AX32" s="412"/>
      <c r="AY32" s="157"/>
      <c r="AZ32" s="157"/>
      <c r="BA32" s="157"/>
    </row>
    <row r="33" spans="1:58" ht="20.25" customHeight="1" x14ac:dyDescent="0.3">
      <c r="A33" s="242"/>
      <c r="B33" s="57"/>
      <c r="E33" s="520"/>
      <c r="G33" s="31">
        <v>25</v>
      </c>
      <c r="H33" s="31">
        <f t="shared" si="11"/>
        <v>298.14999999999998</v>
      </c>
      <c r="I33" s="219">
        <f t="shared" si="12"/>
        <v>14</v>
      </c>
      <c r="J33" s="91">
        <v>22.06</v>
      </c>
      <c r="K33" s="31">
        <v>5</v>
      </c>
      <c r="L33" s="31">
        <v>4.5</v>
      </c>
      <c r="N33" s="31" t="s">
        <v>605</v>
      </c>
      <c r="O33" s="250">
        <f t="shared" si="13"/>
        <v>1.7827859582303121E-6</v>
      </c>
      <c r="P33" s="250">
        <f t="shared" si="14"/>
        <v>0.17827859582303121</v>
      </c>
      <c r="Q33" s="653">
        <f t="shared" si="15"/>
        <v>4.4999999999999991</v>
      </c>
      <c r="R33" s="209">
        <f t="shared" si="16"/>
        <v>1.7827859582303123E-6</v>
      </c>
      <c r="S33" s="209">
        <f t="shared" si="17"/>
        <v>0.17827859582303121</v>
      </c>
      <c r="T33" s="412"/>
      <c r="U33" s="412"/>
      <c r="V33" s="412"/>
      <c r="W33" s="402"/>
      <c r="X33" s="402"/>
      <c r="Y33" s="402"/>
      <c r="AD33" s="247"/>
      <c r="AE33" s="653"/>
      <c r="AF33" s="209"/>
      <c r="AG33" s="184"/>
      <c r="AH33" s="184"/>
      <c r="AI33" s="184"/>
      <c r="AJ33" s="157"/>
      <c r="AK33" s="157"/>
      <c r="AL33" s="157"/>
      <c r="AQ33" s="250"/>
      <c r="AR33" s="250"/>
      <c r="AS33" s="653"/>
      <c r="AT33" s="209"/>
      <c r="AU33" s="209"/>
      <c r="AV33" s="412"/>
      <c r="AW33" s="412"/>
      <c r="AX33" s="412"/>
      <c r="AY33" s="157"/>
      <c r="AZ33" s="157"/>
      <c r="BA33" s="157"/>
      <c r="BB33" s="185" t="s">
        <v>123</v>
      </c>
      <c r="BC33" s="185" t="s">
        <v>126</v>
      </c>
    </row>
    <row r="34" spans="1:58" x14ac:dyDescent="0.3">
      <c r="E34" s="31" t="s">
        <v>289</v>
      </c>
      <c r="G34" s="31">
        <v>15</v>
      </c>
      <c r="H34" s="31">
        <f t="shared" si="11"/>
        <v>288.14999999999998</v>
      </c>
      <c r="I34" s="219">
        <f t="shared" si="12"/>
        <v>14.339856635234117</v>
      </c>
      <c r="J34" s="129">
        <f t="shared" ref="J34:J40" si="18">92.28/4.184</f>
        <v>22.055449330783937</v>
      </c>
      <c r="K34" s="31">
        <v>4</v>
      </c>
      <c r="L34" s="31">
        <v>2.09</v>
      </c>
      <c r="N34" s="31" t="s">
        <v>605</v>
      </c>
      <c r="O34" s="250">
        <f t="shared" si="13"/>
        <v>3.8385343598260306E-7</v>
      </c>
      <c r="P34" s="250">
        <f t="shared" si="14"/>
        <v>3.8385343598260305E-2</v>
      </c>
      <c r="Q34" s="653">
        <f t="shared" si="15"/>
        <v>5.7423754681040995</v>
      </c>
      <c r="R34" s="209">
        <f t="shared" si="16"/>
        <v>1.3970763243534686E-6</v>
      </c>
      <c r="S34" s="209">
        <f t="shared" si="17"/>
        <v>0.13970763243534684</v>
      </c>
      <c r="T34" s="412"/>
      <c r="U34" s="412"/>
      <c r="V34" s="412"/>
      <c r="W34" s="402"/>
      <c r="X34" s="402"/>
      <c r="Y34" s="402"/>
      <c r="AD34" s="247"/>
      <c r="AE34" s="653"/>
      <c r="AF34" s="209"/>
      <c r="AG34" s="184"/>
      <c r="AH34" s="184"/>
      <c r="AI34" s="184"/>
      <c r="AJ34" s="157"/>
      <c r="AK34" s="157"/>
      <c r="AL34" s="157"/>
      <c r="AQ34" s="250"/>
      <c r="AR34" s="250"/>
      <c r="AS34" s="653"/>
      <c r="AT34" s="209"/>
      <c r="AU34" s="209"/>
      <c r="AV34" s="412"/>
      <c r="AW34" s="412"/>
      <c r="AX34" s="412"/>
      <c r="AY34" s="157"/>
      <c r="AZ34" s="157"/>
      <c r="BA34" s="157"/>
    </row>
    <row r="35" spans="1:58" x14ac:dyDescent="0.3">
      <c r="G35" s="31">
        <v>20</v>
      </c>
      <c r="H35" s="31">
        <f t="shared" si="11"/>
        <v>293.14999999999998</v>
      </c>
      <c r="I35" s="219">
        <f t="shared" si="12"/>
        <v>14.167030000755094</v>
      </c>
      <c r="J35" s="129">
        <f t="shared" si="18"/>
        <v>22.055449330783937</v>
      </c>
      <c r="K35" s="31">
        <v>4</v>
      </c>
      <c r="L35" s="31">
        <v>1.1100000000000001</v>
      </c>
      <c r="N35" s="31" t="s">
        <v>605</v>
      </c>
      <c r="O35" s="250">
        <f t="shared" si="13"/>
        <v>7.2275106414742379E-7</v>
      </c>
      <c r="P35" s="250">
        <f t="shared" si="14"/>
        <v>7.2275106414742385E-2</v>
      </c>
      <c r="Q35" s="653">
        <f t="shared" si="15"/>
        <v>5.882749223648843</v>
      </c>
      <c r="R35" s="209">
        <f t="shared" si="16"/>
        <v>1.3637393856235696E-6</v>
      </c>
      <c r="S35" s="209">
        <f t="shared" si="17"/>
        <v>0.13637393856235694</v>
      </c>
      <c r="T35" s="412"/>
      <c r="U35" s="412"/>
      <c r="V35" s="412"/>
      <c r="W35" s="153"/>
      <c r="X35" s="153"/>
      <c r="Y35" s="153"/>
      <c r="AD35" s="247"/>
      <c r="AE35" s="653"/>
      <c r="AF35" s="209"/>
      <c r="AG35" s="184"/>
      <c r="AH35" s="184"/>
      <c r="AI35" s="184"/>
      <c r="AJ35" s="157"/>
      <c r="AK35" s="157"/>
      <c r="AL35" s="157"/>
      <c r="AQ35" s="250"/>
      <c r="AR35" s="250"/>
      <c r="AS35" s="653"/>
      <c r="AT35" s="209"/>
      <c r="AU35" s="209"/>
      <c r="AV35" s="412"/>
      <c r="AW35" s="412"/>
      <c r="AX35" s="412"/>
      <c r="AY35" s="157"/>
      <c r="AZ35" s="157"/>
      <c r="BA35" s="157"/>
    </row>
    <row r="36" spans="1:58" x14ac:dyDescent="0.3">
      <c r="G36" s="31">
        <v>25</v>
      </c>
      <c r="H36" s="31">
        <f t="shared" si="11"/>
        <v>298.14999999999998</v>
      </c>
      <c r="I36" s="219">
        <f t="shared" si="12"/>
        <v>14</v>
      </c>
      <c r="J36" s="129">
        <f t="shared" si="18"/>
        <v>22.055449330783937</v>
      </c>
      <c r="K36" s="31">
        <v>4</v>
      </c>
      <c r="L36" s="31">
        <v>0.27</v>
      </c>
      <c r="N36" s="31" t="s">
        <v>605</v>
      </c>
      <c r="O36" s="250">
        <f t="shared" si="13"/>
        <v>2.9713099303838534E-6</v>
      </c>
      <c r="P36" s="250">
        <f t="shared" si="14"/>
        <v>0.29713099303838536</v>
      </c>
      <c r="Q36" s="653">
        <f t="shared" si="15"/>
        <v>2.6999999999999997</v>
      </c>
      <c r="R36" s="209">
        <f t="shared" si="16"/>
        <v>2.9713099303838538E-6</v>
      </c>
      <c r="S36" s="209">
        <f t="shared" si="17"/>
        <v>0.29713099303838536</v>
      </c>
      <c r="T36" s="412"/>
      <c r="U36" s="412"/>
      <c r="V36" s="412"/>
      <c r="W36" s="402"/>
      <c r="X36" s="402"/>
      <c r="Y36" s="402"/>
      <c r="AD36" s="247"/>
      <c r="AE36" s="653"/>
      <c r="AF36" s="209"/>
      <c r="AG36" s="184"/>
      <c r="AH36" s="184"/>
      <c r="AI36" s="184"/>
      <c r="AJ36" s="157"/>
      <c r="AK36" s="157"/>
      <c r="AL36" s="157"/>
      <c r="AQ36" s="250"/>
      <c r="AR36" s="250"/>
      <c r="AS36" s="653"/>
      <c r="AT36" s="209"/>
      <c r="AU36" s="209"/>
      <c r="AV36" s="412"/>
      <c r="AW36" s="412"/>
      <c r="AX36" s="412"/>
      <c r="AY36" s="157"/>
      <c r="AZ36" s="157"/>
      <c r="BA36" s="157"/>
    </row>
    <row r="37" spans="1:58" x14ac:dyDescent="0.3">
      <c r="G37" s="31">
        <v>30</v>
      </c>
      <c r="H37" s="31">
        <f t="shared" si="11"/>
        <v>303.14999999999998</v>
      </c>
      <c r="I37" s="219">
        <f t="shared" si="12"/>
        <v>13.838479812893434</v>
      </c>
      <c r="J37" s="129">
        <f t="shared" si="18"/>
        <v>22.055449330783937</v>
      </c>
      <c r="K37" s="31">
        <v>4</v>
      </c>
      <c r="L37" s="31">
        <v>0.21</v>
      </c>
      <c r="N37" s="31" t="s">
        <v>605</v>
      </c>
      <c r="O37" s="250">
        <f t="shared" si="13"/>
        <v>3.8202556247792403E-6</v>
      </c>
      <c r="P37" s="250">
        <f t="shared" si="14"/>
        <v>0.38202556247792402</v>
      </c>
      <c r="Q37" s="653">
        <f t="shared" si="15"/>
        <v>3.8803064348464211</v>
      </c>
      <c r="R37" s="209">
        <f t="shared" si="16"/>
        <v>2.0675008396222006E-6</v>
      </c>
      <c r="S37" s="209">
        <f t="shared" si="17"/>
        <v>0.20675008396222005</v>
      </c>
      <c r="T37" s="412"/>
      <c r="U37" s="412"/>
      <c r="V37" s="412"/>
      <c r="W37" s="402"/>
      <c r="X37" s="402"/>
      <c r="Y37" s="402"/>
      <c r="AD37" s="247"/>
      <c r="AE37" s="653"/>
      <c r="AF37" s="209"/>
      <c r="AG37" s="184"/>
      <c r="AH37" s="184"/>
      <c r="AI37" s="184"/>
      <c r="AJ37" s="157"/>
      <c r="AK37" s="157"/>
      <c r="AL37" s="157"/>
      <c r="AQ37" s="250"/>
      <c r="AR37" s="250"/>
      <c r="AS37" s="653"/>
      <c r="AT37" s="209"/>
      <c r="AU37" s="209"/>
      <c r="AV37" s="412"/>
      <c r="AW37" s="412"/>
      <c r="AX37" s="412"/>
      <c r="AY37" s="157"/>
      <c r="AZ37" s="157"/>
      <c r="BA37" s="157"/>
    </row>
    <row r="38" spans="1:58" x14ac:dyDescent="0.3">
      <c r="G38" s="31">
        <v>35</v>
      </c>
      <c r="H38" s="31">
        <f t="shared" si="11"/>
        <v>308.14999999999998</v>
      </c>
      <c r="I38" s="219">
        <f t="shared" si="12"/>
        <v>13.682201234974167</v>
      </c>
      <c r="J38" s="129">
        <f t="shared" si="18"/>
        <v>22.055449330783937</v>
      </c>
      <c r="K38" s="31">
        <v>4</v>
      </c>
      <c r="L38" s="31">
        <v>0.11</v>
      </c>
      <c r="N38" s="31" t="s">
        <v>605</v>
      </c>
      <c r="O38" s="250">
        <f t="shared" si="13"/>
        <v>7.293215283669458E-6</v>
      </c>
      <c r="P38" s="250">
        <f t="shared" si="14"/>
        <v>0.72932152836694575</v>
      </c>
      <c r="Q38" s="653">
        <f t="shared" si="15"/>
        <v>3.6815694412460314</v>
      </c>
      <c r="R38" s="209">
        <f t="shared" si="16"/>
        <v>2.1791078343265383E-6</v>
      </c>
      <c r="S38" s="209">
        <f t="shared" si="17"/>
        <v>0.21791078343265383</v>
      </c>
      <c r="T38" s="412"/>
      <c r="U38" s="412"/>
      <c r="V38" s="412"/>
      <c r="W38" s="402"/>
      <c r="X38" s="402"/>
      <c r="Y38" s="402"/>
      <c r="AD38" s="247"/>
      <c r="AE38" s="653"/>
      <c r="AF38" s="209"/>
      <c r="AG38" s="184"/>
      <c r="AH38" s="184"/>
      <c r="AI38" s="184"/>
      <c r="AJ38" s="157"/>
      <c r="AK38" s="157"/>
      <c r="AL38" s="157"/>
      <c r="AQ38" s="250"/>
      <c r="AR38" s="250"/>
      <c r="AS38" s="653"/>
      <c r="AT38" s="209"/>
      <c r="AU38" s="209"/>
      <c r="AV38" s="412"/>
      <c r="AW38" s="412"/>
      <c r="AX38" s="412"/>
      <c r="AY38" s="157"/>
      <c r="AZ38" s="157"/>
      <c r="BA38" s="157"/>
    </row>
    <row r="39" spans="1:58" x14ac:dyDescent="0.3">
      <c r="G39" s="31">
        <v>45</v>
      </c>
      <c r="H39" s="31">
        <f t="shared" si="11"/>
        <v>318.14999999999998</v>
      </c>
      <c r="I39" s="219">
        <f t="shared" si="12"/>
        <v>13.3843803901134</v>
      </c>
      <c r="J39" s="129">
        <f t="shared" si="18"/>
        <v>22.055449330783937</v>
      </c>
      <c r="K39" s="31">
        <v>4</v>
      </c>
      <c r="L39" s="31">
        <v>0.03</v>
      </c>
      <c r="N39" s="31" t="s">
        <v>605</v>
      </c>
      <c r="O39" s="250">
        <f t="shared" si="13"/>
        <v>2.6741789373454684E-5</v>
      </c>
      <c r="P39" s="250">
        <f t="shared" si="14"/>
        <v>2.6741789373454683</v>
      </c>
      <c r="Q39" s="653">
        <f t="shared" si="15"/>
        <v>3.114735611740088</v>
      </c>
      <c r="R39" s="209">
        <f t="shared" si="16"/>
        <v>2.575671842514591E-6</v>
      </c>
      <c r="S39" s="209">
        <f t="shared" si="17"/>
        <v>0.25756718425145908</v>
      </c>
      <c r="T39" s="412"/>
      <c r="U39" s="412"/>
      <c r="V39" s="412"/>
      <c r="W39" s="402"/>
      <c r="X39" s="402"/>
      <c r="Y39" s="402"/>
      <c r="AD39" s="247"/>
      <c r="AE39" s="653"/>
      <c r="AF39" s="209"/>
      <c r="AG39" s="184"/>
      <c r="AH39" s="184"/>
      <c r="AI39" s="184"/>
      <c r="AJ39" s="157"/>
      <c r="AK39" s="157"/>
      <c r="AL39" s="157"/>
      <c r="AQ39" s="250"/>
      <c r="AR39" s="250"/>
      <c r="AS39" s="653"/>
      <c r="AT39" s="209"/>
      <c r="AU39" s="209"/>
      <c r="AV39" s="412"/>
      <c r="AW39" s="412"/>
      <c r="AX39" s="412"/>
      <c r="AY39" s="157"/>
      <c r="AZ39" s="157"/>
      <c r="BA39" s="157"/>
    </row>
    <row r="40" spans="1:58" x14ac:dyDescent="0.3">
      <c r="G40" s="31">
        <v>55</v>
      </c>
      <c r="H40" s="31">
        <f t="shared" si="11"/>
        <v>328.15</v>
      </c>
      <c r="I40" s="219">
        <f t="shared" si="12"/>
        <v>13.104711051872215</v>
      </c>
      <c r="J40" s="129">
        <f t="shared" si="18"/>
        <v>22.055449330783937</v>
      </c>
      <c r="K40" s="31">
        <v>4</v>
      </c>
      <c r="L40" s="31">
        <v>0.02</v>
      </c>
      <c r="N40" s="31" t="s">
        <v>605</v>
      </c>
      <c r="O40" s="250">
        <f t="shared" si="13"/>
        <v>4.0112684060182026E-5</v>
      </c>
      <c r="P40" s="250">
        <f t="shared" si="14"/>
        <v>4.0112684060182024</v>
      </c>
      <c r="Q40" s="653">
        <f t="shared" si="15"/>
        <v>6.0120697436556139</v>
      </c>
      <c r="R40" s="209">
        <f t="shared" si="16"/>
        <v>1.3344051473292347E-6</v>
      </c>
      <c r="S40" s="209">
        <f t="shared" si="17"/>
        <v>0.13344051473292345</v>
      </c>
      <c r="T40" s="412"/>
      <c r="U40" s="412"/>
      <c r="V40" s="412"/>
      <c r="W40" s="153"/>
      <c r="X40" s="153"/>
      <c r="Y40" s="153"/>
      <c r="AD40" s="247"/>
      <c r="AE40" s="653"/>
      <c r="AF40" s="209"/>
      <c r="AG40" s="184"/>
      <c r="AH40" s="184"/>
      <c r="AI40" s="184"/>
      <c r="AJ40" s="157"/>
      <c r="AK40" s="157"/>
      <c r="AL40" s="157"/>
      <c r="AQ40" s="250"/>
      <c r="AR40" s="250"/>
      <c r="AS40" s="653"/>
      <c r="AT40" s="209"/>
      <c r="AU40" s="209"/>
      <c r="AV40" s="412"/>
      <c r="AW40" s="412"/>
      <c r="AX40" s="412"/>
      <c r="AY40" s="157"/>
      <c r="AZ40" s="157"/>
      <c r="BA40" s="157"/>
    </row>
    <row r="41" spans="1:58" ht="20.25" customHeight="1" x14ac:dyDescent="0.3">
      <c r="A41" s="242"/>
      <c r="B41" s="57"/>
      <c r="E41" s="520"/>
      <c r="I41" s="219"/>
      <c r="J41" s="92"/>
      <c r="O41" s="250"/>
      <c r="P41" s="250"/>
      <c r="Q41" s="653"/>
      <c r="R41" s="209"/>
      <c r="S41" s="209"/>
      <c r="T41" s="412"/>
      <c r="U41" s="412"/>
      <c r="V41" s="412"/>
      <c r="W41" s="153"/>
      <c r="X41" s="153"/>
      <c r="Y41" s="153"/>
      <c r="AD41" s="250"/>
      <c r="AE41" s="653"/>
      <c r="AF41" s="209"/>
      <c r="AG41" s="184"/>
      <c r="AH41" s="184"/>
      <c r="AI41" s="184"/>
      <c r="AJ41" s="157"/>
      <c r="AK41" s="157"/>
      <c r="AL41" s="157"/>
      <c r="AQ41" s="250"/>
      <c r="AR41" s="250"/>
      <c r="AS41" s="653"/>
      <c r="AT41" s="209"/>
      <c r="AU41" s="209"/>
      <c r="AV41" s="412"/>
      <c r="AW41" s="412"/>
      <c r="AX41" s="412"/>
      <c r="AY41" s="157"/>
      <c r="AZ41" s="157"/>
      <c r="BA41" s="157"/>
    </row>
    <row r="42" spans="1:58" x14ac:dyDescent="0.3">
      <c r="I42" s="238"/>
      <c r="Q42" s="699"/>
      <c r="R42" s="238"/>
      <c r="S42" s="238"/>
      <c r="AE42" s="699"/>
      <c r="AF42" s="238"/>
      <c r="AS42" s="699"/>
      <c r="AT42" s="238"/>
      <c r="AU42" s="238"/>
    </row>
    <row r="43" spans="1:58" s="9" customFormat="1" x14ac:dyDescent="0.3">
      <c r="A43" s="42">
        <v>17</v>
      </c>
      <c r="B43" s="42" t="s">
        <v>269</v>
      </c>
      <c r="C43" s="42" t="s">
        <v>270</v>
      </c>
      <c r="D43" s="43" t="s">
        <v>921</v>
      </c>
      <c r="E43" s="42" t="s">
        <v>271</v>
      </c>
      <c r="F43" s="42"/>
      <c r="G43" s="42">
        <v>22</v>
      </c>
      <c r="H43" s="42">
        <f>G43+273.15</f>
        <v>295.14999999999998</v>
      </c>
      <c r="I43" s="688">
        <f>-LOG10(EXP(LN(10^-14)+13.36*(1/298.15-1/H43)/0.0019872))</f>
        <v>14.099538901686646</v>
      </c>
      <c r="J43" s="93">
        <v>22.66</v>
      </c>
      <c r="K43" s="42">
        <v>4</v>
      </c>
      <c r="L43" s="42">
        <v>0.86</v>
      </c>
      <c r="M43" s="42"/>
      <c r="N43" s="42" t="s">
        <v>605</v>
      </c>
      <c r="O43" s="479">
        <f>(LN(2)/L43)/(60*60*24)*10^(K43-5)</f>
        <v>9.3285311767865177E-7</v>
      </c>
      <c r="P43" s="479">
        <f>O43*10^5</f>
        <v>9.328531176786517E-2</v>
      </c>
      <c r="Q43" s="749">
        <f>(LN(2)/R43)/(60*60*24)</f>
        <v>5.8300159811115346</v>
      </c>
      <c r="R43" s="217">
        <f>S43*10^-5</f>
        <v>1.3760745833336205E-6</v>
      </c>
      <c r="S43" s="217">
        <f>EXP(LN(P43)+$J43*(1/$H43-1/298.15)/0.0019872)</f>
        <v>0.13760745833336205</v>
      </c>
      <c r="T43" s="475">
        <f>AVERAGE(Q43:Q44)</f>
        <v>4.2403197630061227</v>
      </c>
      <c r="U43" s="475">
        <f>MEDIAN(Q43:Q45)</f>
        <v>4.2403197630061227</v>
      </c>
      <c r="V43" s="475">
        <f>STDEV(Q43:Q44)</f>
        <v>2.2481699516978901</v>
      </c>
      <c r="W43" s="476"/>
      <c r="X43" s="476"/>
      <c r="Y43" s="476"/>
      <c r="Z43" s="42"/>
      <c r="AA43" s="42"/>
      <c r="AB43" s="42"/>
      <c r="AC43" s="42"/>
      <c r="AD43" s="482"/>
      <c r="AE43" s="749"/>
      <c r="AF43" s="217"/>
      <c r="AG43" s="475">
        <f>AE45</f>
        <v>11.740045926241047</v>
      </c>
      <c r="AH43" s="480"/>
      <c r="AI43" s="480"/>
      <c r="AJ43" s="161"/>
      <c r="AK43" s="161"/>
      <c r="AL43" s="161"/>
      <c r="AM43" s="42"/>
      <c r="AN43" s="42"/>
      <c r="AO43" s="42"/>
      <c r="AP43" s="42"/>
      <c r="AQ43" s="479"/>
      <c r="AR43" s="479"/>
      <c r="AS43" s="749"/>
      <c r="AT43" s="217"/>
      <c r="AU43" s="217"/>
      <c r="AV43" s="475">
        <f>AS46</f>
        <v>7.2718404572153537</v>
      </c>
      <c r="AW43" s="475"/>
      <c r="AX43" s="475"/>
      <c r="AY43" s="161"/>
      <c r="AZ43" s="161"/>
      <c r="BA43" s="161"/>
      <c r="BB43" s="187" t="s">
        <v>272</v>
      </c>
      <c r="BC43" s="187" t="s">
        <v>273</v>
      </c>
      <c r="BD43" s="187"/>
      <c r="BE43" s="42"/>
      <c r="BF43" s="42"/>
    </row>
    <row r="44" spans="1:58" x14ac:dyDescent="0.3">
      <c r="G44" s="31">
        <v>22</v>
      </c>
      <c r="H44" s="31">
        <f>G44+273.15</f>
        <v>295.14999999999998</v>
      </c>
      <c r="I44" s="219">
        <f>-LOG10(EXP(LN(10^-14)+13.36*(1/298.15-1/H44)/0.0019872))</f>
        <v>14.099538901686646</v>
      </c>
      <c r="J44" s="92">
        <v>22.66</v>
      </c>
      <c r="K44" s="31">
        <v>5</v>
      </c>
      <c r="L44" s="31">
        <v>3.91</v>
      </c>
      <c r="N44" s="31" t="s">
        <v>605</v>
      </c>
      <c r="O44" s="250">
        <f>(LN(2)/L44)/(60*60*24)*10^(K44-5)</f>
        <v>2.0517996961729931E-6</v>
      </c>
      <c r="P44" s="250">
        <f>O44*10^5</f>
        <v>0.20517996961729931</v>
      </c>
      <c r="Q44" s="653">
        <f>(LN(2)/R44)/(60*60*24)</f>
        <v>2.6506235449007103</v>
      </c>
      <c r="R44" s="209">
        <f>S44*10^-5</f>
        <v>3.0266602088667856E-6</v>
      </c>
      <c r="S44" s="209">
        <f>EXP(LN(P44)+$J44*(1/$H44-1/298.15)/0.0019872)</f>
        <v>0.30266602088667854</v>
      </c>
      <c r="T44" s="412"/>
      <c r="U44" s="412"/>
      <c r="V44" s="412"/>
      <c r="W44" s="146"/>
      <c r="X44" s="146"/>
      <c r="Y44" s="146"/>
      <c r="AD44" s="250"/>
      <c r="AE44" s="653"/>
      <c r="AF44" s="209"/>
      <c r="AG44" s="184"/>
      <c r="AH44" s="184"/>
      <c r="AI44" s="184"/>
      <c r="AJ44" s="157"/>
      <c r="AK44" s="157"/>
      <c r="AL44" s="157"/>
      <c r="AQ44" s="250"/>
      <c r="AR44" s="250"/>
      <c r="AS44" s="653"/>
      <c r="AT44" s="209"/>
      <c r="AU44" s="209"/>
      <c r="AV44" s="412"/>
      <c r="AW44" s="412"/>
      <c r="AX44" s="412"/>
      <c r="AY44" s="157"/>
      <c r="AZ44" s="157"/>
      <c r="BA44" s="157"/>
    </row>
    <row r="45" spans="1:58" x14ac:dyDescent="0.3">
      <c r="G45" s="31">
        <v>22</v>
      </c>
      <c r="H45" s="31">
        <f>G45+273.15</f>
        <v>295.14999999999998</v>
      </c>
      <c r="I45" s="219">
        <f>-LOG10(EXP(LN(10^-14)+13.36*(1/298.15-1/H45)/0.0019872))</f>
        <v>14.099538901686646</v>
      </c>
      <c r="J45" s="92">
        <v>22.66</v>
      </c>
      <c r="O45" s="250"/>
      <c r="P45" s="250"/>
      <c r="Q45" s="653"/>
      <c r="R45" s="209"/>
      <c r="S45" s="209"/>
      <c r="T45" s="412"/>
      <c r="U45" s="412"/>
      <c r="V45" s="412"/>
      <c r="W45" s="146"/>
      <c r="X45" s="146"/>
      <c r="Y45" s="146"/>
      <c r="Z45" s="31">
        <v>7</v>
      </c>
      <c r="AA45" s="31">
        <v>17.37</v>
      </c>
      <c r="AC45" s="31" t="s">
        <v>605</v>
      </c>
      <c r="AD45" s="250">
        <f>(LN(2)/AA45)/(60*60*24)</f>
        <v>4.6186164720992534E-7</v>
      </c>
      <c r="AE45" s="653">
        <f>(LN(2)/AF45)/(60*60*24)</f>
        <v>11.740045926241047</v>
      </c>
      <c r="AF45" s="209">
        <f>EXP(LN(AD45)+J45*(1/H45-1/298.15)/0.001972)</f>
        <v>6.833479922003233E-7</v>
      </c>
      <c r="AG45" s="184"/>
      <c r="AH45" s="184"/>
      <c r="AI45" s="184"/>
      <c r="AJ45" s="157"/>
      <c r="AK45" s="157"/>
      <c r="AL45" s="157"/>
      <c r="AQ45" s="250"/>
      <c r="AR45" s="250"/>
      <c r="AS45" s="653"/>
      <c r="AT45" s="209"/>
      <c r="AU45" s="209"/>
      <c r="AV45" s="412"/>
      <c r="AW45" s="412"/>
      <c r="AX45" s="412"/>
      <c r="AY45" s="157"/>
      <c r="AZ45" s="157"/>
      <c r="BA45" s="157"/>
    </row>
    <row r="46" spans="1:58" x14ac:dyDescent="0.3">
      <c r="G46" s="31">
        <v>22</v>
      </c>
      <c r="H46" s="31">
        <f>G46+273.15</f>
        <v>295.14999999999998</v>
      </c>
      <c r="I46" s="219">
        <f>-LOG10(EXP(LN(10^-14)+13.36*(1/298.15-1/H46)/0.0019872))</f>
        <v>14.099538901686646</v>
      </c>
      <c r="J46" s="92">
        <v>22.66</v>
      </c>
      <c r="O46" s="250"/>
      <c r="P46" s="250"/>
      <c r="Q46" s="653"/>
      <c r="R46" s="209"/>
      <c r="S46" s="209"/>
      <c r="T46" s="412"/>
      <c r="U46" s="412"/>
      <c r="V46" s="412"/>
      <c r="W46" s="146"/>
      <c r="X46" s="146"/>
      <c r="Y46" s="146"/>
      <c r="AD46" s="250"/>
      <c r="AE46" s="653"/>
      <c r="AF46" s="209"/>
      <c r="AG46" s="184"/>
      <c r="AH46" s="184"/>
      <c r="AI46" s="184"/>
      <c r="AJ46" s="157"/>
      <c r="AK46" s="157"/>
      <c r="AL46" s="157"/>
      <c r="AM46" s="31">
        <v>9</v>
      </c>
      <c r="AN46" s="31">
        <v>13.49</v>
      </c>
      <c r="AP46" s="31" t="s">
        <v>605</v>
      </c>
      <c r="AQ46" s="250">
        <f>(LN(2)/AN46)/(60*60*24)*10^(9-AM46)</f>
        <v>5.9470250645192022E-7</v>
      </c>
      <c r="AR46" s="250">
        <f>AQ46*10^($I46-9)</f>
        <v>7.4789162607383053E-2</v>
      </c>
      <c r="AS46" s="653">
        <f>(LN(2)/AT46)/(60*60*24)</f>
        <v>7.2718404572153537</v>
      </c>
      <c r="AT46" s="209">
        <f>AU46*10^(9-14)</f>
        <v>1.1032333367649981E-6</v>
      </c>
      <c r="AU46" s="209">
        <f>EXP(LN(AR46)+J46*(1/H46-1/298.15)/0.0019872)</f>
        <v>0.11032333367649981</v>
      </c>
      <c r="AV46" s="412"/>
      <c r="AW46" s="412"/>
      <c r="AX46" s="412"/>
      <c r="AY46" s="157"/>
      <c r="AZ46" s="157"/>
      <c r="BA46" s="157"/>
    </row>
    <row r="47" spans="1:58" s="16" customFormat="1" ht="15" thickBot="1" x14ac:dyDescent="0.35">
      <c r="A47" s="60"/>
      <c r="B47" s="60"/>
      <c r="C47" s="60"/>
      <c r="D47" s="61"/>
      <c r="E47" s="60"/>
      <c r="F47" s="60"/>
      <c r="G47" s="60"/>
      <c r="H47" s="60"/>
      <c r="I47" s="765"/>
      <c r="J47" s="60"/>
      <c r="K47" s="60"/>
      <c r="L47" s="60"/>
      <c r="M47" s="60"/>
      <c r="N47" s="60"/>
      <c r="O47" s="60"/>
      <c r="P47" s="60"/>
      <c r="Q47" s="766"/>
      <c r="R47" s="765"/>
      <c r="S47" s="765"/>
      <c r="T47" s="60"/>
      <c r="U47" s="60"/>
      <c r="V47" s="60"/>
      <c r="W47" s="60"/>
      <c r="X47" s="60"/>
      <c r="Y47" s="60"/>
      <c r="Z47" s="60"/>
      <c r="AA47" s="60"/>
      <c r="AB47" s="60"/>
      <c r="AC47" s="60"/>
      <c r="AD47" s="60"/>
      <c r="AE47" s="766"/>
      <c r="AF47" s="765"/>
      <c r="AG47" s="60"/>
      <c r="AH47" s="60"/>
      <c r="AI47" s="60"/>
      <c r="AJ47" s="60"/>
      <c r="AK47" s="60"/>
      <c r="AL47" s="60"/>
      <c r="AM47" s="60"/>
      <c r="AN47" s="60"/>
      <c r="AO47" s="60"/>
      <c r="AP47" s="60"/>
      <c r="AQ47" s="60"/>
      <c r="AR47" s="60"/>
      <c r="AS47" s="766"/>
      <c r="AT47" s="765"/>
      <c r="AU47" s="765"/>
      <c r="AV47" s="60"/>
      <c r="AW47" s="60"/>
      <c r="AX47" s="60"/>
      <c r="AY47" s="60"/>
      <c r="AZ47" s="60"/>
      <c r="BA47" s="60"/>
      <c r="BB47" s="190"/>
      <c r="BC47" s="190"/>
      <c r="BD47" s="190"/>
      <c r="BE47" s="60"/>
      <c r="BF47" s="60"/>
    </row>
    <row r="48" spans="1:58" s="1" customFormat="1" x14ac:dyDescent="0.3">
      <c r="A48" s="108"/>
      <c r="B48" s="108"/>
      <c r="C48" s="108"/>
      <c r="D48" s="378"/>
      <c r="E48" s="108"/>
      <c r="F48" s="108"/>
      <c r="G48" s="108"/>
      <c r="H48" s="108"/>
      <c r="I48" s="108"/>
      <c r="J48" s="108"/>
      <c r="K48" s="108"/>
      <c r="L48" s="108"/>
      <c r="M48" s="108"/>
      <c r="N48" s="108"/>
      <c r="O48" s="108"/>
      <c r="P48" s="108"/>
      <c r="Q48" s="176"/>
      <c r="R48" s="108"/>
      <c r="S48" s="108"/>
      <c r="T48" s="108"/>
      <c r="U48" s="108"/>
      <c r="V48" s="108"/>
      <c r="W48" s="108"/>
      <c r="X48" s="108"/>
      <c r="Y48" s="108"/>
      <c r="Z48" s="108"/>
      <c r="AA48" s="108"/>
      <c r="AB48" s="108"/>
      <c r="AC48" s="108" t="s">
        <v>790</v>
      </c>
      <c r="AD48" s="483"/>
      <c r="AE48" s="753">
        <f>AVERAGE(AE5:AE46)</f>
        <v>8.0474970075763395</v>
      </c>
      <c r="AF48" s="590"/>
      <c r="AG48" s="551">
        <f>AVERAGE(AG5:AG46)</f>
        <v>8.6629218273537916</v>
      </c>
      <c r="AH48" s="108" t="s">
        <v>790</v>
      </c>
      <c r="AI48" s="108"/>
      <c r="AJ48" s="108"/>
      <c r="AK48" s="108"/>
      <c r="AL48" s="108"/>
      <c r="AM48" s="108"/>
      <c r="AN48" s="108"/>
      <c r="AO48" s="108"/>
      <c r="AP48" s="108"/>
      <c r="AQ48" s="108"/>
      <c r="AR48" s="108"/>
      <c r="AS48" s="176"/>
      <c r="AT48" s="108"/>
      <c r="AU48" s="108"/>
      <c r="AV48" s="108"/>
      <c r="AW48" s="108"/>
      <c r="AX48" s="108"/>
      <c r="AY48" s="108"/>
      <c r="AZ48" s="108"/>
      <c r="BA48" s="108"/>
      <c r="BB48" s="319"/>
      <c r="BC48" s="319"/>
      <c r="BD48" s="319"/>
      <c r="BE48" s="108"/>
      <c r="BF48" s="108"/>
    </row>
    <row r="49" spans="1:58" s="1" customFormat="1" x14ac:dyDescent="0.3">
      <c r="A49" s="108"/>
      <c r="B49" s="108"/>
      <c r="C49" s="108"/>
      <c r="D49" s="378"/>
      <c r="E49" s="108"/>
      <c r="F49" s="108"/>
      <c r="G49" s="108"/>
      <c r="H49" s="108"/>
      <c r="I49" s="108"/>
      <c r="J49" s="108"/>
      <c r="K49" s="108"/>
      <c r="L49" s="108"/>
      <c r="M49" s="108"/>
      <c r="N49" s="108"/>
      <c r="O49" s="108"/>
      <c r="P49" s="108"/>
      <c r="Q49" s="753">
        <f>AVERAGE(Q6:Q47)</f>
        <v>6.5731205162364921</v>
      </c>
      <c r="R49" s="551"/>
      <c r="S49" s="590"/>
      <c r="T49" s="551">
        <f>AVERAGE(T6:T47)</f>
        <v>9.0288603506848517</v>
      </c>
      <c r="U49" s="108" t="s">
        <v>790</v>
      </c>
      <c r="V49" s="108"/>
      <c r="W49" s="108"/>
      <c r="X49" s="108"/>
      <c r="Y49" s="108"/>
      <c r="Z49" s="108"/>
      <c r="AA49" s="108"/>
      <c r="AB49" s="108"/>
      <c r="AC49" s="108" t="s">
        <v>791</v>
      </c>
      <c r="AD49" s="483"/>
      <c r="AE49" s="753">
        <f>STDEV(AE5:AE46)</f>
        <v>2.1801146424070508</v>
      </c>
      <c r="AF49" s="590"/>
      <c r="AG49" s="551">
        <f>STDEV(AG5:AG46)</f>
        <v>2.6659409189181806</v>
      </c>
      <c r="AH49" s="108" t="s">
        <v>791</v>
      </c>
      <c r="AI49" s="108"/>
      <c r="AJ49" s="108"/>
      <c r="AK49" s="108"/>
      <c r="AL49" s="108"/>
      <c r="AM49" s="108"/>
      <c r="AN49" s="108"/>
      <c r="AO49" s="108"/>
      <c r="AP49" s="108"/>
      <c r="AQ49" s="108" t="s">
        <v>790</v>
      </c>
      <c r="AR49" s="483"/>
      <c r="AS49" s="753">
        <f>AVERAGE(AS6:AS47)</f>
        <v>3.8063942262255499</v>
      </c>
      <c r="AT49" s="590"/>
      <c r="AU49" s="143"/>
      <c r="AV49" s="484">
        <f>AVERAGE(AV6:AV46)</f>
        <v>4.7696654829476319</v>
      </c>
      <c r="AW49" s="108"/>
      <c r="AX49" s="108" t="s">
        <v>790</v>
      </c>
      <c r="AY49" s="108"/>
      <c r="AZ49" s="108"/>
      <c r="BA49" s="108"/>
      <c r="BB49" s="319"/>
      <c r="BC49" s="319"/>
      <c r="BD49" s="319"/>
      <c r="BE49" s="108"/>
      <c r="BF49" s="108"/>
    </row>
    <row r="50" spans="1:58" s="1" customFormat="1" x14ac:dyDescent="0.3">
      <c r="A50" s="108"/>
      <c r="B50" s="108"/>
      <c r="C50" s="108"/>
      <c r="D50" s="378"/>
      <c r="E50" s="108"/>
      <c r="F50" s="108"/>
      <c r="G50" s="108"/>
      <c r="H50" s="108"/>
      <c r="I50" s="108"/>
      <c r="J50" s="108"/>
      <c r="K50" s="108"/>
      <c r="L50" s="108"/>
      <c r="M50" s="108"/>
      <c r="N50" s="108"/>
      <c r="O50" s="108"/>
      <c r="P50" s="108"/>
      <c r="Q50" s="753">
        <f>STDEV(Q6:Q47)</f>
        <v>5.6565842098526709</v>
      </c>
      <c r="R50" s="551"/>
      <c r="S50" s="590"/>
      <c r="T50" s="551">
        <f>STDEV(T6:T47)</f>
        <v>8.0974466244255332</v>
      </c>
      <c r="U50" s="108" t="s">
        <v>791</v>
      </c>
      <c r="V50" s="108"/>
      <c r="W50" s="108"/>
      <c r="X50" s="108"/>
      <c r="Y50" s="108"/>
      <c r="Z50" s="108"/>
      <c r="AA50" s="108"/>
      <c r="AB50" s="108"/>
      <c r="AC50" s="108" t="s">
        <v>800</v>
      </c>
      <c r="AD50" s="483"/>
      <c r="AE50" s="753">
        <f>MEDIAN(AE5:AE46)</f>
        <v>7.2999999999999972</v>
      </c>
      <c r="AF50" s="590"/>
      <c r="AG50" s="551">
        <f>MEDIAN(AG5:AG46)</f>
        <v>7.199999999999994</v>
      </c>
      <c r="AH50" s="108" t="s">
        <v>800</v>
      </c>
      <c r="AI50" s="108"/>
      <c r="AJ50" s="108"/>
      <c r="AK50" s="108"/>
      <c r="AL50" s="108"/>
      <c r="AM50" s="108"/>
      <c r="AN50" s="108"/>
      <c r="AO50" s="108"/>
      <c r="AP50" s="108"/>
      <c r="AQ50" s="108" t="s">
        <v>791</v>
      </c>
      <c r="AR50" s="483"/>
      <c r="AS50" s="753">
        <f>STDEV(AS6:AS47)</f>
        <v>6.0553722203833056</v>
      </c>
      <c r="AT50" s="590"/>
      <c r="AU50" s="143"/>
      <c r="AV50" s="484">
        <f>STDEV(AV6:AV46)</f>
        <v>6.6122104960622732</v>
      </c>
      <c r="AW50" s="108"/>
      <c r="AX50" s="108" t="s">
        <v>791</v>
      </c>
      <c r="AY50" s="108"/>
      <c r="AZ50" s="108"/>
      <c r="BA50" s="108"/>
      <c r="BB50" s="319"/>
      <c r="BC50" s="319"/>
      <c r="BD50" s="319"/>
      <c r="BE50" s="108"/>
      <c r="BF50" s="108"/>
    </row>
    <row r="51" spans="1:58" s="1" customFormat="1" x14ac:dyDescent="0.3">
      <c r="A51" s="108"/>
      <c r="B51" s="108"/>
      <c r="C51" s="108"/>
      <c r="D51" s="378"/>
      <c r="E51" s="108"/>
      <c r="F51" s="108"/>
      <c r="G51" s="108"/>
      <c r="H51" s="108"/>
      <c r="I51" s="108"/>
      <c r="J51" s="108"/>
      <c r="K51" s="108"/>
      <c r="L51" s="108"/>
      <c r="M51" s="108"/>
      <c r="N51" s="108"/>
      <c r="O51" s="108"/>
      <c r="P51" s="108"/>
      <c r="Q51" s="753">
        <f>MEDIAN(Q6:Q47)</f>
        <v>4.7</v>
      </c>
      <c r="R51" s="551"/>
      <c r="S51" s="590"/>
      <c r="T51" s="551">
        <f>MEDIAN(T6:T47)</f>
        <v>4.4682006581378992</v>
      </c>
      <c r="U51" s="108" t="s">
        <v>800</v>
      </c>
      <c r="V51" s="108"/>
      <c r="W51" s="108"/>
      <c r="X51" s="108"/>
      <c r="Y51" s="108"/>
      <c r="Z51" s="108"/>
      <c r="AA51" s="108"/>
      <c r="AB51" s="108"/>
      <c r="AC51" s="108" t="s">
        <v>789</v>
      </c>
      <c r="AD51" s="483"/>
      <c r="AE51" s="753">
        <f>COUNT(AE5:AE46)</f>
        <v>5</v>
      </c>
      <c r="AF51" s="590"/>
      <c r="AG51" s="552">
        <f>COUNT(AG5:AG46)</f>
        <v>3</v>
      </c>
      <c r="AH51" s="108" t="s">
        <v>789</v>
      </c>
      <c r="AI51" s="108"/>
      <c r="AJ51" s="108"/>
      <c r="AK51" s="108"/>
      <c r="AL51" s="108"/>
      <c r="AM51" s="108"/>
      <c r="AN51" s="108"/>
      <c r="AO51" s="108"/>
      <c r="AP51" s="108"/>
      <c r="AQ51" s="108" t="s">
        <v>800</v>
      </c>
      <c r="AR51" s="483"/>
      <c r="AS51" s="753">
        <f>MEDIAN(AS6:AS47)</f>
        <v>0.73299999999999998</v>
      </c>
      <c r="AT51" s="590"/>
      <c r="AU51" s="143"/>
      <c r="AV51" s="484">
        <f>MEDIAN(AV6:AV47)</f>
        <v>0.72276105811004454</v>
      </c>
      <c r="AW51" s="108"/>
      <c r="AX51" s="108" t="s">
        <v>800</v>
      </c>
      <c r="AY51" s="108"/>
      <c r="AZ51" s="108"/>
      <c r="BA51" s="108"/>
      <c r="BB51" s="319"/>
      <c r="BC51" s="319"/>
      <c r="BD51" s="319"/>
      <c r="BE51" s="108"/>
      <c r="BF51" s="108"/>
    </row>
    <row r="52" spans="1:58" s="1" customFormat="1" x14ac:dyDescent="0.3">
      <c r="A52" s="108"/>
      <c r="B52" s="108"/>
      <c r="C52" s="108"/>
      <c r="D52" s="378"/>
      <c r="E52" s="108"/>
      <c r="F52" s="108"/>
      <c r="G52" s="108"/>
      <c r="H52" s="108"/>
      <c r="I52" s="108"/>
      <c r="J52" s="108"/>
      <c r="K52" s="108"/>
      <c r="L52" s="108"/>
      <c r="M52" s="108"/>
      <c r="N52" s="108"/>
      <c r="O52" s="108"/>
      <c r="P52" s="108"/>
      <c r="Q52" s="753">
        <f>COUNT(Q6:Q47)</f>
        <v>13</v>
      </c>
      <c r="R52" s="552"/>
      <c r="S52" s="590"/>
      <c r="T52" s="552">
        <f>COUNT(T6:T47)</f>
        <v>3</v>
      </c>
      <c r="U52" s="108" t="s">
        <v>789</v>
      </c>
      <c r="V52" s="108"/>
      <c r="W52" s="108"/>
      <c r="X52" s="108"/>
      <c r="Y52" s="108"/>
      <c r="Z52" s="108"/>
      <c r="AA52" s="108"/>
      <c r="AB52" s="108"/>
      <c r="AC52" s="108" t="s">
        <v>787</v>
      </c>
      <c r="AD52" s="483"/>
      <c r="AE52" s="753">
        <f>MIN(AE5:AE46)</f>
        <v>6.0676317036265441</v>
      </c>
      <c r="AF52" s="551"/>
      <c r="AG52" s="551">
        <f>MIN(AG5:AG46)</f>
        <v>7.0487195558203313</v>
      </c>
      <c r="AH52" s="108" t="s">
        <v>787</v>
      </c>
      <c r="AI52" s="108"/>
      <c r="AJ52" s="108"/>
      <c r="AK52" s="108"/>
      <c r="AL52" s="108"/>
      <c r="AM52" s="108"/>
      <c r="AN52" s="108"/>
      <c r="AO52" s="108"/>
      <c r="AP52" s="108"/>
      <c r="AQ52" s="108" t="s">
        <v>789</v>
      </c>
      <c r="AR52" s="483"/>
      <c r="AS52" s="753">
        <f>COUNT(AS6:AS47)</f>
        <v>11</v>
      </c>
      <c r="AT52" s="590"/>
      <c r="AU52" s="425"/>
      <c r="AV52" s="30">
        <f>COUNT(AV6:AV47)</f>
        <v>5</v>
      </c>
      <c r="AW52" s="108"/>
      <c r="AX52" s="108" t="s">
        <v>789</v>
      </c>
      <c r="AY52" s="108"/>
      <c r="AZ52" s="108"/>
      <c r="BA52" s="108"/>
      <c r="BB52" s="319"/>
      <c r="BC52" s="319"/>
      <c r="BD52" s="319"/>
      <c r="BE52" s="108"/>
      <c r="BF52" s="108"/>
    </row>
    <row r="53" spans="1:58" s="1" customFormat="1" x14ac:dyDescent="0.3">
      <c r="A53" s="108"/>
      <c r="B53" s="108"/>
      <c r="C53" s="108"/>
      <c r="D53" s="378"/>
      <c r="E53" s="108"/>
      <c r="F53" s="108"/>
      <c r="G53" s="108"/>
      <c r="H53" s="108"/>
      <c r="I53" s="108"/>
      <c r="J53" s="108"/>
      <c r="K53" s="108"/>
      <c r="L53" s="108"/>
      <c r="M53" s="108"/>
      <c r="N53" s="108"/>
      <c r="O53" s="108"/>
      <c r="P53" s="108"/>
      <c r="Q53" s="753">
        <f>MIN(Q6:Q47)</f>
        <v>2.6506235449007103</v>
      </c>
      <c r="R53" s="551"/>
      <c r="S53" s="551"/>
      <c r="T53" s="551">
        <f>MIN(T6:T47)</f>
        <v>4.2403197630061227</v>
      </c>
      <c r="U53" s="108" t="s">
        <v>787</v>
      </c>
      <c r="V53" s="108"/>
      <c r="W53" s="108"/>
      <c r="X53" s="108"/>
      <c r="Y53" s="108"/>
      <c r="Z53" s="108"/>
      <c r="AA53" s="108"/>
      <c r="AB53" s="108"/>
      <c r="AC53" s="108" t="s">
        <v>788</v>
      </c>
      <c r="AD53" s="483"/>
      <c r="AE53" s="753">
        <f>MAX(AE5:AE46)</f>
        <v>11.740045926241047</v>
      </c>
      <c r="AF53" s="551"/>
      <c r="AG53" s="551">
        <f>MAX(AG5:AG46)</f>
        <v>11.740045926241047</v>
      </c>
      <c r="AH53" s="108" t="s">
        <v>788</v>
      </c>
      <c r="AI53" s="108"/>
      <c r="AJ53" s="108"/>
      <c r="AK53" s="108"/>
      <c r="AL53" s="108"/>
      <c r="AM53" s="108"/>
      <c r="AN53" s="108"/>
      <c r="AO53" s="108"/>
      <c r="AP53" s="108"/>
      <c r="AQ53" s="108" t="s">
        <v>787</v>
      </c>
      <c r="AR53" s="483"/>
      <c r="AS53" s="753">
        <f>MIN(AS6:AS47)</f>
        <v>0.14984792301332686</v>
      </c>
      <c r="AT53" s="551"/>
      <c r="AU53" s="143"/>
      <c r="AV53" s="484">
        <f>MIN(AV6:AV46)</f>
        <v>0.2064909260469876</v>
      </c>
      <c r="AW53" s="108"/>
      <c r="AX53" s="108" t="s">
        <v>787</v>
      </c>
      <c r="AY53" s="108"/>
      <c r="AZ53" s="108"/>
      <c r="BA53" s="108"/>
      <c r="BB53" s="319"/>
      <c r="BC53" s="319"/>
      <c r="BD53" s="319"/>
      <c r="BE53" s="108"/>
      <c r="BF53" s="108"/>
    </row>
    <row r="54" spans="1:58" s="1" customFormat="1" x14ac:dyDescent="0.3">
      <c r="A54" s="108"/>
      <c r="B54" s="108"/>
      <c r="C54" s="108"/>
      <c r="D54" s="378"/>
      <c r="E54" s="108"/>
      <c r="F54" s="108"/>
      <c r="G54" s="108"/>
      <c r="H54" s="108"/>
      <c r="I54" s="108"/>
      <c r="J54" s="108"/>
      <c r="K54" s="108"/>
      <c r="L54" s="108"/>
      <c r="M54" s="108"/>
      <c r="N54" s="108"/>
      <c r="O54" s="108"/>
      <c r="P54" s="108"/>
      <c r="Q54" s="753">
        <f>MAX(Q6:Q47)</f>
        <v>22.705310858776649</v>
      </c>
      <c r="R54" s="551"/>
      <c r="S54" s="551"/>
      <c r="T54" s="551">
        <f>MAX(T6:T47)</f>
        <v>18.378060630910532</v>
      </c>
      <c r="U54" s="108" t="s">
        <v>788</v>
      </c>
      <c r="V54" s="108"/>
      <c r="W54" s="108"/>
      <c r="X54" s="108"/>
      <c r="Y54" s="108"/>
      <c r="Z54" s="108"/>
      <c r="AA54" s="108"/>
      <c r="AB54" s="108"/>
      <c r="AC54" s="108"/>
      <c r="AD54" s="108"/>
      <c r="AE54" s="176"/>
      <c r="AF54" s="108"/>
      <c r="AG54" s="108"/>
      <c r="AH54" s="108"/>
      <c r="AI54" s="108"/>
      <c r="AJ54" s="108"/>
      <c r="AK54" s="108"/>
      <c r="AL54" s="108"/>
      <c r="AM54" s="108"/>
      <c r="AN54" s="108"/>
      <c r="AO54" s="108"/>
      <c r="AP54" s="108"/>
      <c r="AQ54" s="108" t="s">
        <v>788</v>
      </c>
      <c r="AR54" s="483"/>
      <c r="AS54" s="753">
        <f>MAX(AS6:AS47)</f>
        <v>15.852803280064887</v>
      </c>
      <c r="AT54" s="551"/>
      <c r="AU54" s="143"/>
      <c r="AV54" s="484">
        <f>MAX(AV6:AV46)</f>
        <v>15.332651640032442</v>
      </c>
      <c r="AW54" s="108"/>
      <c r="AX54" s="108" t="s">
        <v>788</v>
      </c>
      <c r="AY54" s="108"/>
      <c r="AZ54" s="108"/>
      <c r="BA54" s="108"/>
      <c r="BB54" s="319"/>
      <c r="BC54" s="319"/>
      <c r="BD54" s="319"/>
      <c r="BE54" s="108"/>
      <c r="BF54" s="108"/>
    </row>
    <row r="55" spans="1:58" x14ac:dyDescent="0.3">
      <c r="Q55" s="175"/>
      <c r="AE55" s="175"/>
      <c r="AS55" s="175"/>
      <c r="AU55" s="843" t="s">
        <v>1276</v>
      </c>
      <c r="AV55" s="157">
        <f>QUARTILE(AV$6:AV47,3)-QUARTILE(AV$6:AV47,1)</f>
        <v>6.9572571238820204</v>
      </c>
      <c r="AW55" s="119"/>
    </row>
    <row r="56" spans="1:58" x14ac:dyDescent="0.3">
      <c r="Q56" s="175"/>
      <c r="AE56" s="175"/>
      <c r="AS56" s="175"/>
      <c r="AU56" s="843" t="s">
        <v>1277</v>
      </c>
      <c r="AV56" s="157">
        <f>MAX(AV51-2*AV55,0)</f>
        <v>0</v>
      </c>
      <c r="AW56" s="844" t="str">
        <f>IF(AV53&lt;AV56,"Outlier Flag","")</f>
        <v/>
      </c>
    </row>
    <row r="57" spans="1:58" x14ac:dyDescent="0.3">
      <c r="Q57" s="175"/>
      <c r="AE57" s="175"/>
      <c r="AS57" s="175"/>
      <c r="AU57" s="843" t="s">
        <v>1278</v>
      </c>
      <c r="AV57" s="157">
        <f>AV51+2.2*AV55</f>
        <v>16.02872673065049</v>
      </c>
      <c r="AW57" s="844" t="str">
        <f>IF(AV54&gt;AV57,"Outlier Flag","")</f>
        <v/>
      </c>
    </row>
    <row r="58" spans="1:58" x14ac:dyDescent="0.3">
      <c r="Q58" s="175"/>
      <c r="AE58" s="175"/>
      <c r="AS58" s="175"/>
    </row>
    <row r="59" spans="1:58" x14ac:dyDescent="0.3">
      <c r="Q59" s="175"/>
      <c r="AE59" s="175"/>
      <c r="AS59" s="175"/>
    </row>
    <row r="60" spans="1:58" x14ac:dyDescent="0.3">
      <c r="Q60" s="175"/>
      <c r="AE60" s="175"/>
      <c r="AS60" s="175"/>
    </row>
  </sheetData>
  <sheetProtection formatCells="0" formatColumns="0" formatRows="0" insertColumns="0" insertRows="0" insertHyperlinks="0" deleteColumns="0" deleteRows="0" sort="0"/>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40"/>
  <sheetViews>
    <sheetView zoomScaleNormal="100" workbookViewId="0">
      <selection sqref="A1:B1"/>
    </sheetView>
  </sheetViews>
  <sheetFormatPr defaultRowHeight="14.4" x14ac:dyDescent="0.3"/>
  <cols>
    <col min="1" max="1" width="3.6640625" style="31" customWidth="1"/>
    <col min="2" max="2" width="26.109375" style="31" bestFit="1" customWidth="1"/>
    <col min="3" max="3" width="23.109375" style="31" customWidth="1"/>
    <col min="4" max="4" width="30.109375" style="40" customWidth="1"/>
    <col min="5" max="5" width="59.6640625" style="31" customWidth="1"/>
    <col min="6" max="6" width="32.6640625" style="31" customWidth="1"/>
    <col min="7" max="8" width="12.33203125" style="31" customWidth="1"/>
    <col min="9" max="9" width="8.88671875" style="31"/>
    <col min="10" max="10" width="9.44140625" style="31" bestFit="1" customWidth="1"/>
    <col min="11" max="11" width="8.88671875" style="31"/>
    <col min="12" max="12" width="10.5546875" style="31" customWidth="1"/>
    <col min="13" max="13" width="11.5546875" style="31" customWidth="1"/>
    <col min="14" max="14" width="11.88671875" style="31" customWidth="1"/>
    <col min="15" max="15" width="10.33203125" style="250" customWidth="1"/>
    <col min="16" max="16" width="12.6640625" style="250" bestFit="1" customWidth="1"/>
    <col min="17" max="17" width="9.109375" style="583"/>
    <col min="18" max="18" width="10.33203125" style="586" customWidth="1"/>
    <col min="19" max="19" width="12.6640625" style="586" bestFit="1" customWidth="1"/>
    <col min="20" max="20" width="9.88671875" style="412" customWidth="1"/>
    <col min="21" max="22" width="9.109375" style="412"/>
    <col min="23" max="23" width="15.6640625" style="146" customWidth="1"/>
    <col min="24" max="24" width="15" style="146" customWidth="1"/>
    <col min="25" max="25" width="18.6640625" style="146" customWidth="1"/>
    <col min="26" max="27" width="8.88671875" style="31"/>
    <col min="28" max="28" width="11.44140625" style="31" customWidth="1"/>
    <col min="29" max="29" width="10.33203125" style="31" customWidth="1"/>
    <col min="30" max="30" width="15.44140625" style="250" bestFit="1" customWidth="1"/>
    <col min="31" max="31" width="10.109375" style="583" customWidth="1"/>
    <col min="32" max="32" width="10.5546875" style="583" customWidth="1"/>
    <col min="33" max="35" width="9.109375" style="184"/>
    <col min="36" max="36" width="16.5546875" style="157" customWidth="1"/>
    <col min="37" max="37" width="16.33203125" style="157" customWidth="1"/>
    <col min="38" max="38" width="27.33203125" style="157" customWidth="1"/>
    <col min="39" max="39" width="8.88671875" style="31"/>
    <col min="40" max="40" width="10.33203125" style="31" customWidth="1"/>
    <col min="41" max="41" width="11.6640625" style="31" customWidth="1"/>
    <col min="42" max="42" width="10.6640625" style="31" customWidth="1"/>
    <col min="43" max="43" width="10.109375" style="250" customWidth="1"/>
    <col min="44" max="44" width="12.33203125" style="250" bestFit="1" customWidth="1"/>
    <col min="45" max="45" width="10" style="31" customWidth="1"/>
    <col min="46" max="46" width="10.44140625" style="103" customWidth="1"/>
    <col min="47" max="47" width="12.33203125" style="103" bestFit="1" customWidth="1"/>
    <col min="48" max="50" width="10.33203125" style="129" customWidth="1"/>
    <col min="51" max="52" width="15" style="31" customWidth="1"/>
    <col min="53" max="53" width="14.88671875" style="31" customWidth="1"/>
    <col min="54" max="54" width="16.33203125" style="185" bestFit="1" customWidth="1"/>
    <col min="55" max="55" width="16.5546875" style="185" bestFit="1" customWidth="1"/>
    <col min="56" max="56" width="9.109375" style="185"/>
    <col min="57" max="58" width="8.88671875" style="31"/>
  </cols>
  <sheetData>
    <row r="1" spans="1:58" x14ac:dyDescent="0.3">
      <c r="A1" s="899" t="s">
        <v>84</v>
      </c>
      <c r="B1" s="899"/>
      <c r="D1" s="32"/>
      <c r="I1" s="583"/>
      <c r="J1" s="92"/>
      <c r="K1" s="108" t="s">
        <v>626</v>
      </c>
      <c r="O1" s="86" t="s">
        <v>601</v>
      </c>
      <c r="P1" s="87"/>
      <c r="Q1" s="583" t="s">
        <v>602</v>
      </c>
      <c r="T1" s="118"/>
      <c r="U1" s="118"/>
      <c r="V1" s="118"/>
      <c r="W1" s="587"/>
      <c r="X1" s="587"/>
      <c r="Y1" s="587"/>
      <c r="Z1" s="108" t="s">
        <v>89</v>
      </c>
      <c r="AD1" s="87" t="s">
        <v>601</v>
      </c>
      <c r="AE1" s="583" t="s">
        <v>602</v>
      </c>
      <c r="AF1" s="586"/>
      <c r="AG1" s="156"/>
      <c r="AH1" s="156"/>
      <c r="AI1" s="156"/>
      <c r="AJ1" s="587"/>
      <c r="AK1" s="587"/>
      <c r="AL1" s="587"/>
      <c r="AM1" s="108" t="s">
        <v>627</v>
      </c>
      <c r="AQ1" s="86" t="s">
        <v>601</v>
      </c>
      <c r="AR1" s="86"/>
      <c r="AS1" s="583" t="s">
        <v>602</v>
      </c>
      <c r="AT1" s="586"/>
      <c r="AU1" s="586"/>
      <c r="AV1" s="118"/>
      <c r="AW1" s="118"/>
      <c r="AX1" s="118"/>
      <c r="AY1" s="587"/>
      <c r="AZ1" s="587"/>
      <c r="BA1" s="587"/>
    </row>
    <row r="2" spans="1:58" x14ac:dyDescent="0.3">
      <c r="D2" s="32"/>
      <c r="G2" s="584"/>
      <c r="H2" s="584"/>
      <c r="I2" s="583"/>
      <c r="J2" s="92"/>
      <c r="K2" s="108"/>
      <c r="O2" s="588" t="s">
        <v>603</v>
      </c>
      <c r="P2" s="589"/>
      <c r="Q2" s="590" t="s">
        <v>603</v>
      </c>
      <c r="R2" s="590" t="s">
        <v>603</v>
      </c>
      <c r="S2" s="590"/>
      <c r="T2" s="591" t="s">
        <v>801</v>
      </c>
      <c r="U2" s="591"/>
      <c r="V2" s="591"/>
      <c r="W2" s="592"/>
      <c r="X2" s="592"/>
      <c r="Y2" s="592"/>
      <c r="AD2" s="589"/>
      <c r="AF2" s="590"/>
      <c r="AG2" s="593" t="s">
        <v>801</v>
      </c>
      <c r="AH2" s="593"/>
      <c r="AI2" s="593"/>
      <c r="AJ2" s="592"/>
      <c r="AK2" s="592"/>
      <c r="AL2" s="592"/>
      <c r="AM2" s="108"/>
      <c r="AQ2" s="588" t="s">
        <v>604</v>
      </c>
      <c r="AR2" s="588"/>
      <c r="AS2" s="590" t="s">
        <v>604</v>
      </c>
      <c r="AT2" s="590" t="s">
        <v>604</v>
      </c>
      <c r="AU2" s="590"/>
      <c r="AV2" s="591" t="s">
        <v>801</v>
      </c>
      <c r="AW2" s="591"/>
      <c r="AX2" s="591"/>
      <c r="AY2" s="592"/>
      <c r="AZ2" s="592"/>
      <c r="BA2" s="592"/>
    </row>
    <row r="3" spans="1:58" ht="43.2" x14ac:dyDescent="0.3">
      <c r="B3" s="108" t="s">
        <v>1</v>
      </c>
      <c r="C3" s="108" t="s">
        <v>2</v>
      </c>
      <c r="D3" s="378" t="s">
        <v>930</v>
      </c>
      <c r="E3" s="108" t="s">
        <v>5</v>
      </c>
      <c r="F3" s="108" t="s">
        <v>7</v>
      </c>
      <c r="G3" s="594" t="s">
        <v>1176</v>
      </c>
      <c r="H3" s="594" t="s">
        <v>1176</v>
      </c>
      <c r="I3" s="740" t="s">
        <v>593</v>
      </c>
      <c r="J3" s="533"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row>
    <row r="4" spans="1:58" x14ac:dyDescent="0.3">
      <c r="D4" s="32"/>
      <c r="G4" s="33" t="s">
        <v>85</v>
      </c>
      <c r="H4" s="33" t="s">
        <v>522</v>
      </c>
      <c r="I4" s="595"/>
      <c r="J4" s="601" t="s">
        <v>595</v>
      </c>
      <c r="L4" s="31" t="s">
        <v>88</v>
      </c>
      <c r="O4" s="86" t="s">
        <v>596</v>
      </c>
      <c r="P4" s="87" t="s">
        <v>597</v>
      </c>
      <c r="Q4" s="583" t="s">
        <v>88</v>
      </c>
      <c r="R4" s="586" t="s">
        <v>596</v>
      </c>
      <c r="S4" s="586" t="s">
        <v>597</v>
      </c>
      <c r="T4" s="117" t="s">
        <v>88</v>
      </c>
      <c r="U4" s="117" t="s">
        <v>88</v>
      </c>
      <c r="V4" s="117" t="s">
        <v>88</v>
      </c>
      <c r="W4" s="592"/>
      <c r="X4" s="592"/>
      <c r="Y4" s="592"/>
      <c r="AA4" s="31" t="s">
        <v>88</v>
      </c>
      <c r="AD4" s="87" t="s">
        <v>596</v>
      </c>
      <c r="AE4" s="583" t="s">
        <v>88</v>
      </c>
      <c r="AF4" s="586" t="s">
        <v>596</v>
      </c>
      <c r="AG4" s="292" t="s">
        <v>88</v>
      </c>
      <c r="AH4" s="292" t="s">
        <v>88</v>
      </c>
      <c r="AI4" s="292" t="s">
        <v>88</v>
      </c>
      <c r="AJ4" s="602"/>
      <c r="AK4" s="602"/>
      <c r="AL4" s="602"/>
      <c r="AN4" s="31" t="s">
        <v>88</v>
      </c>
      <c r="AQ4" s="86" t="s">
        <v>596</v>
      </c>
      <c r="AR4" s="86" t="s">
        <v>597</v>
      </c>
      <c r="AS4" s="583" t="s">
        <v>88</v>
      </c>
      <c r="AT4" s="586" t="s">
        <v>596</v>
      </c>
      <c r="AU4" s="586" t="s">
        <v>597</v>
      </c>
      <c r="AV4" s="302" t="s">
        <v>88</v>
      </c>
      <c r="AW4" s="302" t="s">
        <v>88</v>
      </c>
      <c r="AX4" s="302" t="s">
        <v>88</v>
      </c>
      <c r="AY4" s="602"/>
      <c r="AZ4" s="602"/>
      <c r="BA4" s="648"/>
      <c r="BB4" s="319"/>
      <c r="BC4" s="192"/>
      <c r="BD4" s="603"/>
    </row>
    <row r="5" spans="1:58" x14ac:dyDescent="0.3">
      <c r="A5" s="242"/>
      <c r="B5" s="57"/>
      <c r="C5" s="440"/>
      <c r="D5" s="441"/>
      <c r="E5" s="760"/>
      <c r="F5" s="520"/>
      <c r="I5" s="595"/>
      <c r="J5" s="92"/>
      <c r="AS5" s="583"/>
      <c r="AT5" s="586"/>
      <c r="AU5" s="586"/>
      <c r="AV5" s="412"/>
      <c r="AW5" s="412"/>
      <c r="AX5" s="412"/>
    </row>
    <row r="6" spans="1:58" x14ac:dyDescent="0.3">
      <c r="A6" s="31">
        <v>1</v>
      </c>
      <c r="B6" s="31" t="s">
        <v>659</v>
      </c>
      <c r="C6" s="31" t="s">
        <v>660</v>
      </c>
      <c r="D6" s="32" t="s">
        <v>1077</v>
      </c>
      <c r="E6" s="351" t="s">
        <v>664</v>
      </c>
      <c r="G6" s="31">
        <v>25</v>
      </c>
      <c r="H6" s="31">
        <f t="shared" ref="H6:H11" si="0">G6+273.15</f>
        <v>298.14999999999998</v>
      </c>
      <c r="I6" s="717">
        <f t="shared" ref="I6:I11" si="1">-LOG10(EXP(LN(10^-14)+13.36*(1/298.15-1/H6)/0.0019872))</f>
        <v>14</v>
      </c>
      <c r="J6" s="92">
        <v>17.5</v>
      </c>
      <c r="K6" s="31">
        <v>4</v>
      </c>
      <c r="L6" s="31">
        <v>32.5</v>
      </c>
      <c r="N6" s="31" t="s">
        <v>605</v>
      </c>
      <c r="O6" s="250">
        <f>(LN(2)/L6)/(24*60*60)*10^(K6-5)</f>
        <v>2.4684728652419708E-8</v>
      </c>
      <c r="P6" s="250">
        <f>(LN(2)/L6)/(60*60*24)*10^K6</f>
        <v>2.4684728652419707E-3</v>
      </c>
      <c r="Q6" s="653">
        <f>(LN(2)/R6)/(60*60*24)</f>
        <v>324.99999999999989</v>
      </c>
      <c r="R6" s="209">
        <f>S6*10^-5</f>
        <v>2.4684728652419714E-8</v>
      </c>
      <c r="S6" s="209">
        <f>EXP(LN(P6)+$J6*(1/$H6-1/298.15)/0.0019872)</f>
        <v>2.4684728652419712E-3</v>
      </c>
      <c r="T6" s="412">
        <f>AVERAGE(Q6:Q10)</f>
        <v>391.38360356832555</v>
      </c>
      <c r="U6" s="412">
        <f>MEDIAN(Q6:Q11)</f>
        <v>324.99999999999989</v>
      </c>
      <c r="V6" s="412">
        <f>STDEV(Q6:Q10)</f>
        <v>146.3076647962335</v>
      </c>
      <c r="W6" s="151" t="s">
        <v>1086</v>
      </c>
      <c r="X6" s="151" t="s">
        <v>1087</v>
      </c>
      <c r="Y6" s="151" t="s">
        <v>1088</v>
      </c>
      <c r="Z6" s="31">
        <v>7</v>
      </c>
      <c r="AA6" s="31">
        <v>8.6</v>
      </c>
      <c r="AC6" s="31" t="s">
        <v>605</v>
      </c>
      <c r="AD6" s="250">
        <f>(LN(2)/AA6)/(60*60*24)</f>
        <v>9.3285311767865156E-7</v>
      </c>
      <c r="AE6" s="653">
        <f>(LN(2)/AF6)/(60*60*24)</f>
        <v>8.5999999999999961</v>
      </c>
      <c r="AF6" s="209">
        <f>EXP(LN(AD6)+$J6*(1/$H6-1/298.15)/0.0019872)</f>
        <v>9.3285311767865208E-7</v>
      </c>
      <c r="AG6" s="412">
        <f>AVERAGE(AE6:AE12)</f>
        <v>7.515809981099312</v>
      </c>
      <c r="AH6" s="412">
        <f>MEDIAN(AE6:AE11)</f>
        <v>7.8551422636855257</v>
      </c>
      <c r="AI6" s="412">
        <f>STDEV(AE6:AE11)</f>
        <v>1.2878334787385366</v>
      </c>
      <c r="AJ6" s="151" t="s">
        <v>1086</v>
      </c>
      <c r="AK6" s="151" t="s">
        <v>1087</v>
      </c>
      <c r="AL6" s="151" t="s">
        <v>1088</v>
      </c>
      <c r="AM6" s="31">
        <v>9</v>
      </c>
      <c r="AN6" s="31">
        <v>0.32</v>
      </c>
      <c r="AP6" s="31" t="s">
        <v>605</v>
      </c>
      <c r="AQ6" s="250">
        <f>(LN(2)/AN6)/(24*60*60)*10^(9-AM6)</f>
        <v>2.5070427537613763E-5</v>
      </c>
      <c r="AR6" s="250">
        <f>AQ6*10^($I6-9)</f>
        <v>2.5070427537613762</v>
      </c>
      <c r="AS6" s="682">
        <f>(LN(2)/AT6)/(60*60*24)</f>
        <v>0.32</v>
      </c>
      <c r="AT6" s="209">
        <f>AU6*10^(9-14)</f>
        <v>2.5070427537613763E-5</v>
      </c>
      <c r="AU6" s="209">
        <f>EXP(LN(AR6)+$J6*(1/$H6-1/298.15)/0.0019872)</f>
        <v>2.5070427537613762</v>
      </c>
      <c r="AV6" s="412">
        <f>AVERAGE(AS6:AS11)</f>
        <v>0.32526859251121415</v>
      </c>
      <c r="AW6" s="412">
        <f>MEDIAN(AS6:AS10)</f>
        <v>0.32526859251121415</v>
      </c>
      <c r="AX6" s="412">
        <f>STDEV(AS6:AS9)</f>
        <v>7.4509149839763643E-3</v>
      </c>
      <c r="AY6" s="151" t="s">
        <v>1086</v>
      </c>
      <c r="AZ6" s="151" t="s">
        <v>1087</v>
      </c>
      <c r="BA6" s="151" t="s">
        <v>1088</v>
      </c>
      <c r="BB6" s="28"/>
      <c r="BC6" s="28"/>
    </row>
    <row r="7" spans="1:58" x14ac:dyDescent="0.3">
      <c r="D7" s="32"/>
      <c r="G7" s="31">
        <v>20</v>
      </c>
      <c r="H7" s="31">
        <f t="shared" si="0"/>
        <v>293.14999999999998</v>
      </c>
      <c r="I7" s="717">
        <f t="shared" si="1"/>
        <v>14.167030000755094</v>
      </c>
      <c r="J7" s="92">
        <v>17.5</v>
      </c>
      <c r="K7" s="31">
        <v>4</v>
      </c>
      <c r="L7" s="31">
        <v>48</v>
      </c>
      <c r="N7" s="31" t="s">
        <v>605</v>
      </c>
      <c r="O7" s="250">
        <f>(LN(2)/L7)/(24*60*60)*10^(K7-5)</f>
        <v>1.6713618358409174E-8</v>
      </c>
      <c r="P7" s="250">
        <f>(LN(2)/L7)/(60*60*24)*10^K7</f>
        <v>1.6713618358409174E-3</v>
      </c>
      <c r="Q7" s="653">
        <f>(LN(2)/R7)/(60*60*24)</f>
        <v>290.03602204377302</v>
      </c>
      <c r="R7" s="209">
        <f>S7*10^-5</f>
        <v>2.7660484223665227E-8</v>
      </c>
      <c r="S7" s="209">
        <f>EXP(LN(P7)+$J7*(1/$H7-1/298.15)/0.0019872)</f>
        <v>2.7660484223665225E-3</v>
      </c>
      <c r="AE7" s="653"/>
      <c r="AF7" s="208"/>
      <c r="AS7" s="682"/>
      <c r="AT7" s="209"/>
      <c r="AU7" s="209"/>
      <c r="AV7" s="412"/>
      <c r="AW7" s="412"/>
      <c r="AX7" s="412"/>
      <c r="BB7" s="28"/>
      <c r="BC7" s="28"/>
    </row>
    <row r="8" spans="1:58" x14ac:dyDescent="0.3">
      <c r="D8" s="32"/>
      <c r="G8" s="31">
        <v>20</v>
      </c>
      <c r="H8" s="31">
        <f t="shared" si="0"/>
        <v>293.14999999999998</v>
      </c>
      <c r="I8" s="717">
        <f t="shared" si="1"/>
        <v>14.167030000755094</v>
      </c>
      <c r="J8" s="92">
        <v>17.5</v>
      </c>
      <c r="Q8" s="653"/>
      <c r="R8" s="209"/>
      <c r="S8" s="209"/>
      <c r="Z8" s="31">
        <v>7</v>
      </c>
      <c r="AA8" s="31">
        <v>13</v>
      </c>
      <c r="AC8" s="31" t="s">
        <v>605</v>
      </c>
      <c r="AD8" s="250">
        <f>(LN(2)/AA8)/(60*60*24)</f>
        <v>6.1711821631049263E-7</v>
      </c>
      <c r="AE8" s="653">
        <f>(LN(2)/AF8)/(60*60*24)</f>
        <v>7.8551422636855257</v>
      </c>
      <c r="AF8" s="209">
        <f>EXP(LN(AD8)+J8*(1/H8-1/298.15)/0.0019872)</f>
        <v>1.021310186719946E-6</v>
      </c>
      <c r="AS8" s="682"/>
      <c r="AT8" s="209"/>
      <c r="AU8" s="209"/>
      <c r="AV8" s="412"/>
      <c r="AW8" s="412"/>
      <c r="AX8" s="412"/>
      <c r="BB8" s="28"/>
      <c r="BC8" s="28"/>
    </row>
    <row r="9" spans="1:58" ht="15" customHeight="1" x14ac:dyDescent="0.3">
      <c r="D9" s="32"/>
      <c r="G9" s="31">
        <v>30</v>
      </c>
      <c r="H9" s="31">
        <f t="shared" si="0"/>
        <v>303.14999999999998</v>
      </c>
      <c r="I9" s="717">
        <f t="shared" si="1"/>
        <v>13.838479812893434</v>
      </c>
      <c r="J9" s="92">
        <v>17.5</v>
      </c>
      <c r="Q9" s="653"/>
      <c r="R9" s="209"/>
      <c r="S9" s="209"/>
      <c r="AE9" s="653"/>
      <c r="AF9" s="209"/>
      <c r="AM9" s="31">
        <v>9</v>
      </c>
      <c r="AN9" s="31">
        <v>0.14000000000000001</v>
      </c>
      <c r="AP9" s="31" t="s">
        <v>605</v>
      </c>
      <c r="AQ9" s="250">
        <f>(LN(2)/AN9)/(24*60*60)*10^(9-AM9)</f>
        <v>5.7303834371688592E-5</v>
      </c>
      <c r="AR9" s="250">
        <f>AQ9*10^($I9-9)</f>
        <v>3.9506039695976622</v>
      </c>
      <c r="AS9" s="682">
        <f>(LN(2)/AT9)/(60*60*24)</f>
        <v>0.33053718502242829</v>
      </c>
      <c r="AT9" s="209">
        <f>AU9*10^(9-14)</f>
        <v>2.4271208128949369E-5</v>
      </c>
      <c r="AU9" s="209">
        <f>EXP(LN(AR9)+$J9*(1/$H9-1/298.15)/0.0019872)</f>
        <v>2.4271208128949366</v>
      </c>
      <c r="AV9" s="412"/>
      <c r="AW9" s="412"/>
      <c r="AX9" s="412"/>
      <c r="BB9" s="28"/>
      <c r="BC9" s="28"/>
    </row>
    <row r="10" spans="1:58" x14ac:dyDescent="0.3">
      <c r="D10" s="32"/>
      <c r="G10" s="31">
        <v>50</v>
      </c>
      <c r="H10" s="31">
        <f t="shared" si="0"/>
        <v>323.14999999999998</v>
      </c>
      <c r="I10" s="717">
        <f t="shared" si="1"/>
        <v>13.242382102408241</v>
      </c>
      <c r="J10" s="92">
        <v>17.5</v>
      </c>
      <c r="K10" s="31">
        <v>4</v>
      </c>
      <c r="L10" s="31">
        <v>5.69</v>
      </c>
      <c r="N10" s="31" t="s">
        <v>605</v>
      </c>
      <c r="O10" s="250">
        <f>(LN(2)/L10)/(24*60*60)*10^(K10-5)</f>
        <v>1.4099361708324082E-7</v>
      </c>
      <c r="P10" s="250">
        <f>(LN(2)/L10)/(60*60*24)*10^K10</f>
        <v>1.4099361708324083E-2</v>
      </c>
      <c r="Q10" s="653">
        <f>(LN(2)/R10)/(60*60*24)</f>
        <v>559.11478866120399</v>
      </c>
      <c r="R10" s="209">
        <f>S10*10^-5</f>
        <v>1.4348639983653994E-8</v>
      </c>
      <c r="S10" s="209">
        <f>EXP(LN(P10)+$J10*(1/$H10-1/298.15)/0.0019872)</f>
        <v>1.4348639983653992E-3</v>
      </c>
      <c r="AE10" s="653"/>
      <c r="AF10" s="208"/>
      <c r="AS10" s="682"/>
      <c r="AT10" s="209"/>
      <c r="AU10" s="209"/>
      <c r="AV10" s="412"/>
      <c r="AW10" s="412"/>
      <c r="AX10" s="412"/>
    </row>
    <row r="11" spans="1:58" x14ac:dyDescent="0.3">
      <c r="D11" s="32"/>
      <c r="G11" s="31">
        <v>50</v>
      </c>
      <c r="H11" s="31">
        <f t="shared" si="0"/>
        <v>323.14999999999998</v>
      </c>
      <c r="I11" s="717">
        <f t="shared" si="1"/>
        <v>13.242382102408241</v>
      </c>
      <c r="J11" s="92">
        <v>17.5</v>
      </c>
      <c r="Q11" s="653"/>
      <c r="R11" s="209"/>
      <c r="S11" s="209"/>
      <c r="Z11" s="31">
        <v>7</v>
      </c>
      <c r="AA11" s="31">
        <v>0.62</v>
      </c>
      <c r="AC11" s="31" t="s">
        <v>605</v>
      </c>
      <c r="AD11" s="250">
        <f>(LN(2)/AA11)/(60*60*24)</f>
        <v>1.2939575503284521E-5</v>
      </c>
      <c r="AE11" s="653">
        <f>(LN(2)/AF11)/(60*60*24)</f>
        <v>6.0922876796124132</v>
      </c>
      <c r="AF11" s="209">
        <f>EXP(LN(AD11)+J11*(1/H11-1/298.15)/0.0019872)</f>
        <v>1.3168348630159881E-6</v>
      </c>
      <c r="AS11" s="682"/>
      <c r="AT11" s="209"/>
      <c r="AU11" s="209"/>
      <c r="AV11" s="412"/>
      <c r="AW11" s="412"/>
      <c r="AX11" s="412"/>
    </row>
    <row r="12" spans="1:58" ht="15" thickBot="1" x14ac:dyDescent="0.35">
      <c r="D12" s="32"/>
      <c r="I12" s="717"/>
      <c r="J12" s="92"/>
      <c r="Q12" s="653"/>
      <c r="R12" s="209"/>
      <c r="S12" s="209"/>
      <c r="AE12" s="653"/>
      <c r="AF12" s="209"/>
      <c r="AS12" s="682"/>
      <c r="AT12" s="209"/>
      <c r="AU12" s="209"/>
      <c r="AV12" s="412"/>
      <c r="AW12" s="412"/>
      <c r="AX12" s="412"/>
    </row>
    <row r="13" spans="1:58" s="865" customFormat="1" x14ac:dyDescent="0.3">
      <c r="A13" s="851"/>
      <c r="B13" s="851"/>
      <c r="C13" s="851"/>
      <c r="D13" s="852"/>
      <c r="E13" s="851"/>
      <c r="F13" s="851"/>
      <c r="G13" s="851"/>
      <c r="H13" s="851"/>
      <c r="I13" s="853"/>
      <c r="J13" s="854"/>
      <c r="K13" s="851"/>
      <c r="L13" s="851"/>
      <c r="M13" s="851"/>
      <c r="N13" s="851"/>
      <c r="O13" s="855"/>
      <c r="P13" s="855"/>
      <c r="Q13" s="856"/>
      <c r="R13" s="857"/>
      <c r="S13" s="857"/>
      <c r="T13" s="858"/>
      <c r="U13" s="858"/>
      <c r="V13" s="858"/>
      <c r="W13" s="859"/>
      <c r="X13" s="859"/>
      <c r="Y13" s="859"/>
      <c r="Z13" s="851"/>
      <c r="AA13" s="851"/>
      <c r="AB13" s="851"/>
      <c r="AC13" s="851"/>
      <c r="AD13" s="855"/>
      <c r="AE13" s="856"/>
      <c r="AF13" s="857"/>
      <c r="AG13" s="860"/>
      <c r="AH13" s="860"/>
      <c r="AI13" s="860"/>
      <c r="AJ13" s="861"/>
      <c r="AK13" s="861"/>
      <c r="AL13" s="861"/>
      <c r="AM13" s="851"/>
      <c r="AN13" s="851"/>
      <c r="AO13" s="851"/>
      <c r="AP13" s="851"/>
      <c r="AQ13" s="855"/>
      <c r="AR13" s="855"/>
      <c r="AS13" s="862"/>
      <c r="AT13" s="857"/>
      <c r="AU13" s="857"/>
      <c r="AV13" s="858"/>
      <c r="AW13" s="863"/>
      <c r="AX13" s="858"/>
      <c r="AZ13" s="851"/>
      <c r="BA13" s="851"/>
      <c r="BB13" s="864"/>
      <c r="BC13" s="864"/>
      <c r="BD13" s="864"/>
      <c r="BE13" s="851"/>
      <c r="BF13" s="851"/>
    </row>
    <row r="14" spans="1:58" x14ac:dyDescent="0.3">
      <c r="D14" s="32"/>
      <c r="I14" s="717"/>
      <c r="J14" s="92"/>
      <c r="Q14" s="653"/>
      <c r="R14" s="209"/>
      <c r="S14" s="209"/>
      <c r="AE14" s="653"/>
      <c r="AF14" s="209"/>
      <c r="AS14" s="768"/>
      <c r="AT14" s="209"/>
      <c r="AU14" s="209"/>
      <c r="AV14" s="412"/>
      <c r="AW14" s="412"/>
      <c r="AX14" s="412"/>
    </row>
    <row r="15" spans="1:58" s="879" customFormat="1" x14ac:dyDescent="0.3">
      <c r="A15" s="866"/>
      <c r="B15" s="866"/>
      <c r="C15" s="866"/>
      <c r="D15" s="867"/>
      <c r="E15" s="866"/>
      <c r="F15" s="866"/>
      <c r="G15" s="866"/>
      <c r="H15" s="866"/>
      <c r="I15" s="868"/>
      <c r="J15" s="869"/>
      <c r="K15" s="866"/>
      <c r="L15" s="866"/>
      <c r="M15" s="866"/>
      <c r="N15" s="866"/>
      <c r="O15" s="870"/>
      <c r="P15" s="870"/>
      <c r="Q15" s="871"/>
      <c r="R15" s="872"/>
      <c r="S15" s="872"/>
      <c r="T15" s="873"/>
      <c r="U15" s="873"/>
      <c r="V15" s="873"/>
      <c r="W15" s="874"/>
      <c r="X15" s="874"/>
      <c r="Y15" s="874"/>
      <c r="Z15" s="866"/>
      <c r="AA15" s="866"/>
      <c r="AB15" s="866"/>
      <c r="AC15" s="866"/>
      <c r="AD15" s="870"/>
      <c r="AE15" s="871"/>
      <c r="AF15" s="872"/>
      <c r="AG15" s="875"/>
      <c r="AH15" s="875"/>
      <c r="AI15" s="875"/>
      <c r="AJ15" s="876"/>
      <c r="AK15" s="876"/>
      <c r="AL15" s="876"/>
      <c r="AM15" s="866"/>
      <c r="AN15" s="866"/>
      <c r="AO15" s="866"/>
      <c r="AP15" s="866"/>
      <c r="AQ15" s="870"/>
      <c r="AR15" s="870"/>
      <c r="AS15" s="877"/>
      <c r="AT15" s="872"/>
      <c r="AU15" s="872"/>
      <c r="AV15" s="873"/>
      <c r="AW15" s="873"/>
      <c r="AX15" s="873"/>
      <c r="AZ15" s="866"/>
      <c r="BA15" s="866"/>
      <c r="BB15" s="878"/>
      <c r="BC15" s="878"/>
      <c r="BD15" s="878"/>
      <c r="BE15" s="866"/>
      <c r="BF15" s="866"/>
    </row>
    <row r="16" spans="1:58" ht="15" thickBot="1" x14ac:dyDescent="0.35">
      <c r="D16" s="32"/>
      <c r="I16" s="717"/>
      <c r="J16" s="92"/>
      <c r="Q16" s="653"/>
      <c r="R16" s="209"/>
      <c r="S16" s="209"/>
      <c r="AE16" s="653"/>
      <c r="AF16" s="209"/>
      <c r="AS16" s="682"/>
      <c r="AT16" s="209"/>
      <c r="AU16" s="209"/>
      <c r="AV16" s="412"/>
      <c r="AW16" s="412"/>
      <c r="AX16" s="412"/>
    </row>
    <row r="17" spans="1:58" s="8" customFormat="1" x14ac:dyDescent="0.3">
      <c r="A17" s="37">
        <v>4</v>
      </c>
      <c r="B17" s="37" t="s">
        <v>661</v>
      </c>
      <c r="C17" s="37" t="s">
        <v>662</v>
      </c>
      <c r="D17" s="38" t="s">
        <v>925</v>
      </c>
      <c r="E17" s="37" t="s">
        <v>663</v>
      </c>
      <c r="F17" s="37"/>
      <c r="G17" s="37"/>
      <c r="H17" s="37"/>
      <c r="I17" s="716"/>
      <c r="J17" s="96"/>
      <c r="K17" s="37"/>
      <c r="L17" s="37"/>
      <c r="M17" s="37"/>
      <c r="N17" s="37"/>
      <c r="O17" s="249"/>
      <c r="P17" s="249"/>
      <c r="Q17" s="654"/>
      <c r="R17" s="215"/>
      <c r="S17" s="215"/>
      <c r="T17" s="410"/>
      <c r="U17" s="410"/>
      <c r="V17" s="410"/>
      <c r="W17" s="477"/>
      <c r="X17" s="477"/>
      <c r="Y17" s="477"/>
      <c r="Z17" s="37"/>
      <c r="AA17" s="37"/>
      <c r="AB17" s="37"/>
      <c r="AC17" s="37"/>
      <c r="AD17" s="249"/>
      <c r="AE17" s="654"/>
      <c r="AF17" s="215"/>
      <c r="AG17" s="410">
        <f>AVERAGE(AE18:AE19)</f>
        <v>25.271351181631694</v>
      </c>
      <c r="AH17" s="410">
        <f>MEDIAN(AE18:AE19)</f>
        <v>25.271351181631694</v>
      </c>
      <c r="AI17" s="410">
        <f>STDEV(AE18:AE19)</f>
        <v>2.6575441637882196</v>
      </c>
      <c r="AJ17" s="477"/>
      <c r="AK17" s="477"/>
      <c r="AL17" s="477"/>
      <c r="AM17" s="37"/>
      <c r="AN17" s="37"/>
      <c r="AO17" s="37"/>
      <c r="AP17" s="37"/>
      <c r="AQ17" s="249"/>
      <c r="AR17" s="249"/>
      <c r="AS17" s="681"/>
      <c r="AT17" s="215"/>
      <c r="AU17" s="215"/>
      <c r="AV17" s="410">
        <f>AVERAGE(AS18:AS22)</f>
        <v>0.19717026312839081</v>
      </c>
      <c r="AW17" s="410">
        <f>MEDIAN(AS19:AS21)</f>
        <v>0.19717026312839081</v>
      </c>
      <c r="AX17" s="410">
        <f>STDEV(AS19:AS22)</f>
        <v>6.7623584291735372E-2</v>
      </c>
      <c r="AY17" s="37"/>
      <c r="AZ17" s="37"/>
      <c r="BA17" s="37"/>
      <c r="BB17" s="186"/>
      <c r="BC17" s="186"/>
      <c r="BD17" s="186"/>
      <c r="BE17" s="37"/>
      <c r="BF17" s="37"/>
    </row>
    <row r="18" spans="1:58" x14ac:dyDescent="0.3">
      <c r="D18" s="32"/>
      <c r="G18" s="31">
        <v>17</v>
      </c>
      <c r="H18" s="31">
        <f>G18+273.15</f>
        <v>290.14999999999998</v>
      </c>
      <c r="I18" s="717">
        <f>-LOG10(EXP(LN(10^-14)+13.36*(1/298.15-1/H18)/0.0019872))</f>
        <v>14.27001120645931</v>
      </c>
      <c r="J18" s="92">
        <v>17.5</v>
      </c>
      <c r="Q18" s="653"/>
      <c r="R18" s="209"/>
      <c r="S18" s="209"/>
      <c r="Z18" s="31">
        <v>7</v>
      </c>
      <c r="AA18" s="31">
        <v>61.3</v>
      </c>
      <c r="AC18" s="31" t="s">
        <v>605</v>
      </c>
      <c r="AD18" s="250">
        <f>(LN(2)/AA18)/(60*60*24)</f>
        <v>1.3087335745573253E-7</v>
      </c>
      <c r="AE18" s="653">
        <f>(LN(2)/AF18)/(60*60*24)</f>
        <v>27.150518681149077</v>
      </c>
      <c r="AF18" s="209">
        <f>EXP(LN(AD18)+$J18*(1/$H18-1/298.15)/0.0019872)</f>
        <v>2.9548374033850577E-7</v>
      </c>
      <c r="AS18" s="682"/>
      <c r="AT18" s="209"/>
      <c r="AU18" s="209"/>
      <c r="AV18" s="412"/>
      <c r="AW18" s="412"/>
      <c r="AX18" s="412"/>
    </row>
    <row r="19" spans="1:58" x14ac:dyDescent="0.3">
      <c r="D19" s="32"/>
      <c r="G19" s="31">
        <v>35</v>
      </c>
      <c r="H19" s="31">
        <f>G19+273.15</f>
        <v>308.14999999999998</v>
      </c>
      <c r="I19" s="717">
        <f>-LOG10(EXP(LN(10^-14)+13.36*(1/298.15-1/H19)/0.0019872))</f>
        <v>13.682201234974167</v>
      </c>
      <c r="J19" s="92">
        <v>17.5</v>
      </c>
      <c r="Q19" s="653"/>
      <c r="R19" s="209"/>
      <c r="S19" s="209"/>
      <c r="Z19" s="31">
        <v>7</v>
      </c>
      <c r="AA19" s="31">
        <v>8.9700000000000006</v>
      </c>
      <c r="AC19" s="31" t="s">
        <v>605</v>
      </c>
      <c r="AD19" s="250">
        <f>(LN(2)/AA19)/(60*60*24)</f>
        <v>8.9437422653694579E-7</v>
      </c>
      <c r="AE19" s="653">
        <f>(LN(2)/AF19)/(60*60*24)</f>
        <v>23.392183682114311</v>
      </c>
      <c r="AF19" s="209">
        <f>EXP(LN(AD19)+$J19*(1/$H19-1/298.15)/0.0019872)</f>
        <v>3.4295801200340453E-7</v>
      </c>
      <c r="AS19" s="682"/>
      <c r="AT19" s="209"/>
      <c r="AU19" s="209"/>
      <c r="AV19" s="412"/>
      <c r="AW19" s="412"/>
      <c r="AX19" s="412"/>
    </row>
    <row r="20" spans="1:58" x14ac:dyDescent="0.3">
      <c r="D20" s="32"/>
      <c r="G20" s="31">
        <v>5</v>
      </c>
      <c r="H20" s="31">
        <f>G20+273.15</f>
        <v>278.14999999999998</v>
      </c>
      <c r="I20" s="717">
        <f>-LOG10(EXP(LN(10^-14)+13.36*(1/298.15-1/H20)/0.0019872))</f>
        <v>14.70415020271588</v>
      </c>
      <c r="J20" s="92">
        <v>17.5</v>
      </c>
      <c r="Q20" s="653"/>
      <c r="R20" s="209"/>
      <c r="S20" s="209"/>
      <c r="AE20" s="653"/>
      <c r="AF20" s="209"/>
      <c r="AM20" s="31">
        <v>9</v>
      </c>
      <c r="AN20" s="31">
        <v>6.32</v>
      </c>
      <c r="AP20" s="31" t="s">
        <v>605</v>
      </c>
      <c r="AQ20" s="250">
        <f>(LN(2)/AN20)/(24*60*60)*10^(9-AM20)</f>
        <v>1.2693887360817093E-6</v>
      </c>
      <c r="AR20" s="250">
        <f>AQ20*10^($I20-9)</f>
        <v>0.6423102358760765</v>
      </c>
      <c r="AS20" s="682">
        <f>(LN(2)/AT20)/(60*60*24)</f>
        <v>0.14935316810756469</v>
      </c>
      <c r="AT20" s="209">
        <f>AU20*10^(9-14)</f>
        <v>5.3715210153818389E-5</v>
      </c>
      <c r="AU20" s="209">
        <f>EXP(LN(AR20)+$J20*(1/$H20-1/298.15)/0.0019872)</f>
        <v>5.3715210153818385</v>
      </c>
      <c r="AV20" s="412"/>
      <c r="AW20" s="412"/>
      <c r="AX20" s="412"/>
    </row>
    <row r="21" spans="1:58" x14ac:dyDescent="0.3">
      <c r="D21" s="32"/>
      <c r="G21" s="31">
        <v>17</v>
      </c>
      <c r="H21" s="31">
        <f>G21+273.15</f>
        <v>290.14999999999998</v>
      </c>
      <c r="I21" s="717">
        <f>-LOG10(EXP(LN(10^-14)+13.36*(1/298.15-1/H21)/0.0019872))</f>
        <v>14.27001120645931</v>
      </c>
      <c r="J21" s="92">
        <v>17.5</v>
      </c>
      <c r="Q21" s="653"/>
      <c r="R21" s="209"/>
      <c r="S21" s="209"/>
      <c r="AE21" s="653"/>
      <c r="AF21" s="209"/>
      <c r="AM21" s="31">
        <v>9</v>
      </c>
      <c r="AN21" s="31">
        <v>1.03</v>
      </c>
      <c r="AP21" s="31" t="s">
        <v>605</v>
      </c>
      <c r="AQ21" s="250">
        <f>(LN(2)/AN21)/(24*60*60)*10^(9-AM21)</f>
        <v>7.7888706912974786E-6</v>
      </c>
      <c r="AR21" s="250">
        <f>AQ21*10^($I21-9)</f>
        <v>1.4503930175459663</v>
      </c>
      <c r="AS21" s="682">
        <f>(LN(2)/AT21)/(60*60*24)</f>
        <v>0.24498735814921696</v>
      </c>
      <c r="AT21" s="209">
        <f>AU21*10^(9-14)</f>
        <v>3.2746737924126007E-5</v>
      </c>
      <c r="AU21" s="209">
        <f>EXP(LN(AR21)+$J21*(1/$H21-1/298.15)/0.0019872)</f>
        <v>3.2746737924126004</v>
      </c>
      <c r="AV21" s="412"/>
      <c r="AW21" s="412"/>
      <c r="AX21" s="412"/>
    </row>
    <row r="22" spans="1:58" ht="15" thickBot="1" x14ac:dyDescent="0.35">
      <c r="D22" s="32"/>
      <c r="I22" s="717"/>
      <c r="J22" s="92"/>
      <c r="Q22" s="653"/>
      <c r="R22" s="209"/>
      <c r="S22" s="209"/>
      <c r="AE22" s="653"/>
      <c r="AF22" s="209"/>
      <c r="AS22" s="682"/>
      <c r="AT22" s="209"/>
      <c r="AU22" s="209"/>
      <c r="AV22" s="412"/>
      <c r="AW22" s="412"/>
      <c r="AX22" s="412"/>
    </row>
    <row r="23" spans="1:58" s="8" customFormat="1" x14ac:dyDescent="0.3">
      <c r="A23" s="37">
        <v>5</v>
      </c>
      <c r="B23" s="37" t="s">
        <v>666</v>
      </c>
      <c r="C23" s="37" t="s">
        <v>665</v>
      </c>
      <c r="D23" s="38" t="s">
        <v>925</v>
      </c>
      <c r="E23" s="37" t="s">
        <v>668</v>
      </c>
      <c r="F23" s="37" t="s">
        <v>667</v>
      </c>
      <c r="G23" s="37">
        <v>50</v>
      </c>
      <c r="H23" s="37">
        <f t="shared" ref="H23:H28" si="2">G23+273.15</f>
        <v>323.14999999999998</v>
      </c>
      <c r="I23" s="716">
        <f t="shared" ref="I23:I28" si="3">-LOG10(EXP(LN(10^-14)+13.36*(1/298.15-1/H23)/0.0019872))</f>
        <v>13.242382102408241</v>
      </c>
      <c r="J23" s="96">
        <v>17.5</v>
      </c>
      <c r="K23" s="37"/>
      <c r="L23" s="37"/>
      <c r="M23" s="37"/>
      <c r="N23" s="37"/>
      <c r="O23" s="249"/>
      <c r="P23" s="249"/>
      <c r="Q23" s="654"/>
      <c r="R23" s="215"/>
      <c r="S23" s="215"/>
      <c r="T23" s="410"/>
      <c r="U23" s="410"/>
      <c r="V23" s="410"/>
      <c r="W23" s="477"/>
      <c r="X23" s="477"/>
      <c r="Y23" s="477"/>
      <c r="Z23" s="37">
        <v>7</v>
      </c>
      <c r="AA23" s="37">
        <v>5.6</v>
      </c>
      <c r="AB23" s="37"/>
      <c r="AC23" s="37" t="s">
        <v>617</v>
      </c>
      <c r="AD23" s="249">
        <f>(LN(2)/AA23)/(60*24)</f>
        <v>8.5955751557532909E-5</v>
      </c>
      <c r="AE23" s="654">
        <f>(LN(2)/AF23)/(60*60*24)</f>
        <v>0.91711857542552433</v>
      </c>
      <c r="AF23" s="215">
        <f>EXP(LN(AD23)+$J23*(1/$H23-1/298.15)/0.0019872)</f>
        <v>8.7475458757490653E-6</v>
      </c>
      <c r="AG23" s="410">
        <f>AVERAGE(AE23:AE25)</f>
        <v>1.8633831040224706</v>
      </c>
      <c r="AH23" s="410">
        <f>MEDIAN(AE23:AE25)</f>
        <v>1.3064762040947553</v>
      </c>
      <c r="AI23" s="410">
        <f>STDEV(AE23:AE25)</f>
        <v>1.3162610297355108</v>
      </c>
      <c r="AJ23" s="477"/>
      <c r="AK23" s="477"/>
      <c r="AL23" s="477"/>
      <c r="AM23" s="37"/>
      <c r="AN23" s="37"/>
      <c r="AO23" s="37"/>
      <c r="AP23" s="37"/>
      <c r="AQ23" s="249"/>
      <c r="AR23" s="249"/>
      <c r="AS23" s="681"/>
      <c r="AT23" s="215"/>
      <c r="AU23" s="215"/>
      <c r="AV23" s="410">
        <f>AVERAGE(AS24:AS29)</f>
        <v>42.399506670585161</v>
      </c>
      <c r="AW23" s="410">
        <f>MEDIAN(AS24:AS29)</f>
        <v>35.412295107899432</v>
      </c>
      <c r="AX23" s="410">
        <f>STDEV(AS25:AS29)</f>
        <v>35.049221485049763</v>
      </c>
      <c r="AY23" s="37"/>
      <c r="AZ23" s="37"/>
      <c r="BA23" s="37"/>
      <c r="BB23" s="186"/>
      <c r="BC23" s="186"/>
      <c r="BD23" s="186"/>
      <c r="BE23" s="37"/>
      <c r="BF23" s="37"/>
    </row>
    <row r="24" spans="1:58" x14ac:dyDescent="0.3">
      <c r="D24" s="32"/>
      <c r="E24" s="31" t="s">
        <v>445</v>
      </c>
      <c r="G24" s="31">
        <v>37</v>
      </c>
      <c r="H24" s="31">
        <f t="shared" si="2"/>
        <v>310.14999999999998</v>
      </c>
      <c r="I24" s="717">
        <f t="shared" si="3"/>
        <v>13.621100669575195</v>
      </c>
      <c r="J24" s="92">
        <v>17.5</v>
      </c>
      <c r="Q24" s="653"/>
      <c r="R24" s="209"/>
      <c r="S24" s="209"/>
      <c r="Z24" s="31">
        <v>7</v>
      </c>
      <c r="AA24" s="31">
        <v>25</v>
      </c>
      <c r="AC24" s="31" t="s">
        <v>617</v>
      </c>
      <c r="AD24" s="250">
        <f>(LN(2)/AA24)/(60*24)</f>
        <v>1.9254088348887372E-5</v>
      </c>
      <c r="AE24" s="653">
        <f>(LN(2)/AF24)/(60*60*24)</f>
        <v>1.3064762040947553</v>
      </c>
      <c r="AF24" s="209">
        <f>EXP(LN(AD24)+$J24*(1/$H24-1/298.15)/0.0019872)</f>
        <v>6.1405916057959442E-6</v>
      </c>
      <c r="AS24" s="682"/>
      <c r="AT24" s="209"/>
      <c r="AU24" s="209"/>
      <c r="AV24" s="412"/>
      <c r="AW24" s="412"/>
      <c r="AX24" s="412"/>
    </row>
    <row r="25" spans="1:58" x14ac:dyDescent="0.3">
      <c r="D25" s="32"/>
      <c r="G25" s="31">
        <v>15</v>
      </c>
      <c r="H25" s="31">
        <f t="shared" si="2"/>
        <v>288.14999999999998</v>
      </c>
      <c r="I25" s="717">
        <f t="shared" si="3"/>
        <v>14.339856635234117</v>
      </c>
      <c r="J25" s="92">
        <v>17.5</v>
      </c>
      <c r="Q25" s="653"/>
      <c r="R25" s="209"/>
      <c r="S25" s="209"/>
      <c r="Z25" s="31">
        <v>7</v>
      </c>
      <c r="AA25" s="31">
        <v>563</v>
      </c>
      <c r="AC25" s="31" t="s">
        <v>617</v>
      </c>
      <c r="AD25" s="250">
        <f>(LN(2)/AA25)/(60*24)</f>
        <v>8.5497728014597557E-7</v>
      </c>
      <c r="AE25" s="653">
        <f>(LN(2)/AF25)/(60*60*24)</f>
        <v>3.3665545325471329</v>
      </c>
      <c r="AF25" s="209">
        <f>EXP(LN(AD25)+$J25*(1/$H25-1/298.15)/0.0019872)</f>
        <v>2.3830110976894105E-6</v>
      </c>
      <c r="AS25" s="682"/>
      <c r="AT25" s="209"/>
      <c r="AU25" s="209"/>
      <c r="AV25" s="412"/>
      <c r="AW25" s="412"/>
      <c r="AX25" s="412"/>
    </row>
    <row r="26" spans="1:58" x14ac:dyDescent="0.3">
      <c r="D26" s="32"/>
      <c r="E26" s="31" t="s">
        <v>669</v>
      </c>
      <c r="G26" s="31">
        <v>50</v>
      </c>
      <c r="H26" s="31">
        <f t="shared" si="2"/>
        <v>323.14999999999998</v>
      </c>
      <c r="I26" s="717">
        <f t="shared" si="3"/>
        <v>13.242382102408241</v>
      </c>
      <c r="J26" s="92">
        <v>17.5</v>
      </c>
      <c r="Q26" s="653"/>
      <c r="R26" s="209"/>
      <c r="S26" s="209"/>
      <c r="AE26" s="653"/>
      <c r="AF26" s="208"/>
      <c r="AM26" s="31">
        <v>9</v>
      </c>
      <c r="AN26" s="31">
        <v>1.43</v>
      </c>
      <c r="AP26" s="31" t="s">
        <v>617</v>
      </c>
      <c r="AQ26" s="250">
        <f>(LN(2)/AN26)/(24*60*60)*10^(9-AM26)</f>
        <v>5.61016560282266E-6</v>
      </c>
      <c r="AR26" s="250">
        <f>AQ26*10^($I26-9)</f>
        <v>9.8029724815749245E-2</v>
      </c>
      <c r="AS26" s="682">
        <f>(LN(2)/AT26)/(60*60*24)</f>
        <v>80.416033571696801</v>
      </c>
      <c r="AT26" s="209">
        <f>AU26*10^(9-14)</f>
        <v>9.9762901199096354E-8</v>
      </c>
      <c r="AU26" s="209">
        <f>EXP(LN(AR26)+$J26*(1/$H26-1/298.15)/0.0019872)</f>
        <v>9.9762901199096348E-3</v>
      </c>
      <c r="AV26" s="412"/>
      <c r="AW26" s="412"/>
      <c r="AX26" s="412"/>
    </row>
    <row r="27" spans="1:58" x14ac:dyDescent="0.3">
      <c r="D27" s="32"/>
      <c r="G27" s="31">
        <v>37</v>
      </c>
      <c r="H27" s="31">
        <f t="shared" si="2"/>
        <v>310.14999999999998</v>
      </c>
      <c r="I27" s="717">
        <f t="shared" si="3"/>
        <v>13.621100669575195</v>
      </c>
      <c r="J27" s="92">
        <v>17.5</v>
      </c>
      <c r="Q27" s="653"/>
      <c r="R27" s="209"/>
      <c r="S27" s="209"/>
      <c r="AE27" s="653"/>
      <c r="AF27" s="208"/>
      <c r="AM27" s="31">
        <v>9</v>
      </c>
      <c r="AN27" s="31">
        <v>4.72</v>
      </c>
      <c r="AP27" s="31" t="s">
        <v>617</v>
      </c>
      <c r="AQ27" s="250">
        <f>(LN(2)/AN27)/(24*60*60)*10^(9-AM27)</f>
        <v>1.6996900025500856E-6</v>
      </c>
      <c r="AR27" s="250">
        <f>AQ27*10^($I27-9)</f>
        <v>7.1034673642906776E-2</v>
      </c>
      <c r="AS27" s="682">
        <f>(LN(2)/AT27)/(60*60*24)</f>
        <v>35.412295107899432</v>
      </c>
      <c r="AT27" s="209">
        <f>AU27*10^(9-14)</f>
        <v>2.265466496196349E-7</v>
      </c>
      <c r="AU27" s="209">
        <f>EXP(LN(AR27)+$J27*(1/$H27-1/298.15)/0.0019872)</f>
        <v>2.2654664961963489E-2</v>
      </c>
      <c r="AV27" s="412"/>
      <c r="AW27" s="412"/>
      <c r="AX27" s="412"/>
    </row>
    <row r="28" spans="1:58" x14ac:dyDescent="0.3">
      <c r="D28" s="32"/>
      <c r="G28" s="31">
        <v>15</v>
      </c>
      <c r="H28" s="31">
        <f t="shared" si="2"/>
        <v>288.14999999999998</v>
      </c>
      <c r="I28" s="717">
        <f t="shared" si="3"/>
        <v>14.339856635234117</v>
      </c>
      <c r="J28" s="92">
        <v>17.5</v>
      </c>
      <c r="Q28" s="653"/>
      <c r="R28" s="209"/>
      <c r="S28" s="209"/>
      <c r="AE28" s="653"/>
      <c r="AF28" s="208"/>
      <c r="AM28" s="31">
        <v>9</v>
      </c>
      <c r="AN28" s="31">
        <v>69.31</v>
      </c>
      <c r="AP28" s="31" t="s">
        <v>617</v>
      </c>
      <c r="AQ28" s="250">
        <f>(LN(2)/AN28)/(24*60*60)*10^(9-AM28)</f>
        <v>1.1574861942052235E-7</v>
      </c>
      <c r="AR28" s="250">
        <f>AQ28*10^($I28-9)</f>
        <v>2.5314680761433134E-2</v>
      </c>
      <c r="AS28" s="682">
        <f>(LN(2)/AT28)/(60*60*24)</f>
        <v>11.370191332159234</v>
      </c>
      <c r="AT28" s="209">
        <f>AU28*10^(9-14)</f>
        <v>7.0557623681719521E-7</v>
      </c>
      <c r="AU28" s="209">
        <f>EXP(LN(AR28)+$J28*(1/$H28-1/298.15)/0.0019872)</f>
        <v>7.0557623681719514E-2</v>
      </c>
      <c r="AV28" s="412"/>
      <c r="AW28" s="412"/>
      <c r="AX28" s="412"/>
    </row>
    <row r="29" spans="1:58" ht="15" thickBot="1" x14ac:dyDescent="0.35">
      <c r="D29" s="32"/>
      <c r="I29" s="754"/>
      <c r="Q29" s="653"/>
      <c r="R29" s="209"/>
      <c r="S29" s="209"/>
      <c r="AE29" s="653"/>
      <c r="AF29" s="208"/>
      <c r="AS29" s="699"/>
      <c r="AT29" s="237"/>
      <c r="AU29" s="237"/>
    </row>
    <row r="30" spans="1:58" s="8" customFormat="1" x14ac:dyDescent="0.3">
      <c r="A30" s="37"/>
      <c r="B30" s="37"/>
      <c r="C30" s="37"/>
      <c r="D30" s="39"/>
      <c r="E30" s="37"/>
      <c r="F30" s="37"/>
      <c r="G30" s="37"/>
      <c r="H30" s="37"/>
      <c r="I30" s="743"/>
      <c r="J30" s="37"/>
      <c r="K30" s="37"/>
      <c r="L30" s="37"/>
      <c r="M30" s="37"/>
      <c r="N30" s="37"/>
      <c r="O30" s="249"/>
      <c r="P30" s="249"/>
      <c r="Q30" s="650"/>
      <c r="R30" s="607"/>
      <c r="S30" s="607"/>
      <c r="T30" s="410"/>
      <c r="U30" s="410"/>
      <c r="V30" s="410"/>
      <c r="W30" s="477"/>
      <c r="X30" s="477"/>
      <c r="Y30" s="477"/>
      <c r="Z30" s="37"/>
      <c r="AA30" s="37"/>
      <c r="AB30" s="37"/>
      <c r="AC30" s="37"/>
      <c r="AD30" s="249"/>
      <c r="AE30" s="650"/>
      <c r="AF30" s="605"/>
      <c r="AG30" s="423"/>
      <c r="AH30" s="423"/>
      <c r="AI30" s="423"/>
      <c r="AJ30" s="159"/>
      <c r="AK30" s="159"/>
      <c r="AL30" s="159"/>
      <c r="AM30" s="37"/>
      <c r="AN30" s="37"/>
      <c r="AO30" s="37"/>
      <c r="AP30" s="37"/>
      <c r="AQ30" s="249"/>
      <c r="AR30" s="249"/>
      <c r="AS30" s="469"/>
      <c r="AT30" s="122"/>
      <c r="AU30" s="122"/>
      <c r="AV30" s="109"/>
      <c r="AW30" s="109"/>
      <c r="AX30" s="109"/>
      <c r="AY30" s="37"/>
      <c r="AZ30" s="37"/>
      <c r="BA30" s="37"/>
      <c r="BB30" s="186"/>
      <c r="BC30" s="186"/>
      <c r="BD30" s="186"/>
      <c r="BE30" s="37"/>
      <c r="BF30" s="37"/>
    </row>
    <row r="31" spans="1:58" s="1" customFormat="1" x14ac:dyDescent="0.3">
      <c r="A31" s="108"/>
      <c r="B31" s="108"/>
      <c r="C31" s="108"/>
      <c r="D31" s="72"/>
      <c r="E31" s="108"/>
      <c r="F31" s="108"/>
      <c r="G31" s="108"/>
      <c r="H31" s="108"/>
      <c r="I31" s="657"/>
      <c r="J31" s="108"/>
      <c r="K31" s="108"/>
      <c r="L31" s="108"/>
      <c r="M31" s="108"/>
      <c r="N31" s="108" t="s">
        <v>790</v>
      </c>
      <c r="O31" s="492"/>
      <c r="P31" s="492"/>
      <c r="Q31" s="753">
        <f>AVERAGE(Q6:Q10)</f>
        <v>391.38360356832555</v>
      </c>
      <c r="R31" s="590"/>
      <c r="S31" s="590"/>
      <c r="T31" s="484">
        <f>AVERAGE(T6)</f>
        <v>391.38360356832555</v>
      </c>
      <c r="U31" s="484"/>
      <c r="V31" s="484"/>
      <c r="W31" s="143"/>
      <c r="X31" s="143"/>
      <c r="Y31" s="143"/>
      <c r="Z31" s="108"/>
      <c r="AA31" s="108"/>
      <c r="AB31" s="108"/>
      <c r="AC31" s="108" t="s">
        <v>790</v>
      </c>
      <c r="AD31" s="492"/>
      <c r="AE31" s="753">
        <f>AVERAGE(AE6:AE25)</f>
        <v>9.835035202328589</v>
      </c>
      <c r="AF31" s="552"/>
      <c r="AG31" s="484">
        <f>AVERAGE(AG6:AG26)</f>
        <v>11.550181422251157</v>
      </c>
      <c r="AH31" s="506"/>
      <c r="AI31" s="506"/>
      <c r="AJ31" s="425"/>
      <c r="AK31" s="425"/>
      <c r="AL31" s="425"/>
      <c r="AM31" s="108" t="s">
        <v>802</v>
      </c>
      <c r="AN31" s="108"/>
      <c r="AO31" s="108"/>
      <c r="AP31" s="108" t="s">
        <v>802</v>
      </c>
      <c r="AQ31" s="492"/>
      <c r="AR31" s="492"/>
      <c r="AS31" s="176">
        <f>AVERAGE(AS6:AS28)</f>
        <v>18.320485389004954</v>
      </c>
      <c r="AT31" s="207"/>
      <c r="AU31" s="207"/>
      <c r="AV31" s="142">
        <f>AVERAGE(AV6:AV27)</f>
        <v>14.307315175408256</v>
      </c>
      <c r="AW31" s="142"/>
      <c r="AX31" s="142"/>
      <c r="AY31" s="108"/>
      <c r="AZ31" s="108"/>
      <c r="BA31" s="108"/>
      <c r="BB31" s="319" t="s">
        <v>802</v>
      </c>
      <c r="BC31" s="319"/>
      <c r="BD31" s="319"/>
      <c r="BE31" s="108"/>
      <c r="BF31" s="108"/>
    </row>
    <row r="32" spans="1:58" s="1" customFormat="1" x14ac:dyDescent="0.3">
      <c r="A32" s="108"/>
      <c r="B32" s="108"/>
      <c r="C32" s="108"/>
      <c r="D32" s="72"/>
      <c r="E32" s="108"/>
      <c r="F32" s="108"/>
      <c r="G32" s="108"/>
      <c r="H32" s="108"/>
      <c r="I32" s="657"/>
      <c r="J32" s="108"/>
      <c r="K32" s="108"/>
      <c r="L32" s="108"/>
      <c r="M32" s="108"/>
      <c r="N32" s="108" t="s">
        <v>791</v>
      </c>
      <c r="O32" s="492"/>
      <c r="P32" s="492"/>
      <c r="Q32" s="753">
        <f>STDEV(Q6:Q10)</f>
        <v>146.3076647962335</v>
      </c>
      <c r="R32" s="590"/>
      <c r="S32" s="590"/>
      <c r="T32" s="484"/>
      <c r="U32" s="484"/>
      <c r="V32" s="484"/>
      <c r="W32" s="143"/>
      <c r="X32" s="143"/>
      <c r="Y32" s="143"/>
      <c r="Z32" s="108"/>
      <c r="AA32" s="108"/>
      <c r="AB32" s="108"/>
      <c r="AC32" s="108" t="s">
        <v>791</v>
      </c>
      <c r="AD32" s="492"/>
      <c r="AE32" s="753">
        <f>STDEV(AE6:AE25)</f>
        <v>9.9798546207034047</v>
      </c>
      <c r="AF32" s="552"/>
      <c r="AG32" s="484">
        <f>STDEV(AG6:AG23)</f>
        <v>12.214350456511367</v>
      </c>
      <c r="AH32" s="506"/>
      <c r="AI32" s="506"/>
      <c r="AJ32" s="425"/>
      <c r="AK32" s="425"/>
      <c r="AL32" s="425"/>
      <c r="AM32" s="108" t="s">
        <v>791</v>
      </c>
      <c r="AN32" s="108"/>
      <c r="AO32" s="108"/>
      <c r="AP32" s="108" t="s">
        <v>791</v>
      </c>
      <c r="AQ32" s="492"/>
      <c r="AR32" s="492"/>
      <c r="AS32" s="176">
        <f>STDEV(AS6:AS28)</f>
        <v>30.278878878758274</v>
      </c>
      <c r="AT32" s="207"/>
      <c r="AU32" s="207"/>
      <c r="AV32" s="142">
        <f>STDEV(AV6:AV27)</f>
        <v>24.32863579296556</v>
      </c>
      <c r="AW32" s="142"/>
      <c r="AX32" s="142"/>
      <c r="AY32" s="108"/>
      <c r="AZ32" s="108"/>
      <c r="BA32" s="108"/>
      <c r="BB32" s="319" t="s">
        <v>791</v>
      </c>
      <c r="BC32" s="319"/>
      <c r="BD32" s="319"/>
      <c r="BE32" s="108"/>
      <c r="BF32" s="108"/>
    </row>
    <row r="33" spans="1:58" s="1" customFormat="1" x14ac:dyDescent="0.3">
      <c r="A33" s="108"/>
      <c r="B33" s="108"/>
      <c r="C33" s="108"/>
      <c r="D33" s="72"/>
      <c r="E33" s="108"/>
      <c r="F33" s="108"/>
      <c r="G33" s="108"/>
      <c r="H33" s="108"/>
      <c r="I33" s="657"/>
      <c r="J33" s="108"/>
      <c r="K33" s="108"/>
      <c r="L33" s="108"/>
      <c r="M33" s="108"/>
      <c r="N33" s="108" t="s">
        <v>800</v>
      </c>
      <c r="O33" s="492"/>
      <c r="P33" s="492"/>
      <c r="Q33" s="753">
        <f>MEDIAN(Q6:Q10)</f>
        <v>324.99999999999989</v>
      </c>
      <c r="R33" s="590"/>
      <c r="S33" s="590"/>
      <c r="T33" s="30">
        <f>MEDIAN(T6:T10)</f>
        <v>391.38360356832555</v>
      </c>
      <c r="U33" s="484"/>
      <c r="V33" s="484"/>
      <c r="W33" s="143"/>
      <c r="X33" s="143"/>
      <c r="Y33" s="143"/>
      <c r="Z33" s="108"/>
      <c r="AA33" s="108"/>
      <c r="AB33" s="108"/>
      <c r="AC33" s="108" t="s">
        <v>800</v>
      </c>
      <c r="AD33" s="492"/>
      <c r="AE33" s="753">
        <f>MEDIAN(AE6:AE25)</f>
        <v>6.9737149716489695</v>
      </c>
      <c r="AF33" s="552"/>
      <c r="AG33" s="484">
        <f>MEDIAN(AG6:AG23)</f>
        <v>7.515809981099312</v>
      </c>
      <c r="AH33" s="506"/>
      <c r="AI33" s="506"/>
      <c r="AJ33" s="425"/>
      <c r="AK33" s="425"/>
      <c r="AL33" s="425"/>
      <c r="AM33" s="108" t="s">
        <v>800</v>
      </c>
      <c r="AN33" s="108"/>
      <c r="AO33" s="108"/>
      <c r="AP33" s="108" t="s">
        <v>800</v>
      </c>
      <c r="AQ33" s="492"/>
      <c r="AR33" s="492"/>
      <c r="AS33" s="176">
        <f>MEDIAN(AS6:AS29)</f>
        <v>0.33053718502242829</v>
      </c>
      <c r="AT33" s="207"/>
      <c r="AU33" s="207"/>
      <c r="AV33" s="142">
        <f>MEDIAN(AV6:AV24)</f>
        <v>0.32526859251121415</v>
      </c>
      <c r="AW33" s="142"/>
      <c r="AX33" s="142"/>
      <c r="AY33" s="108"/>
      <c r="AZ33" s="108"/>
      <c r="BA33" s="108"/>
      <c r="BB33" s="319" t="s">
        <v>800</v>
      </c>
      <c r="BC33" s="319"/>
      <c r="BD33" s="319"/>
      <c r="BE33" s="108"/>
      <c r="BF33" s="108"/>
    </row>
    <row r="34" spans="1:58" s="1" customFormat="1" x14ac:dyDescent="0.3">
      <c r="A34" s="108"/>
      <c r="B34" s="108"/>
      <c r="C34" s="108"/>
      <c r="D34" s="72"/>
      <c r="E34" s="108"/>
      <c r="F34" s="108"/>
      <c r="G34" s="108"/>
      <c r="H34" s="108"/>
      <c r="I34" s="657"/>
      <c r="J34" s="108"/>
      <c r="K34" s="108"/>
      <c r="L34" s="108"/>
      <c r="M34" s="108"/>
      <c r="N34" s="108" t="s">
        <v>789</v>
      </c>
      <c r="O34" s="492"/>
      <c r="P34" s="492"/>
      <c r="Q34" s="753">
        <f>COUNT(Q6:Q10)</f>
        <v>3</v>
      </c>
      <c r="R34" s="590"/>
      <c r="S34" s="590"/>
      <c r="T34" s="485">
        <v>1</v>
      </c>
      <c r="U34" s="484"/>
      <c r="V34" s="484"/>
      <c r="W34" s="143"/>
      <c r="X34" s="143"/>
      <c r="Y34" s="143"/>
      <c r="Z34" s="108"/>
      <c r="AA34" s="108"/>
      <c r="AB34" s="108"/>
      <c r="AC34" s="108" t="s">
        <v>789</v>
      </c>
      <c r="AD34" s="492"/>
      <c r="AE34" s="753">
        <f>COUNT(AE6:AE25)</f>
        <v>8</v>
      </c>
      <c r="AF34" s="552"/>
      <c r="AG34" s="506">
        <f>COUNT(AG6:AG23)</f>
        <v>3</v>
      </c>
      <c r="AH34" s="506"/>
      <c r="AI34" s="506"/>
      <c r="AJ34" s="425"/>
      <c r="AK34" s="425"/>
      <c r="AL34" s="425"/>
      <c r="AM34" s="108" t="s">
        <v>789</v>
      </c>
      <c r="AN34" s="108"/>
      <c r="AO34" s="108"/>
      <c r="AP34" s="108" t="s">
        <v>789</v>
      </c>
      <c r="AQ34" s="492"/>
      <c r="AR34" s="492"/>
      <c r="AS34" s="176">
        <f>COUNT(AS6:AS28)</f>
        <v>7</v>
      </c>
      <c r="AT34" s="207"/>
      <c r="AU34" s="207"/>
      <c r="AV34" s="144">
        <f>COUNT(AV6:AV24)</f>
        <v>3</v>
      </c>
      <c r="AW34" s="142"/>
      <c r="AX34" s="142"/>
      <c r="AY34" s="108"/>
      <c r="AZ34" s="108"/>
      <c r="BA34" s="108"/>
      <c r="BB34" s="319" t="s">
        <v>789</v>
      </c>
      <c r="BC34" s="319"/>
      <c r="BD34" s="319"/>
      <c r="BE34" s="108"/>
      <c r="BF34" s="108"/>
    </row>
    <row r="35" spans="1:58" s="1" customFormat="1" x14ac:dyDescent="0.3">
      <c r="A35" s="108"/>
      <c r="B35" s="108"/>
      <c r="C35" s="108"/>
      <c r="D35" s="72"/>
      <c r="E35" s="108"/>
      <c r="F35" s="108"/>
      <c r="G35" s="108"/>
      <c r="H35" s="108"/>
      <c r="I35" s="657"/>
      <c r="J35" s="108"/>
      <c r="K35" s="108"/>
      <c r="L35" s="108"/>
      <c r="M35" s="108"/>
      <c r="N35" s="108" t="s">
        <v>803</v>
      </c>
      <c r="O35" s="492"/>
      <c r="P35" s="492"/>
      <c r="Q35" s="753">
        <f>MIN(Q6:Q10)</f>
        <v>290.03602204377302</v>
      </c>
      <c r="R35" s="590"/>
      <c r="S35" s="590"/>
      <c r="T35" s="484"/>
      <c r="U35" s="484"/>
      <c r="V35" s="484"/>
      <c r="W35" s="143"/>
      <c r="X35" s="143"/>
      <c r="Y35" s="143"/>
      <c r="Z35" s="108"/>
      <c r="AA35" s="108"/>
      <c r="AB35" s="108"/>
      <c r="AC35" s="108" t="s">
        <v>787</v>
      </c>
      <c r="AD35" s="492"/>
      <c r="AE35" s="753">
        <f>MIN(AE6:AE23)</f>
        <v>0.91711857542552433</v>
      </c>
      <c r="AF35" s="551"/>
      <c r="AG35" s="484">
        <f t="shared" ref="AG35" si="4">MIN(AG6:AG23)</f>
        <v>1.8633831040224706</v>
      </c>
      <c r="AH35" s="506"/>
      <c r="AI35" s="506"/>
      <c r="AJ35" s="425"/>
      <c r="AK35" s="425"/>
      <c r="AL35" s="425"/>
      <c r="AM35" s="108" t="s">
        <v>803</v>
      </c>
      <c r="AN35" s="108"/>
      <c r="AO35" s="108"/>
      <c r="AP35" s="108" t="s">
        <v>803</v>
      </c>
      <c r="AQ35" s="492"/>
      <c r="AR35" s="492"/>
      <c r="AS35" s="176">
        <f>MIN(AS6:AS28)</f>
        <v>0.14935316810756469</v>
      </c>
      <c r="AT35" s="207"/>
      <c r="AU35" s="207"/>
      <c r="AV35" s="142">
        <f>MIN(AV6:AV23)</f>
        <v>0.19717026312839081</v>
      </c>
      <c r="AW35" s="142"/>
      <c r="AX35" s="142"/>
      <c r="AY35" s="108"/>
      <c r="AZ35" s="108"/>
      <c r="BA35" s="108"/>
      <c r="BB35" s="319" t="s">
        <v>803</v>
      </c>
      <c r="BC35" s="319"/>
      <c r="BD35" s="319"/>
      <c r="BE35" s="108"/>
      <c r="BF35" s="108"/>
    </row>
    <row r="36" spans="1:58" s="1" customFormat="1" x14ac:dyDescent="0.3">
      <c r="A36" s="108"/>
      <c r="B36" s="108"/>
      <c r="C36" s="108"/>
      <c r="D36" s="72"/>
      <c r="E36" s="108"/>
      <c r="F36" s="108"/>
      <c r="G36" s="108"/>
      <c r="H36" s="108"/>
      <c r="I36" s="657"/>
      <c r="J36" s="108"/>
      <c r="K36" s="108"/>
      <c r="L36" s="108"/>
      <c r="M36" s="108"/>
      <c r="N36" s="108" t="s">
        <v>804</v>
      </c>
      <c r="O36" s="492"/>
      <c r="P36" s="492"/>
      <c r="Q36" s="753">
        <f>MAX(Q6:Q10)</f>
        <v>559.11478866120399</v>
      </c>
      <c r="R36" s="590"/>
      <c r="S36" s="590"/>
      <c r="T36" s="484"/>
      <c r="U36" s="484"/>
      <c r="V36" s="484"/>
      <c r="W36" s="143"/>
      <c r="X36" s="143"/>
      <c r="Y36" s="143"/>
      <c r="Z36" s="108"/>
      <c r="AA36" s="108"/>
      <c r="AB36" s="108"/>
      <c r="AC36" s="108" t="s">
        <v>788</v>
      </c>
      <c r="AD36" s="492"/>
      <c r="AE36" s="753">
        <f t="shared" ref="AE36" si="5">MAX(AE6:AE23)</f>
        <v>27.150518681149077</v>
      </c>
      <c r="AF36" s="551"/>
      <c r="AG36" s="484">
        <f>MAX(AG6:AG23)</f>
        <v>25.271351181631694</v>
      </c>
      <c r="AH36" s="506"/>
      <c r="AI36" s="506"/>
      <c r="AJ36" s="425"/>
      <c r="AK36" s="425"/>
      <c r="AL36" s="425"/>
      <c r="AM36" s="108" t="s">
        <v>804</v>
      </c>
      <c r="AN36" s="108"/>
      <c r="AO36" s="108"/>
      <c r="AP36" s="108" t="s">
        <v>804</v>
      </c>
      <c r="AQ36" s="492"/>
      <c r="AR36" s="492"/>
      <c r="AS36" s="176">
        <f>MAX(AS6:AS28)</f>
        <v>80.416033571696801</v>
      </c>
      <c r="AT36" s="207"/>
      <c r="AU36" s="207"/>
      <c r="AV36" s="142">
        <f>MAX(AV6:AV24)</f>
        <v>42.399506670585161</v>
      </c>
      <c r="AW36" s="142"/>
      <c r="AX36" s="142"/>
      <c r="AY36" s="108"/>
      <c r="AZ36" s="108"/>
      <c r="BA36" s="108"/>
      <c r="BB36" s="319" t="s">
        <v>804</v>
      </c>
      <c r="BC36" s="319"/>
      <c r="BD36" s="319"/>
      <c r="BE36" s="108"/>
      <c r="BF36" s="108"/>
    </row>
    <row r="37" spans="1:58" x14ac:dyDescent="0.3">
      <c r="I37" s="320"/>
      <c r="Q37" s="649"/>
      <c r="AE37" s="649"/>
      <c r="AS37" s="175"/>
      <c r="AU37" s="843" t="s">
        <v>1276</v>
      </c>
      <c r="AV37" s="157">
        <f>QUARTILE(AV$6:AV29,3)-QUARTILE(AV$6:AV29,1)</f>
        <v>21.101168203728385</v>
      </c>
      <c r="AW37" s="119"/>
    </row>
    <row r="38" spans="1:58" x14ac:dyDescent="0.3">
      <c r="I38" s="320"/>
      <c r="Q38" s="649"/>
      <c r="AE38" s="649"/>
      <c r="AS38" s="175"/>
      <c r="AU38" s="843" t="s">
        <v>1277</v>
      </c>
      <c r="AV38" s="157">
        <f>MAX(AV33-2*AV37,0)</f>
        <v>0</v>
      </c>
      <c r="AW38" s="844" t="str">
        <f>IF(AV35&lt;AV38,"Outlier Flag","")</f>
        <v/>
      </c>
    </row>
    <row r="39" spans="1:58" x14ac:dyDescent="0.3">
      <c r="I39" s="320"/>
      <c r="Q39" s="649"/>
      <c r="AE39" s="649"/>
      <c r="AS39" s="175"/>
      <c r="AU39" s="843" t="s">
        <v>1278</v>
      </c>
      <c r="AV39" s="157">
        <f>AV33+2.2*AV37</f>
        <v>46.747838640713667</v>
      </c>
      <c r="AW39" s="844" t="str">
        <f>IF(AV36&gt;AV39,"Outlier Flag","")</f>
        <v/>
      </c>
    </row>
    <row r="40" spans="1:58" x14ac:dyDescent="0.3">
      <c r="I40" s="320"/>
      <c r="Q40" s="649"/>
      <c r="AE40" s="649"/>
      <c r="AS40" s="175"/>
    </row>
  </sheetData>
  <sheetProtection formatCells="0" formatColumns="0" formatRows="0" insertColumns="0" insertRows="0" insertHyperlinks="0" deleteColumns="0" deleteRows="0" sort="0"/>
  <mergeCells count="1">
    <mergeCell ref="A1:B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33"/>
  <sheetViews>
    <sheetView zoomScaleNormal="100" workbookViewId="0">
      <selection sqref="A1:B1"/>
    </sheetView>
  </sheetViews>
  <sheetFormatPr defaultRowHeight="14.4" x14ac:dyDescent="0.3"/>
  <cols>
    <col min="1" max="1" width="5.6640625" style="31" customWidth="1"/>
    <col min="2" max="2" width="28.44140625" style="31" customWidth="1"/>
    <col min="3" max="3" width="14.5546875" style="31" customWidth="1"/>
    <col min="4" max="4" width="20.109375" style="40" customWidth="1"/>
    <col min="5" max="5" width="55.88671875" style="31" customWidth="1"/>
    <col min="6" max="6" width="35.5546875" style="31" customWidth="1"/>
    <col min="7" max="8" width="12.33203125" style="31" customWidth="1"/>
    <col min="9" max="9" width="8.88671875" style="583" customWidth="1"/>
    <col min="10" max="10" width="9.44140625" style="31" bestFit="1" customWidth="1"/>
    <col min="11" max="11" width="9.33203125" style="31" customWidth="1"/>
    <col min="12" max="12" width="10.44140625" style="31" customWidth="1"/>
    <col min="13" max="13" width="11.6640625" style="31" customWidth="1"/>
    <col min="14" max="14" width="11" style="31" customWidth="1"/>
    <col min="15" max="15" width="10.109375" style="262" customWidth="1"/>
    <col min="16" max="16" width="12.33203125" style="262" bestFit="1" customWidth="1"/>
    <col min="17" max="17" width="9.5546875" style="583" customWidth="1"/>
    <col min="18" max="18" width="10.33203125" style="583" customWidth="1"/>
    <col min="19" max="19" width="12.33203125" style="583" bestFit="1" customWidth="1"/>
    <col min="20" max="22" width="10.109375" style="412" customWidth="1"/>
    <col min="23" max="23" width="15.109375" style="146" bestFit="1" customWidth="1"/>
    <col min="24" max="24" width="14.44140625" style="146" bestFit="1" customWidth="1"/>
    <col min="25" max="25" width="14.6640625" style="146" customWidth="1"/>
    <col min="26" max="27" width="8.88671875" style="31"/>
    <col min="28" max="28" width="11.44140625" style="31" customWidth="1"/>
    <col min="29" max="29" width="10.33203125" style="31" customWidth="1"/>
    <col min="30" max="30" width="15.44140625" style="85" bestFit="1" customWidth="1"/>
    <col min="31" max="31" width="9.109375" style="583"/>
    <col min="32" max="32" width="13.109375" style="583" bestFit="1" customWidth="1"/>
    <col min="33" max="35" width="10.109375" style="412" customWidth="1"/>
    <col min="36" max="36" width="15.109375" style="146" bestFit="1" customWidth="1"/>
    <col min="37" max="37" width="14.6640625" style="146" customWidth="1"/>
    <col min="38" max="38" width="15" style="146" customWidth="1"/>
    <col min="39" max="39" width="10.33203125" style="31" customWidth="1"/>
    <col min="40" max="40" width="10.5546875" style="31" customWidth="1"/>
    <col min="41" max="41" width="11.33203125" style="31" customWidth="1"/>
    <col min="42" max="42" width="10.6640625" style="31" customWidth="1"/>
    <col min="43" max="43" width="10.109375" style="85" customWidth="1"/>
    <col min="44" max="44" width="12.33203125" style="85" bestFit="1" customWidth="1"/>
    <col min="45" max="45" width="9.88671875" style="583" customWidth="1"/>
    <col min="46" max="46" width="10.33203125" style="583" customWidth="1"/>
    <col min="47" max="47" width="12.33203125" style="583" bestFit="1" customWidth="1"/>
    <col min="48" max="50" width="10.33203125" style="412" customWidth="1"/>
    <col min="51" max="53" width="15.6640625" style="31" customWidth="1"/>
    <col min="54" max="54" width="16.33203125" style="185" bestFit="1" customWidth="1"/>
    <col min="55" max="55" width="16.5546875" style="185" bestFit="1" customWidth="1"/>
    <col min="56" max="56" width="9.109375" style="185"/>
    <col min="57" max="58" width="8.88671875" style="31"/>
  </cols>
  <sheetData>
    <row r="1" spans="1:56" x14ac:dyDescent="0.3">
      <c r="A1" s="899" t="s">
        <v>1192</v>
      </c>
      <c r="B1" s="899"/>
      <c r="C1" s="657"/>
      <c r="D1" s="582"/>
      <c r="K1" s="108" t="s">
        <v>626</v>
      </c>
      <c r="O1" s="86" t="s">
        <v>601</v>
      </c>
      <c r="P1" s="87"/>
      <c r="Q1" s="583" t="s">
        <v>602</v>
      </c>
      <c r="R1" s="586"/>
      <c r="S1" s="586"/>
      <c r="T1" s="118"/>
      <c r="U1" s="118"/>
      <c r="V1" s="118"/>
      <c r="W1" s="587"/>
      <c r="X1" s="587"/>
      <c r="Y1" s="587"/>
      <c r="Z1" s="108" t="s">
        <v>89</v>
      </c>
      <c r="AD1" s="87" t="s">
        <v>601</v>
      </c>
      <c r="AE1" s="583" t="s">
        <v>602</v>
      </c>
      <c r="AF1" s="586"/>
      <c r="AG1" s="156"/>
      <c r="AH1" s="156"/>
      <c r="AI1" s="156"/>
      <c r="AJ1" s="587"/>
      <c r="AK1" s="587"/>
      <c r="AL1" s="587"/>
      <c r="AM1" s="108" t="s">
        <v>627</v>
      </c>
      <c r="AQ1" s="86" t="s">
        <v>601</v>
      </c>
      <c r="AR1" s="86"/>
      <c r="AS1" s="583" t="s">
        <v>602</v>
      </c>
      <c r="AT1" s="586"/>
      <c r="AU1" s="586"/>
      <c r="AV1" s="118"/>
      <c r="AW1" s="118"/>
      <c r="AX1" s="118"/>
      <c r="AY1" s="587"/>
      <c r="AZ1" s="587"/>
      <c r="BA1" s="587"/>
    </row>
    <row r="2" spans="1:56" x14ac:dyDescent="0.3">
      <c r="D2" s="32"/>
      <c r="G2" s="584"/>
      <c r="H2" s="584"/>
      <c r="J2" s="92"/>
      <c r="K2" s="108"/>
      <c r="O2" s="588" t="s">
        <v>603</v>
      </c>
      <c r="P2" s="589"/>
      <c r="Q2" s="590" t="s">
        <v>603</v>
      </c>
      <c r="R2" s="590" t="s">
        <v>603</v>
      </c>
      <c r="S2" s="590"/>
      <c r="T2" s="591" t="s">
        <v>801</v>
      </c>
      <c r="U2" s="591"/>
      <c r="V2" s="591"/>
      <c r="W2" s="592"/>
      <c r="X2" s="592"/>
      <c r="Y2" s="592"/>
      <c r="AD2" s="589"/>
      <c r="AF2" s="590"/>
      <c r="AG2" s="593" t="s">
        <v>801</v>
      </c>
      <c r="AH2" s="593"/>
      <c r="AI2" s="593"/>
      <c r="AJ2" s="592"/>
      <c r="AK2" s="592"/>
      <c r="AL2" s="592"/>
      <c r="AM2" s="108"/>
      <c r="AQ2" s="588" t="s">
        <v>604</v>
      </c>
      <c r="AR2" s="588"/>
      <c r="AS2" s="590" t="s">
        <v>604</v>
      </c>
      <c r="AT2" s="590" t="s">
        <v>604</v>
      </c>
      <c r="AU2" s="590"/>
      <c r="AV2" s="591" t="s">
        <v>801</v>
      </c>
      <c r="AW2" s="591"/>
      <c r="AX2" s="591"/>
      <c r="AY2" s="592"/>
      <c r="AZ2" s="592"/>
      <c r="BA2" s="592"/>
    </row>
    <row r="3" spans="1:56" ht="43.2" x14ac:dyDescent="0.3">
      <c r="B3" s="108" t="s">
        <v>1</v>
      </c>
      <c r="C3" s="108" t="s">
        <v>2</v>
      </c>
      <c r="D3" s="378" t="s">
        <v>930</v>
      </c>
      <c r="E3" s="108" t="s">
        <v>5</v>
      </c>
      <c r="F3" s="108" t="s">
        <v>7</v>
      </c>
      <c r="G3" s="594" t="s">
        <v>1176</v>
      </c>
      <c r="H3" s="594" t="s">
        <v>1176</v>
      </c>
      <c r="I3" s="740" t="s">
        <v>593</v>
      </c>
      <c r="J3" s="533"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row>
    <row r="4" spans="1:56" x14ac:dyDescent="0.3">
      <c r="D4" s="32"/>
      <c r="G4" s="33" t="s">
        <v>85</v>
      </c>
      <c r="H4" s="33" t="s">
        <v>522</v>
      </c>
      <c r="I4" s="595"/>
      <c r="J4" s="601" t="s">
        <v>595</v>
      </c>
      <c r="L4" s="31" t="s">
        <v>88</v>
      </c>
      <c r="O4" s="86" t="s">
        <v>596</v>
      </c>
      <c r="P4" s="87" t="s">
        <v>597</v>
      </c>
      <c r="Q4" s="583" t="s">
        <v>88</v>
      </c>
      <c r="R4" s="586" t="s">
        <v>596</v>
      </c>
      <c r="S4" s="586" t="s">
        <v>597</v>
      </c>
      <c r="T4" s="117" t="s">
        <v>88</v>
      </c>
      <c r="U4" s="117" t="s">
        <v>88</v>
      </c>
      <c r="V4" s="117" t="s">
        <v>88</v>
      </c>
      <c r="W4" s="592"/>
      <c r="X4" s="592"/>
      <c r="Y4" s="592"/>
      <c r="AA4" s="31" t="s">
        <v>88</v>
      </c>
      <c r="AD4" s="87" t="s">
        <v>596</v>
      </c>
      <c r="AE4" s="583" t="s">
        <v>88</v>
      </c>
      <c r="AF4" s="586" t="s">
        <v>596</v>
      </c>
      <c r="AG4" s="292" t="s">
        <v>88</v>
      </c>
      <c r="AH4" s="292" t="s">
        <v>88</v>
      </c>
      <c r="AI4" s="292" t="s">
        <v>88</v>
      </c>
      <c r="AJ4" s="602"/>
      <c r="AK4" s="602"/>
      <c r="AL4" s="602"/>
      <c r="AN4" s="31" t="s">
        <v>88</v>
      </c>
      <c r="AQ4" s="86" t="s">
        <v>596</v>
      </c>
      <c r="AR4" s="86" t="s">
        <v>597</v>
      </c>
      <c r="AS4" s="583" t="s">
        <v>88</v>
      </c>
      <c r="AT4" s="586" t="s">
        <v>596</v>
      </c>
      <c r="AU4" s="586" t="s">
        <v>597</v>
      </c>
      <c r="AV4" s="302" t="s">
        <v>88</v>
      </c>
      <c r="AW4" s="302" t="s">
        <v>88</v>
      </c>
      <c r="AX4" s="302" t="s">
        <v>88</v>
      </c>
      <c r="AY4" s="602"/>
      <c r="AZ4" s="602"/>
      <c r="BA4" s="648"/>
      <c r="BB4" s="319"/>
      <c r="BC4" s="192"/>
      <c r="BD4" s="603"/>
    </row>
    <row r="5" spans="1:56" x14ac:dyDescent="0.3">
      <c r="D5" s="32"/>
      <c r="I5" s="585"/>
      <c r="J5" s="91"/>
      <c r="O5" s="386"/>
      <c r="P5" s="386"/>
      <c r="Q5" s="659"/>
      <c r="R5" s="659"/>
      <c r="S5" s="659"/>
      <c r="T5" s="343"/>
      <c r="U5" s="343"/>
      <c r="V5" s="343"/>
      <c r="W5" s="153"/>
      <c r="X5" s="153"/>
      <c r="Y5" s="153"/>
    </row>
    <row r="6" spans="1:56" x14ac:dyDescent="0.3">
      <c r="D6" s="32"/>
      <c r="I6" s="585"/>
      <c r="J6" s="91"/>
      <c r="AD6" s="262"/>
      <c r="AE6" s="649"/>
      <c r="AF6" s="586"/>
      <c r="AO6" s="31" t="s">
        <v>435</v>
      </c>
      <c r="AQ6" s="262"/>
      <c r="AR6" s="262"/>
      <c r="AT6" s="586"/>
      <c r="AU6" s="586"/>
    </row>
    <row r="7" spans="1:56" x14ac:dyDescent="0.3">
      <c r="A7" s="31">
        <v>1</v>
      </c>
      <c r="B7" s="31" t="s">
        <v>418</v>
      </c>
      <c r="C7" s="31" t="s">
        <v>419</v>
      </c>
      <c r="D7" s="32" t="s">
        <v>926</v>
      </c>
      <c r="E7" s="31" t="s">
        <v>420</v>
      </c>
      <c r="F7" s="31" t="s">
        <v>1208</v>
      </c>
      <c r="H7" s="31">
        <v>288</v>
      </c>
      <c r="I7" s="219">
        <f t="shared" ref="I7:I29" si="0">-LOG10(EXP(LN(10^-14)+13.36*(1/298.15-1/H7)/0.0019872))</f>
        <v>14.345134148556776</v>
      </c>
      <c r="J7" s="811">
        <f t="shared" ref="J7:J29" si="1">47.99*0.239</f>
        <v>11.469609999999999</v>
      </c>
      <c r="Q7" s="208"/>
      <c r="R7" s="208"/>
      <c r="S7" s="208"/>
      <c r="AD7" s="262"/>
      <c r="AE7" s="653"/>
      <c r="AF7" s="209"/>
      <c r="AM7" s="115">
        <f>(14+LOG10(0.005))</f>
        <v>11.698970004336019</v>
      </c>
      <c r="AO7" s="31">
        <v>0.94</v>
      </c>
      <c r="AP7" s="31" t="s">
        <v>644</v>
      </c>
      <c r="AQ7" s="262">
        <f t="shared" ref="AQ7:AQ26" si="2">10^-3*AO7*10^(9-AM7)</f>
        <v>1.8799999999999987E-6</v>
      </c>
      <c r="AR7" s="262">
        <f t="shared" ref="AR7:AR29" si="3">AQ7*10^($I7-9)</f>
        <v>0.41619034194984739</v>
      </c>
      <c r="AS7" s="219">
        <f t="shared" ref="AS7:AS29" si="4">(LN(2)/AT7)/(60*60*24)</f>
        <v>0.9743629520587106</v>
      </c>
      <c r="AT7" s="209">
        <f t="shared" ref="AT7:AT29" si="5">AU7*10^(9-14)</f>
        <v>8.2336225890832141E-6</v>
      </c>
      <c r="AU7" s="209">
        <f t="shared" ref="AU7:AU29" si="6">EXP(LN(AR7)+$J7*(1/$H7-1/298.15)/0.0019872)</f>
        <v>0.82336225890832138</v>
      </c>
      <c r="AV7" s="412">
        <f>AVERAGE(AS7:AS29)</f>
        <v>2.7334084508991574</v>
      </c>
      <c r="AW7" s="412">
        <f>MEDIAN(AS7:AS29)</f>
        <v>1.888239935278736</v>
      </c>
      <c r="AX7" s="412">
        <f>STDEV(AS7:AS30)</f>
        <v>2.2901948656481212</v>
      </c>
    </row>
    <row r="8" spans="1:56" x14ac:dyDescent="0.3">
      <c r="D8" s="32"/>
      <c r="F8" s="31" t="s">
        <v>1209</v>
      </c>
      <c r="H8" s="31">
        <v>288</v>
      </c>
      <c r="I8" s="219">
        <f t="shared" si="0"/>
        <v>14.345134148556776</v>
      </c>
      <c r="J8" s="811">
        <f t="shared" si="1"/>
        <v>11.469609999999999</v>
      </c>
      <c r="Q8" s="208"/>
      <c r="R8" s="208"/>
      <c r="S8" s="208"/>
      <c r="AD8" s="262"/>
      <c r="AE8" s="653"/>
      <c r="AF8" s="209"/>
      <c r="AM8" s="115">
        <f>(14+LOG10(0.01))</f>
        <v>12</v>
      </c>
      <c r="AO8" s="31">
        <v>2.0299999999999998</v>
      </c>
      <c r="AP8" s="31" t="s">
        <v>644</v>
      </c>
      <c r="AQ8" s="262">
        <f t="shared" si="2"/>
        <v>2.0299999999999996E-6</v>
      </c>
      <c r="AR8" s="262">
        <f t="shared" si="3"/>
        <v>0.44939701816925037</v>
      </c>
      <c r="AS8" s="219">
        <f t="shared" si="4"/>
        <v>0.90236568959131747</v>
      </c>
      <c r="AT8" s="209">
        <f t="shared" si="5"/>
        <v>8.8905605616164558E-6</v>
      </c>
      <c r="AU8" s="209">
        <f t="shared" si="6"/>
        <v>0.88905605616164551</v>
      </c>
    </row>
    <row r="9" spans="1:56" x14ac:dyDescent="0.3">
      <c r="D9" s="32"/>
      <c r="F9" s="31" t="s">
        <v>1210</v>
      </c>
      <c r="H9" s="31">
        <v>288</v>
      </c>
      <c r="I9" s="219">
        <f t="shared" si="0"/>
        <v>14.345134148556776</v>
      </c>
      <c r="J9" s="811">
        <f t="shared" si="1"/>
        <v>11.469609999999999</v>
      </c>
      <c r="Q9" s="208"/>
      <c r="R9" s="208"/>
      <c r="S9" s="208"/>
      <c r="AD9" s="262"/>
      <c r="AE9" s="653"/>
      <c r="AF9" s="209"/>
      <c r="AM9" s="115">
        <f>(14+LOG10(0.02))</f>
        <v>12.301029995663981</v>
      </c>
      <c r="AO9" s="31">
        <v>4.1900000000000004</v>
      </c>
      <c r="AP9" s="31" t="s">
        <v>644</v>
      </c>
      <c r="AQ9" s="262">
        <f t="shared" si="2"/>
        <v>2.0949999999999982E-6</v>
      </c>
      <c r="AR9" s="262">
        <f t="shared" si="3"/>
        <v>0.46378657786432453</v>
      </c>
      <c r="AS9" s="219">
        <f t="shared" si="4"/>
        <v>0.87436866342261377</v>
      </c>
      <c r="AT9" s="209">
        <f t="shared" si="5"/>
        <v>9.1752336830475179E-6</v>
      </c>
      <c r="AU9" s="209">
        <f t="shared" si="6"/>
        <v>0.91752336830475167</v>
      </c>
    </row>
    <row r="10" spans="1:56" x14ac:dyDescent="0.3">
      <c r="D10" s="32"/>
      <c r="F10" s="31" t="s">
        <v>1211</v>
      </c>
      <c r="H10" s="31">
        <v>288</v>
      </c>
      <c r="I10" s="219">
        <f t="shared" si="0"/>
        <v>14.345134148556776</v>
      </c>
      <c r="J10" s="811">
        <f t="shared" si="1"/>
        <v>11.469609999999999</v>
      </c>
      <c r="Q10" s="208"/>
      <c r="R10" s="208"/>
      <c r="S10" s="208"/>
      <c r="AD10" s="262"/>
      <c r="AE10" s="653"/>
      <c r="AF10" s="209"/>
      <c r="AM10" s="115">
        <f>(14+LOG10(0.03))</f>
        <v>12.477121254719663</v>
      </c>
      <c r="AO10" s="31">
        <v>6.83</v>
      </c>
      <c r="AP10" s="31" t="s">
        <v>644</v>
      </c>
      <c r="AQ10" s="262">
        <f t="shared" si="2"/>
        <v>2.2766666666666646E-6</v>
      </c>
      <c r="AR10" s="262">
        <f t="shared" si="3"/>
        <v>0.50400355239671224</v>
      </c>
      <c r="AS10" s="219">
        <f t="shared" si="4"/>
        <v>0.80459839672198075</v>
      </c>
      <c r="AT10" s="209">
        <f t="shared" si="5"/>
        <v>9.9708585608933234E-6</v>
      </c>
      <c r="AU10" s="209">
        <f t="shared" si="6"/>
        <v>0.9970858560893322</v>
      </c>
    </row>
    <row r="11" spans="1:56" x14ac:dyDescent="0.3">
      <c r="D11" s="32"/>
      <c r="F11" s="31" t="s">
        <v>1208</v>
      </c>
      <c r="H11" s="31">
        <v>293</v>
      </c>
      <c r="I11" s="219">
        <f t="shared" si="0"/>
        <v>14.172128976324219</v>
      </c>
      <c r="J11" s="811">
        <f t="shared" si="1"/>
        <v>11.469609999999999</v>
      </c>
      <c r="Q11" s="208"/>
      <c r="R11" s="208"/>
      <c r="S11" s="208"/>
      <c r="AD11" s="262"/>
      <c r="AE11" s="653"/>
      <c r="AF11" s="209"/>
      <c r="AM11" s="115">
        <f>(14+LOG10(0.005))</f>
        <v>11.698970004336019</v>
      </c>
      <c r="AO11" s="31">
        <v>1.63</v>
      </c>
      <c r="AP11" s="31" t="s">
        <v>644</v>
      </c>
      <c r="AQ11" s="262">
        <f t="shared" si="2"/>
        <v>3.259999999999998E-6</v>
      </c>
      <c r="AR11" s="262">
        <f t="shared" si="3"/>
        <v>0.48455890181892425</v>
      </c>
      <c r="AS11" s="219">
        <f t="shared" si="4"/>
        <v>1.1781260848728783</v>
      </c>
      <c r="AT11" s="209">
        <f t="shared" si="5"/>
        <v>6.8095740473330131E-6</v>
      </c>
      <c r="AU11" s="209">
        <f t="shared" si="6"/>
        <v>0.68095740473330124</v>
      </c>
    </row>
    <row r="12" spans="1:56" x14ac:dyDescent="0.3">
      <c r="D12" s="32"/>
      <c r="F12" s="31" t="s">
        <v>1209</v>
      </c>
      <c r="H12" s="31">
        <v>293</v>
      </c>
      <c r="I12" s="219">
        <f t="shared" si="0"/>
        <v>14.172128976324219</v>
      </c>
      <c r="J12" s="811">
        <f t="shared" si="1"/>
        <v>11.469609999999999</v>
      </c>
      <c r="Q12" s="208"/>
      <c r="R12" s="208"/>
      <c r="S12" s="208"/>
      <c r="AD12" s="262"/>
      <c r="AE12" s="653"/>
      <c r="AF12" s="209"/>
      <c r="AM12" s="115">
        <f>(14+LOG10(0.01))</f>
        <v>12</v>
      </c>
      <c r="AO12" s="31">
        <v>3.21</v>
      </c>
      <c r="AP12" s="31" t="s">
        <v>644</v>
      </c>
      <c r="AQ12" s="262">
        <f t="shared" si="2"/>
        <v>3.2100000000000002E-6</v>
      </c>
      <c r="AR12" s="262">
        <f t="shared" si="3"/>
        <v>0.47712701682170178</v>
      </c>
      <c r="AS12" s="219">
        <f t="shared" si="4"/>
        <v>1.1964769584690285</v>
      </c>
      <c r="AT12" s="209">
        <f t="shared" si="5"/>
        <v>6.7051327275886458E-6</v>
      </c>
      <c r="AU12" s="209">
        <f t="shared" si="6"/>
        <v>0.67051327275886452</v>
      </c>
    </row>
    <row r="13" spans="1:56" x14ac:dyDescent="0.3">
      <c r="D13" s="32"/>
      <c r="F13" s="31" t="s">
        <v>1210</v>
      </c>
      <c r="H13" s="31">
        <v>293</v>
      </c>
      <c r="I13" s="219">
        <f t="shared" si="0"/>
        <v>14.172128976324219</v>
      </c>
      <c r="J13" s="811">
        <f t="shared" si="1"/>
        <v>11.469609999999999</v>
      </c>
      <c r="Q13" s="208"/>
      <c r="R13" s="208"/>
      <c r="S13" s="208"/>
      <c r="AD13" s="262"/>
      <c r="AE13" s="653"/>
      <c r="AF13" s="209"/>
      <c r="AM13" s="115">
        <f>(14+LOG10(0.02))</f>
        <v>12.301029995663981</v>
      </c>
      <c r="AO13" s="31">
        <v>6.4</v>
      </c>
      <c r="AP13" s="31" t="s">
        <v>644</v>
      </c>
      <c r="AQ13" s="262">
        <f t="shared" si="2"/>
        <v>3.1999999999999973E-6</v>
      </c>
      <c r="AR13" s="262">
        <f t="shared" si="3"/>
        <v>0.47564063982225679</v>
      </c>
      <c r="AS13" s="219">
        <f t="shared" si="4"/>
        <v>1.2002159489642452</v>
      </c>
      <c r="AT13" s="209">
        <f t="shared" si="5"/>
        <v>6.6842444636397652E-6</v>
      </c>
      <c r="AU13" s="209">
        <f t="shared" si="6"/>
        <v>0.66842444636397647</v>
      </c>
    </row>
    <row r="14" spans="1:56" x14ac:dyDescent="0.3">
      <c r="D14" s="32"/>
      <c r="F14" s="31" t="s">
        <v>1211</v>
      </c>
      <c r="H14" s="31">
        <v>293</v>
      </c>
      <c r="I14" s="219">
        <f t="shared" si="0"/>
        <v>14.172128976324219</v>
      </c>
      <c r="J14" s="811">
        <f t="shared" si="1"/>
        <v>11.469609999999999</v>
      </c>
      <c r="Q14" s="208"/>
      <c r="R14" s="209"/>
      <c r="S14" s="209"/>
      <c r="AD14" s="262"/>
      <c r="AE14" s="653"/>
      <c r="AF14" s="209"/>
      <c r="AM14" s="115">
        <f>(14+LOG10(0.03))</f>
        <v>12.477121254719663</v>
      </c>
      <c r="AO14" s="31">
        <v>8.8699999999999992</v>
      </c>
      <c r="AP14" s="31" t="s">
        <v>644</v>
      </c>
      <c r="AQ14" s="262">
        <f t="shared" si="2"/>
        <v>2.9566666666666641E-6</v>
      </c>
      <c r="AR14" s="262">
        <f t="shared" si="3"/>
        <v>0.43947213283577269</v>
      </c>
      <c r="AS14" s="219">
        <f t="shared" si="4"/>
        <v>1.2989935862521709</v>
      </c>
      <c r="AT14" s="209">
        <f t="shared" si="5"/>
        <v>6.1759633742171574E-6</v>
      </c>
      <c r="AU14" s="209">
        <f t="shared" si="6"/>
        <v>0.61759633742171571</v>
      </c>
    </row>
    <row r="15" spans="1:56" x14ac:dyDescent="0.3">
      <c r="D15" s="32"/>
      <c r="F15" s="31" t="s">
        <v>1208</v>
      </c>
      <c r="H15" s="31">
        <v>298</v>
      </c>
      <c r="I15" s="219">
        <f t="shared" si="0"/>
        <v>14.004929346784028</v>
      </c>
      <c r="J15" s="811">
        <f t="shared" si="1"/>
        <v>11.469609999999999</v>
      </c>
      <c r="Q15" s="208"/>
      <c r="R15" s="209"/>
      <c r="S15" s="209"/>
      <c r="AD15" s="262"/>
      <c r="AE15" s="653"/>
      <c r="AF15" s="209"/>
      <c r="AM15" s="115">
        <f>(14+LOG10(0.005))</f>
        <v>11.698970004336019</v>
      </c>
      <c r="AO15" s="31">
        <v>2.08</v>
      </c>
      <c r="AP15" s="31" t="s">
        <v>644</v>
      </c>
      <c r="AQ15" s="262">
        <f t="shared" si="2"/>
        <v>4.1599999999999983E-6</v>
      </c>
      <c r="AR15" s="262">
        <f t="shared" si="3"/>
        <v>0.42074859790069513</v>
      </c>
      <c r="AS15" s="219">
        <f t="shared" si="4"/>
        <v>1.888239935278736</v>
      </c>
      <c r="AT15" s="209">
        <f t="shared" si="5"/>
        <v>4.2486850649370163E-6</v>
      </c>
      <c r="AU15" s="209">
        <f t="shared" si="6"/>
        <v>0.42486850649370161</v>
      </c>
    </row>
    <row r="16" spans="1:56" x14ac:dyDescent="0.3">
      <c r="D16" s="32"/>
      <c r="F16" s="31" t="s">
        <v>1209</v>
      </c>
      <c r="H16" s="31">
        <v>298</v>
      </c>
      <c r="I16" s="219">
        <f t="shared" si="0"/>
        <v>14.004929346784028</v>
      </c>
      <c r="J16" s="811">
        <f t="shared" si="1"/>
        <v>11.469609999999999</v>
      </c>
      <c r="Q16" s="208"/>
      <c r="R16" s="208"/>
      <c r="S16" s="208"/>
      <c r="AE16" s="653"/>
      <c r="AF16" s="208"/>
      <c r="AM16" s="115">
        <f>(14+LOG10(0.01))</f>
        <v>12</v>
      </c>
      <c r="AO16" s="31">
        <v>4.3099999999999996</v>
      </c>
      <c r="AP16" s="31" t="s">
        <v>644</v>
      </c>
      <c r="AQ16" s="262">
        <f t="shared" si="2"/>
        <v>4.3099999999999994E-6</v>
      </c>
      <c r="AR16" s="262">
        <f t="shared" si="3"/>
        <v>0.43591982138269147</v>
      </c>
      <c r="AS16" s="219">
        <f t="shared" si="4"/>
        <v>1.822523928250473</v>
      </c>
      <c r="AT16" s="209">
        <f t="shared" si="5"/>
        <v>4.4018828437208046E-6</v>
      </c>
      <c r="AU16" s="209">
        <f t="shared" si="6"/>
        <v>0.44018828437208041</v>
      </c>
    </row>
    <row r="17" spans="1:58" x14ac:dyDescent="0.3">
      <c r="D17" s="32"/>
      <c r="F17" s="31" t="s">
        <v>1210</v>
      </c>
      <c r="H17" s="31">
        <v>298</v>
      </c>
      <c r="I17" s="219">
        <f t="shared" si="0"/>
        <v>14.004929346784028</v>
      </c>
      <c r="J17" s="811">
        <f t="shared" si="1"/>
        <v>11.469609999999999</v>
      </c>
      <c r="Q17" s="208"/>
      <c r="R17" s="208"/>
      <c r="S17" s="208"/>
      <c r="AE17" s="653"/>
      <c r="AF17" s="208"/>
      <c r="AM17" s="115">
        <f>(14+LOG10(0.02))</f>
        <v>12.301029995663981</v>
      </c>
      <c r="AO17" s="31">
        <v>9.15</v>
      </c>
      <c r="AP17" s="31" t="s">
        <v>644</v>
      </c>
      <c r="AQ17" s="262">
        <f t="shared" si="2"/>
        <v>4.574999999999996E-6</v>
      </c>
      <c r="AR17" s="262">
        <f t="shared" si="3"/>
        <v>0.46272231620088444</v>
      </c>
      <c r="AS17" s="219">
        <f t="shared" si="4"/>
        <v>1.7169569684720318</v>
      </c>
      <c r="AT17" s="209">
        <f t="shared" si="5"/>
        <v>4.6725322529054903E-6</v>
      </c>
      <c r="AU17" s="209">
        <f t="shared" si="6"/>
        <v>0.46725322529054902</v>
      </c>
    </row>
    <row r="18" spans="1:58" x14ac:dyDescent="0.3">
      <c r="D18" s="32"/>
      <c r="F18" s="31" t="s">
        <v>1211</v>
      </c>
      <c r="H18" s="31">
        <v>298</v>
      </c>
      <c r="I18" s="219">
        <f t="shared" si="0"/>
        <v>14.004929346784028</v>
      </c>
      <c r="J18" s="811">
        <f t="shared" si="1"/>
        <v>11.469609999999999</v>
      </c>
      <c r="Q18" s="208"/>
      <c r="R18" s="208"/>
      <c r="S18" s="208"/>
      <c r="AE18" s="653"/>
      <c r="AF18" s="208"/>
      <c r="AM18" s="115">
        <f>(14+LOG10(0.03))</f>
        <v>12.477121254719663</v>
      </c>
      <c r="AO18" s="31">
        <v>13.2</v>
      </c>
      <c r="AP18" s="31" t="s">
        <v>644</v>
      </c>
      <c r="AQ18" s="262">
        <f t="shared" si="2"/>
        <v>4.399999999999996E-6</v>
      </c>
      <c r="AR18" s="262">
        <f t="shared" si="3"/>
        <v>0.44502255547188885</v>
      </c>
      <c r="AS18" s="219">
        <f t="shared" si="4"/>
        <v>1.7852450297180786</v>
      </c>
      <c r="AT18" s="209">
        <f t="shared" si="5"/>
        <v>4.4938015109910724E-6</v>
      </c>
      <c r="AU18" s="209">
        <f t="shared" si="6"/>
        <v>0.44938015109910723</v>
      </c>
    </row>
    <row r="19" spans="1:58" x14ac:dyDescent="0.3">
      <c r="D19" s="32"/>
      <c r="F19" s="31" t="s">
        <v>1208</v>
      </c>
      <c r="H19" s="31">
        <v>303</v>
      </c>
      <c r="I19" s="219">
        <f t="shared" si="0"/>
        <v>13.843247856832624</v>
      </c>
      <c r="J19" s="811">
        <f t="shared" si="1"/>
        <v>11.469609999999999</v>
      </c>
      <c r="Q19" s="208"/>
      <c r="R19" s="208"/>
      <c r="S19" s="208"/>
      <c r="AE19" s="653"/>
      <c r="AF19" s="208"/>
      <c r="AM19" s="115">
        <f>(14+LOG10(0.005))</f>
        <v>11.698970004336019</v>
      </c>
      <c r="AO19" s="31">
        <v>3.12</v>
      </c>
      <c r="AP19" s="31" t="s">
        <v>644</v>
      </c>
      <c r="AQ19" s="262">
        <f t="shared" si="2"/>
        <v>6.239999999999997E-6</v>
      </c>
      <c r="AR19" s="262">
        <f t="shared" si="3"/>
        <v>0.43494310099256012</v>
      </c>
      <c r="AS19" s="219">
        <f t="shared" si="4"/>
        <v>2.5144996158474355</v>
      </c>
      <c r="AT19" s="209">
        <f t="shared" si="5"/>
        <v>3.190510255589223E-6</v>
      </c>
      <c r="AU19" s="209">
        <f t="shared" si="6"/>
        <v>0.31905102555892229</v>
      </c>
    </row>
    <row r="20" spans="1:58" x14ac:dyDescent="0.3">
      <c r="D20" s="32"/>
      <c r="F20" s="31" t="s">
        <v>1209</v>
      </c>
      <c r="H20" s="31">
        <v>303</v>
      </c>
      <c r="I20" s="219">
        <f t="shared" si="0"/>
        <v>13.843247856832624</v>
      </c>
      <c r="J20" s="811">
        <f t="shared" si="1"/>
        <v>11.469609999999999</v>
      </c>
      <c r="Q20" s="208"/>
      <c r="R20" s="208"/>
      <c r="S20" s="208"/>
      <c r="AD20" s="262"/>
      <c r="AE20" s="653"/>
      <c r="AF20" s="209"/>
      <c r="AM20" s="115">
        <f>(14+LOG10(0.01))</f>
        <v>12</v>
      </c>
      <c r="AO20" s="31">
        <v>6.32</v>
      </c>
      <c r="AP20" s="31" t="s">
        <v>644</v>
      </c>
      <c r="AQ20" s="262">
        <f t="shared" si="2"/>
        <v>6.3200000000000005E-6</v>
      </c>
      <c r="AR20" s="262">
        <f t="shared" si="3"/>
        <v>0.44051929459502903</v>
      </c>
      <c r="AS20" s="219">
        <f t="shared" si="4"/>
        <v>2.4826705067860737</v>
      </c>
      <c r="AT20" s="209">
        <f t="shared" si="5"/>
        <v>3.2314142332249842E-6</v>
      </c>
      <c r="AU20" s="209">
        <f t="shared" si="6"/>
        <v>0.3231414233224984</v>
      </c>
    </row>
    <row r="21" spans="1:58" x14ac:dyDescent="0.3">
      <c r="D21" s="32"/>
      <c r="F21" s="31" t="s">
        <v>1210</v>
      </c>
      <c r="H21" s="31">
        <v>303</v>
      </c>
      <c r="I21" s="219">
        <f t="shared" si="0"/>
        <v>13.843247856832624</v>
      </c>
      <c r="J21" s="811">
        <f t="shared" si="1"/>
        <v>11.469609999999999</v>
      </c>
      <c r="Q21" s="219"/>
      <c r="R21" s="209"/>
      <c r="S21" s="209"/>
      <c r="AE21" s="653"/>
      <c r="AF21" s="208"/>
      <c r="AM21" s="115">
        <f>(14+LOG10(0.02))</f>
        <v>12.301029995663981</v>
      </c>
      <c r="AO21" s="31">
        <v>12.01</v>
      </c>
      <c r="AP21" s="31" t="s">
        <v>644</v>
      </c>
      <c r="AQ21" s="262">
        <f t="shared" si="2"/>
        <v>6.004999999999995E-6</v>
      </c>
      <c r="AR21" s="262">
        <f t="shared" si="3"/>
        <v>0.41856303228530806</v>
      </c>
      <c r="AS21" s="219">
        <f t="shared" si="4"/>
        <v>2.6129021819963363</v>
      </c>
      <c r="AT21" s="209">
        <f t="shared" si="5"/>
        <v>3.0703548212841793E-6</v>
      </c>
      <c r="AU21" s="209">
        <f t="shared" si="6"/>
        <v>0.30703548212841791</v>
      </c>
    </row>
    <row r="22" spans="1:58" x14ac:dyDescent="0.3">
      <c r="D22" s="32"/>
      <c r="F22" s="31" t="s">
        <v>1211</v>
      </c>
      <c r="H22" s="31">
        <v>303</v>
      </c>
      <c r="I22" s="219">
        <f t="shared" si="0"/>
        <v>13.843247856832624</v>
      </c>
      <c r="J22" s="811">
        <f t="shared" si="1"/>
        <v>11.469609999999999</v>
      </c>
      <c r="Q22" s="208"/>
      <c r="R22" s="208"/>
      <c r="S22" s="208"/>
      <c r="AD22" s="262"/>
      <c r="AE22" s="653"/>
      <c r="AF22" s="209"/>
      <c r="AM22" s="115">
        <f>(14+LOG10(0.03))</f>
        <v>12.477121254719663</v>
      </c>
      <c r="AO22" s="31">
        <v>17.5</v>
      </c>
      <c r="AP22" s="31" t="s">
        <v>644</v>
      </c>
      <c r="AQ22" s="262">
        <f t="shared" si="2"/>
        <v>5.8333333333333289E-6</v>
      </c>
      <c r="AR22" s="262">
        <f t="shared" si="3"/>
        <v>0.40659745018001064</v>
      </c>
      <c r="AS22" s="219">
        <f t="shared" si="4"/>
        <v>2.6897961604950855</v>
      </c>
      <c r="AT22" s="209">
        <f t="shared" si="5"/>
        <v>2.9825817026074462E-6</v>
      </c>
      <c r="AU22" s="209">
        <f t="shared" si="6"/>
        <v>0.29825817026074458</v>
      </c>
    </row>
    <row r="23" spans="1:58" x14ac:dyDescent="0.3">
      <c r="D23" s="32"/>
      <c r="F23" s="31" t="s">
        <v>1208</v>
      </c>
      <c r="H23" s="31">
        <v>308</v>
      </c>
      <c r="I23" s="219">
        <f t="shared" si="0"/>
        <v>13.686815765905616</v>
      </c>
      <c r="J23" s="811">
        <f t="shared" si="1"/>
        <v>11.469609999999999</v>
      </c>
      <c r="Q23" s="208"/>
      <c r="R23" s="208"/>
      <c r="S23" s="208"/>
      <c r="AE23" s="653"/>
      <c r="AF23" s="208"/>
      <c r="AM23" s="115">
        <f>(14+LOG10(0.005))</f>
        <v>11.698970004336019</v>
      </c>
      <c r="AO23" s="31">
        <v>5.13</v>
      </c>
      <c r="AP23" s="31" t="s">
        <v>644</v>
      </c>
      <c r="AQ23" s="262">
        <f t="shared" si="2"/>
        <v>1.0259999999999993E-5</v>
      </c>
      <c r="AR23" s="262">
        <f t="shared" si="3"/>
        <v>0.49884213199268262</v>
      </c>
      <c r="AS23" s="219">
        <f t="shared" si="4"/>
        <v>2.9868844984854648</v>
      </c>
      <c r="AT23" s="209">
        <f t="shared" si="5"/>
        <v>2.685921339142617E-6</v>
      </c>
      <c r="AU23" s="209">
        <f t="shared" si="6"/>
        <v>0.26859213391426168</v>
      </c>
    </row>
    <row r="24" spans="1:58" x14ac:dyDescent="0.3">
      <c r="D24" s="32"/>
      <c r="F24" s="31" t="s">
        <v>1209</v>
      </c>
      <c r="H24" s="31">
        <v>308</v>
      </c>
      <c r="I24" s="219">
        <f t="shared" si="0"/>
        <v>13.686815765905616</v>
      </c>
      <c r="J24" s="811">
        <f t="shared" si="1"/>
        <v>11.469609999999999</v>
      </c>
      <c r="Q24" s="208"/>
      <c r="R24" s="208"/>
      <c r="S24" s="208"/>
      <c r="AE24" s="653"/>
      <c r="AF24" s="208"/>
      <c r="AM24" s="115">
        <f>(14+LOG10(0.01))</f>
        <v>12</v>
      </c>
      <c r="AO24" s="31">
        <v>9.1199999999999992</v>
      </c>
      <c r="AP24" s="31" t="s">
        <v>644</v>
      </c>
      <c r="AQ24" s="262">
        <f t="shared" si="2"/>
        <v>9.1199999999999991E-6</v>
      </c>
      <c r="AR24" s="262">
        <f t="shared" si="3"/>
        <v>0.44341522843794035</v>
      </c>
      <c r="AS24" s="219">
        <f t="shared" si="4"/>
        <v>3.3602450607961463</v>
      </c>
      <c r="AT24" s="209">
        <f t="shared" si="5"/>
        <v>2.3874856347934384E-6</v>
      </c>
      <c r="AU24" s="209">
        <f t="shared" si="6"/>
        <v>0.23874856347934384</v>
      </c>
    </row>
    <row r="25" spans="1:58" x14ac:dyDescent="0.3">
      <c r="D25" s="32"/>
      <c r="F25" s="31" t="s">
        <v>1210</v>
      </c>
      <c r="H25" s="31">
        <v>308</v>
      </c>
      <c r="I25" s="219">
        <f t="shared" si="0"/>
        <v>13.686815765905616</v>
      </c>
      <c r="J25" s="811">
        <f t="shared" si="1"/>
        <v>11.469609999999999</v>
      </c>
      <c r="Q25" s="208"/>
      <c r="R25" s="208"/>
      <c r="S25" s="208"/>
      <c r="AE25" s="653"/>
      <c r="AF25" s="208"/>
      <c r="AM25" s="115">
        <f>(14+LOG10(0.02))</f>
        <v>12.301029995663981</v>
      </c>
      <c r="AO25" s="31">
        <v>19</v>
      </c>
      <c r="AP25" s="31" t="s">
        <v>644</v>
      </c>
      <c r="AQ25" s="262">
        <f t="shared" si="2"/>
        <v>9.4999999999999921E-6</v>
      </c>
      <c r="AR25" s="262">
        <f t="shared" si="3"/>
        <v>0.46189086295618753</v>
      </c>
      <c r="AS25" s="219">
        <f t="shared" si="4"/>
        <v>3.2258352583643015</v>
      </c>
      <c r="AT25" s="209">
        <f t="shared" si="5"/>
        <v>2.4869642029098307E-6</v>
      </c>
      <c r="AU25" s="209">
        <f t="shared" si="6"/>
        <v>0.24869642029098304</v>
      </c>
    </row>
    <row r="26" spans="1:58" x14ac:dyDescent="0.3">
      <c r="D26" s="32"/>
      <c r="F26" s="31" t="s">
        <v>1211</v>
      </c>
      <c r="H26" s="31">
        <v>308</v>
      </c>
      <c r="I26" s="219">
        <f t="shared" si="0"/>
        <v>13.686815765905616</v>
      </c>
      <c r="J26" s="811">
        <f t="shared" si="1"/>
        <v>11.469609999999999</v>
      </c>
      <c r="Q26" s="208"/>
      <c r="R26" s="208"/>
      <c r="S26" s="208"/>
      <c r="AE26" s="653"/>
      <c r="AF26" s="208"/>
      <c r="AM26" s="115">
        <f>(14+LOG10(0.03))</f>
        <v>12.477121254719663</v>
      </c>
      <c r="AO26" s="31">
        <v>26.05</v>
      </c>
      <c r="AP26" s="31" t="s">
        <v>644</v>
      </c>
      <c r="AQ26" s="262">
        <f t="shared" si="2"/>
        <v>8.6833333333333253E-6</v>
      </c>
      <c r="AR26" s="262">
        <f t="shared" si="3"/>
        <v>0.42218445543890121</v>
      </c>
      <c r="AS26" s="219">
        <f t="shared" si="4"/>
        <v>3.5292247548323461</v>
      </c>
      <c r="AT26" s="209">
        <f t="shared" si="5"/>
        <v>2.2731725433614414E-6</v>
      </c>
      <c r="AU26" s="209">
        <f t="shared" si="6"/>
        <v>0.22731725433614414</v>
      </c>
    </row>
    <row r="27" spans="1:58" x14ac:dyDescent="0.3">
      <c r="D27" s="32"/>
      <c r="E27" s="31" t="s">
        <v>436</v>
      </c>
      <c r="F27" s="31" t="s">
        <v>645</v>
      </c>
      <c r="H27" s="31">
        <v>298</v>
      </c>
      <c r="I27" s="219">
        <f t="shared" si="0"/>
        <v>14.004929346784028</v>
      </c>
      <c r="J27" s="811">
        <f t="shared" si="1"/>
        <v>11.469609999999999</v>
      </c>
      <c r="Q27" s="208"/>
      <c r="R27" s="208"/>
      <c r="S27" s="208"/>
      <c r="AE27" s="653"/>
      <c r="AF27" s="208"/>
      <c r="AM27" s="31">
        <v>10.6</v>
      </c>
      <c r="AO27" s="31">
        <v>5.23</v>
      </c>
      <c r="AP27" s="31" t="s">
        <v>646</v>
      </c>
      <c r="AQ27" s="262">
        <f>10^-5*AO27*10^(9-AM27)</f>
        <v>1.3137166036795116E-6</v>
      </c>
      <c r="AR27" s="262">
        <f t="shared" si="3"/>
        <v>0.13287125457620624</v>
      </c>
      <c r="AS27" s="219">
        <f t="shared" si="4"/>
        <v>5.9792790231612463</v>
      </c>
      <c r="AT27" s="209">
        <f t="shared" si="5"/>
        <v>1.3417231042338757E-6</v>
      </c>
      <c r="AU27" s="209">
        <f t="shared" si="6"/>
        <v>0.13417231042338756</v>
      </c>
    </row>
    <row r="28" spans="1:58" x14ac:dyDescent="0.3">
      <c r="D28" s="32"/>
      <c r="F28" s="31" t="s">
        <v>647</v>
      </c>
      <c r="H28" s="31">
        <v>298</v>
      </c>
      <c r="I28" s="219">
        <f t="shared" si="0"/>
        <v>14.004929346784028</v>
      </c>
      <c r="J28" s="811">
        <f t="shared" si="1"/>
        <v>11.469609999999999</v>
      </c>
      <c r="Q28" s="208"/>
      <c r="R28" s="208"/>
      <c r="S28" s="208"/>
      <c r="AE28" s="653"/>
      <c r="AF28" s="208"/>
      <c r="AM28" s="31">
        <v>10.78</v>
      </c>
      <c r="AO28" s="31">
        <v>5.62</v>
      </c>
      <c r="AP28" s="31" t="s">
        <v>646</v>
      </c>
      <c r="AQ28" s="262">
        <f>10^-5*AO28*10^(9-AM28)</f>
        <v>9.326878419799101E-7</v>
      </c>
      <c r="AR28" s="262">
        <f t="shared" si="3"/>
        <v>9.4333437930786648E-2</v>
      </c>
      <c r="AS28" s="219">
        <f t="shared" si="4"/>
        <v>8.4219797634380829</v>
      </c>
      <c r="AT28" s="209">
        <f t="shared" si="5"/>
        <v>9.5257137126643782E-7</v>
      </c>
      <c r="AU28" s="209">
        <f t="shared" si="6"/>
        <v>9.5257137126643771E-2</v>
      </c>
    </row>
    <row r="29" spans="1:58" x14ac:dyDescent="0.3">
      <c r="D29" s="32"/>
      <c r="F29" s="31" t="s">
        <v>648</v>
      </c>
      <c r="H29" s="31">
        <v>298</v>
      </c>
      <c r="I29" s="219">
        <f t="shared" si="0"/>
        <v>14.004929346784028</v>
      </c>
      <c r="J29" s="811">
        <f t="shared" si="1"/>
        <v>11.469609999999999</v>
      </c>
      <c r="Q29" s="208"/>
      <c r="R29" s="208"/>
      <c r="S29" s="208"/>
      <c r="AE29" s="653"/>
      <c r="AF29" s="208"/>
      <c r="AM29" s="31">
        <v>10.97</v>
      </c>
      <c r="AO29" s="31">
        <v>7.78</v>
      </c>
      <c r="AP29" s="31" t="s">
        <v>646</v>
      </c>
      <c r="AQ29" s="262">
        <f>10^-5*AO29*10^(9-AM29)</f>
        <v>8.3364201947485642E-7</v>
      </c>
      <c r="AR29" s="262">
        <f t="shared" si="3"/>
        <v>8.431579587623797E-2</v>
      </c>
      <c r="AS29" s="219">
        <f t="shared" si="4"/>
        <v>9.4226034044058373</v>
      </c>
      <c r="AT29" s="209">
        <f t="shared" si="5"/>
        <v>8.5141403789585508E-7</v>
      </c>
      <c r="AU29" s="209">
        <f t="shared" si="6"/>
        <v>8.5141403789585499E-2</v>
      </c>
    </row>
    <row r="30" spans="1:58" x14ac:dyDescent="0.3">
      <c r="D30" s="32"/>
      <c r="I30" s="219"/>
      <c r="J30" s="811"/>
      <c r="Q30" s="208"/>
      <c r="R30" s="208"/>
      <c r="S30" s="208"/>
      <c r="AE30" s="653"/>
      <c r="AF30" s="208"/>
      <c r="AM30" s="115"/>
      <c r="AQ30" s="262"/>
      <c r="AR30" s="262"/>
      <c r="AS30" s="208"/>
      <c r="AT30" s="209"/>
      <c r="AU30" s="209"/>
    </row>
    <row r="31" spans="1:58" ht="15" thickBot="1" x14ac:dyDescent="0.35">
      <c r="D31" s="32"/>
      <c r="I31" s="219"/>
      <c r="J31" s="811"/>
      <c r="Q31" s="208"/>
      <c r="R31" s="208"/>
      <c r="S31" s="208"/>
      <c r="AE31" s="653"/>
      <c r="AF31" s="208"/>
      <c r="AM31" s="115"/>
      <c r="AO31" s="31" t="s">
        <v>435</v>
      </c>
      <c r="AQ31" s="262"/>
      <c r="AR31" s="262"/>
      <c r="AS31" s="208"/>
      <c r="AT31" s="209"/>
      <c r="AU31" s="209"/>
    </row>
    <row r="32" spans="1:58" s="8" customFormat="1" x14ac:dyDescent="0.3">
      <c r="A32" s="37">
        <v>2</v>
      </c>
      <c r="B32" s="37" t="s">
        <v>422</v>
      </c>
      <c r="C32" s="37" t="s">
        <v>423</v>
      </c>
      <c r="D32" s="38" t="s">
        <v>926</v>
      </c>
      <c r="E32" s="37" t="s">
        <v>420</v>
      </c>
      <c r="F32" s="37" t="s">
        <v>1208</v>
      </c>
      <c r="G32" s="37"/>
      <c r="H32" s="37">
        <v>288</v>
      </c>
      <c r="I32" s="218">
        <f t="shared" ref="I32:I47" si="7">-LOG10(EXP(LN(10^-14)+13.36*(1/298.15-1/H32)/0.0019872))</f>
        <v>14.345134148556776</v>
      </c>
      <c r="J32" s="826">
        <f t="shared" ref="J32:J47" si="8">49.56*0.239</f>
        <v>11.84484</v>
      </c>
      <c r="K32" s="37"/>
      <c r="L32" s="37"/>
      <c r="M32" s="37"/>
      <c r="N32" s="37"/>
      <c r="O32" s="260"/>
      <c r="P32" s="260"/>
      <c r="Q32" s="214"/>
      <c r="R32" s="214"/>
      <c r="S32" s="214"/>
      <c r="T32" s="410"/>
      <c r="U32" s="410"/>
      <c r="V32" s="410"/>
      <c r="W32" s="477"/>
      <c r="X32" s="477"/>
      <c r="Y32" s="477"/>
      <c r="Z32" s="37"/>
      <c r="AA32" s="37"/>
      <c r="AB32" s="37"/>
      <c r="AC32" s="37"/>
      <c r="AD32" s="465"/>
      <c r="AE32" s="654"/>
      <c r="AF32" s="214"/>
      <c r="AG32" s="410"/>
      <c r="AH32" s="410"/>
      <c r="AI32" s="410"/>
      <c r="AJ32" s="477"/>
      <c r="AK32" s="477"/>
      <c r="AL32" s="477"/>
      <c r="AM32" s="56">
        <f>(14+LOG10(0.005))</f>
        <v>11.698970004336019</v>
      </c>
      <c r="AN32" s="37"/>
      <c r="AO32" s="37">
        <v>0.35</v>
      </c>
      <c r="AP32" s="37" t="s">
        <v>644</v>
      </c>
      <c r="AQ32" s="260">
        <f t="shared" ref="AQ32:AQ88" si="9">10^-3*AO32*10^(9-AM32)</f>
        <v>6.9999999999999954E-7</v>
      </c>
      <c r="AR32" s="260">
        <f t="shared" ref="AR32:AR47" si="10">AQ32*10^($I32-9)</f>
        <v>0.15496448902387935</v>
      </c>
      <c r="AS32" s="218">
        <f t="shared" ref="AS32:AS47" si="11">(LN(2)/AT32)/(60*60*24)</f>
        <v>2.5590991185532266</v>
      </c>
      <c r="AT32" s="215">
        <f t="shared" ref="AT32:AT47" si="12">AU32*10^(9-14)</f>
        <v>3.1349066372122013E-6</v>
      </c>
      <c r="AU32" s="215">
        <f t="shared" ref="AU32:AU47" si="13">EXP(LN(AR32)+$J32*(1/$H32-1/298.15)/0.0019872)</f>
        <v>0.31349066372122009</v>
      </c>
      <c r="AV32" s="410">
        <f>AVERAGE(AS32:AS47)</f>
        <v>7.2128643549398346</v>
      </c>
      <c r="AW32" s="410">
        <f>MEDIAN(AS32:AS47)</f>
        <v>6.9756342668560416</v>
      </c>
      <c r="AX32" s="410">
        <f>STDEV(AS32:AS47)</f>
        <v>3.6637369292702524</v>
      </c>
      <c r="AY32" s="37"/>
      <c r="AZ32" s="37"/>
      <c r="BA32" s="37"/>
      <c r="BB32" s="186"/>
      <c r="BC32" s="186"/>
      <c r="BD32" s="186"/>
      <c r="BE32" s="37"/>
      <c r="BF32" s="37"/>
    </row>
    <row r="33" spans="4:47" x14ac:dyDescent="0.3">
      <c r="D33" s="32"/>
      <c r="F33" s="31" t="s">
        <v>1209</v>
      </c>
      <c r="H33" s="31">
        <v>288</v>
      </c>
      <c r="I33" s="219">
        <f t="shared" si="7"/>
        <v>14.345134148556776</v>
      </c>
      <c r="J33" s="811">
        <f t="shared" si="8"/>
        <v>11.84484</v>
      </c>
      <c r="Q33" s="208"/>
      <c r="R33" s="208"/>
      <c r="S33" s="208"/>
      <c r="AE33" s="653"/>
      <c r="AF33" s="208"/>
      <c r="AM33" s="115">
        <f>(14+LOG10(0.01))</f>
        <v>12</v>
      </c>
      <c r="AO33" s="31">
        <v>0.74</v>
      </c>
      <c r="AP33" s="31" t="s">
        <v>644</v>
      </c>
      <c r="AQ33" s="262">
        <f t="shared" si="9"/>
        <v>7.4000000000000001E-7</v>
      </c>
      <c r="AR33" s="262">
        <f t="shared" si="10"/>
        <v>0.16381960268238685</v>
      </c>
      <c r="AS33" s="219">
        <f t="shared" si="11"/>
        <v>2.4207694364692669</v>
      </c>
      <c r="AT33" s="209">
        <f t="shared" si="12"/>
        <v>3.3140441593386151E-6</v>
      </c>
      <c r="AU33" s="209">
        <f t="shared" si="13"/>
        <v>0.3314044159338615</v>
      </c>
    </row>
    <row r="34" spans="4:47" x14ac:dyDescent="0.3">
      <c r="D34" s="32"/>
      <c r="F34" s="31" t="s">
        <v>1210</v>
      </c>
      <c r="H34" s="31">
        <v>288</v>
      </c>
      <c r="I34" s="219">
        <f t="shared" si="7"/>
        <v>14.345134148556776</v>
      </c>
      <c r="J34" s="811">
        <f t="shared" si="8"/>
        <v>11.84484</v>
      </c>
      <c r="Q34" s="208"/>
      <c r="R34" s="208"/>
      <c r="S34" s="208"/>
      <c r="AE34" s="653"/>
      <c r="AF34" s="208"/>
      <c r="AM34" s="115">
        <f>(14+LOG10(0.02))</f>
        <v>12.301029995663981</v>
      </c>
      <c r="AO34" s="31">
        <v>1.36</v>
      </c>
      <c r="AP34" s="31" t="s">
        <v>644</v>
      </c>
      <c r="AQ34" s="262">
        <f t="shared" si="9"/>
        <v>6.7999999999999952E-7</v>
      </c>
      <c r="AR34" s="262">
        <f t="shared" si="10"/>
        <v>0.15053693219462566</v>
      </c>
      <c r="AS34" s="219">
        <f t="shared" si="11"/>
        <v>2.6343667396871444</v>
      </c>
      <c r="AT34" s="209">
        <f t="shared" si="12"/>
        <v>3.0453378761489961E-6</v>
      </c>
      <c r="AU34" s="209">
        <f t="shared" si="13"/>
        <v>0.30453378761489958</v>
      </c>
    </row>
    <row r="35" spans="4:47" x14ac:dyDescent="0.3">
      <c r="D35" s="32"/>
      <c r="F35" s="31" t="s">
        <v>1211</v>
      </c>
      <c r="H35" s="31">
        <v>288</v>
      </c>
      <c r="I35" s="219">
        <f t="shared" si="7"/>
        <v>14.345134148556776</v>
      </c>
      <c r="J35" s="811">
        <f t="shared" si="8"/>
        <v>11.84484</v>
      </c>
      <c r="Q35" s="208"/>
      <c r="R35" s="208"/>
      <c r="S35" s="208"/>
      <c r="AE35" s="653"/>
      <c r="AF35" s="208"/>
      <c r="AM35" s="115">
        <f>(14+LOG10(0.03))</f>
        <v>12.477121254719663</v>
      </c>
      <c r="AO35" s="31">
        <v>2</v>
      </c>
      <c r="AP35" s="31" t="s">
        <v>644</v>
      </c>
      <c r="AQ35" s="262">
        <f t="shared" si="9"/>
        <v>6.6666666666666607E-7</v>
      </c>
      <c r="AR35" s="262">
        <f t="shared" si="10"/>
        <v>0.14758522764178983</v>
      </c>
      <c r="AS35" s="219">
        <f t="shared" si="11"/>
        <v>2.6870540744808884</v>
      </c>
      <c r="AT35" s="209">
        <f t="shared" si="12"/>
        <v>2.9856253687735244E-6</v>
      </c>
      <c r="AU35" s="209">
        <f t="shared" si="13"/>
        <v>0.2985625368773524</v>
      </c>
    </row>
    <row r="36" spans="4:47" x14ac:dyDescent="0.3">
      <c r="D36" s="32"/>
      <c r="F36" s="31" t="s">
        <v>1208</v>
      </c>
      <c r="H36" s="31">
        <v>298</v>
      </c>
      <c r="I36" s="219">
        <f t="shared" si="7"/>
        <v>14.004929346784028</v>
      </c>
      <c r="J36" s="811">
        <f t="shared" si="8"/>
        <v>11.84484</v>
      </c>
      <c r="Q36" s="208"/>
      <c r="R36" s="208"/>
      <c r="S36" s="208"/>
      <c r="AE36" s="653"/>
      <c r="AF36" s="208"/>
      <c r="AM36" s="115">
        <f>(14+LOG10(0.005))</f>
        <v>11.698970004336019</v>
      </c>
      <c r="AO36" s="31">
        <v>0.72</v>
      </c>
      <c r="AP36" s="31" t="s">
        <v>644</v>
      </c>
      <c r="AQ36" s="262">
        <f t="shared" si="9"/>
        <v>1.4399999999999989E-6</v>
      </c>
      <c r="AR36" s="262">
        <f t="shared" si="10"/>
        <v>0.14564374542716366</v>
      </c>
      <c r="AS36" s="219">
        <f t="shared" si="11"/>
        <v>5.4531767074250208</v>
      </c>
      <c r="AT36" s="209">
        <f t="shared" si="12"/>
        <v>1.4711675858794295E-6</v>
      </c>
      <c r="AU36" s="209">
        <f t="shared" si="13"/>
        <v>0.14711675858794293</v>
      </c>
    </row>
    <row r="37" spans="4:47" x14ac:dyDescent="0.3">
      <c r="D37" s="32"/>
      <c r="F37" s="31" t="s">
        <v>1209</v>
      </c>
      <c r="H37" s="31">
        <v>298</v>
      </c>
      <c r="I37" s="219">
        <f t="shared" si="7"/>
        <v>14.004929346784028</v>
      </c>
      <c r="J37" s="811">
        <f t="shared" si="8"/>
        <v>11.84484</v>
      </c>
      <c r="Q37" s="208"/>
      <c r="R37" s="208"/>
      <c r="S37" s="208"/>
      <c r="AE37" s="653"/>
      <c r="AF37" s="208"/>
      <c r="AM37" s="115">
        <f>(14+LOG10(0.01))</f>
        <v>12</v>
      </c>
      <c r="AO37" s="31">
        <v>1.48</v>
      </c>
      <c r="AP37" s="31" t="s">
        <v>644</v>
      </c>
      <c r="AQ37" s="262">
        <f t="shared" si="9"/>
        <v>1.48E-6</v>
      </c>
      <c r="AR37" s="262">
        <f t="shared" si="10"/>
        <v>0.14968940502236275</v>
      </c>
      <c r="AS37" s="219">
        <f t="shared" si="11"/>
        <v>5.3057935531702878</v>
      </c>
      <c r="AT37" s="209">
        <f t="shared" si="12"/>
        <v>1.5120333521538588E-6</v>
      </c>
      <c r="AU37" s="209">
        <f t="shared" si="13"/>
        <v>0.15120333521538587</v>
      </c>
    </row>
    <row r="38" spans="4:47" x14ac:dyDescent="0.3">
      <c r="D38" s="32"/>
      <c r="F38" s="31" t="s">
        <v>1210</v>
      </c>
      <c r="H38" s="31">
        <v>298</v>
      </c>
      <c r="I38" s="219">
        <f t="shared" si="7"/>
        <v>14.004929346784028</v>
      </c>
      <c r="J38" s="811">
        <f t="shared" si="8"/>
        <v>11.84484</v>
      </c>
      <c r="Q38" s="208"/>
      <c r="R38" s="208"/>
      <c r="S38" s="208"/>
      <c r="AE38" s="653"/>
      <c r="AF38" s="208"/>
      <c r="AM38" s="115">
        <f>(14+LOG10(0.02))</f>
        <v>12.301029995663981</v>
      </c>
      <c r="AO38" s="31">
        <v>2.8</v>
      </c>
      <c r="AP38" s="31" t="s">
        <v>644</v>
      </c>
      <c r="AQ38" s="262">
        <f t="shared" si="9"/>
        <v>1.3999999999999989E-6</v>
      </c>
      <c r="AR38" s="262">
        <f t="shared" si="10"/>
        <v>0.14159808583196465</v>
      </c>
      <c r="AS38" s="219">
        <f t="shared" si="11"/>
        <v>5.6089817562085944</v>
      </c>
      <c r="AT38" s="209">
        <f t="shared" si="12"/>
        <v>1.4303018196050005E-6</v>
      </c>
      <c r="AU38" s="209">
        <f t="shared" si="13"/>
        <v>0.14303018196050005</v>
      </c>
    </row>
    <row r="39" spans="4:47" x14ac:dyDescent="0.3">
      <c r="D39" s="32"/>
      <c r="F39" s="31" t="s">
        <v>1211</v>
      </c>
      <c r="H39" s="31">
        <v>298</v>
      </c>
      <c r="I39" s="219">
        <f t="shared" si="7"/>
        <v>14.004929346784028</v>
      </c>
      <c r="J39" s="811">
        <f t="shared" si="8"/>
        <v>11.84484</v>
      </c>
      <c r="Q39" s="208"/>
      <c r="R39" s="208"/>
      <c r="S39" s="208"/>
      <c r="AE39" s="653"/>
      <c r="AF39" s="208"/>
      <c r="AM39" s="115">
        <f>(14+LOG10(0.03))</f>
        <v>12.477121254719663</v>
      </c>
      <c r="AO39" s="31">
        <v>4.25</v>
      </c>
      <c r="AP39" s="31" t="s">
        <v>644</v>
      </c>
      <c r="AQ39" s="262">
        <f t="shared" si="9"/>
        <v>1.4166666666666657E-6</v>
      </c>
      <c r="AR39" s="262">
        <f t="shared" si="10"/>
        <v>0.14328377732996425</v>
      </c>
      <c r="AS39" s="219">
        <f t="shared" si="11"/>
        <v>5.5429937355473164</v>
      </c>
      <c r="AT39" s="209">
        <f t="shared" si="12"/>
        <v>1.4473292222193458E-6</v>
      </c>
      <c r="AU39" s="209">
        <f t="shared" si="13"/>
        <v>0.14473292222193457</v>
      </c>
    </row>
    <row r="40" spans="4:47" x14ac:dyDescent="0.3">
      <c r="D40" s="32"/>
      <c r="F40" s="31" t="s">
        <v>1208</v>
      </c>
      <c r="H40" s="31">
        <v>303</v>
      </c>
      <c r="I40" s="219">
        <f t="shared" si="7"/>
        <v>13.843247856832624</v>
      </c>
      <c r="J40" s="811">
        <f t="shared" si="8"/>
        <v>11.84484</v>
      </c>
      <c r="Q40" s="208"/>
      <c r="R40" s="208"/>
      <c r="S40" s="208"/>
      <c r="AE40" s="653"/>
      <c r="AF40" s="208"/>
      <c r="AM40" s="115">
        <f>(14+LOG10(0.005))</f>
        <v>11.698970004336019</v>
      </c>
      <c r="AO40" s="31">
        <v>0.95</v>
      </c>
      <c r="AP40" s="31" t="s">
        <v>644</v>
      </c>
      <c r="AQ40" s="262">
        <f t="shared" si="9"/>
        <v>1.8999999999999987E-6</v>
      </c>
      <c r="AR40" s="262">
        <f t="shared" si="10"/>
        <v>0.13243459805863206</v>
      </c>
      <c r="AS40" s="219">
        <f t="shared" si="11"/>
        <v>8.3422867775034888</v>
      </c>
      <c r="AT40" s="209">
        <f t="shared" si="12"/>
        <v>9.6167118513243277E-7</v>
      </c>
      <c r="AU40" s="209">
        <f t="shared" si="13"/>
        <v>9.6167118513243277E-2</v>
      </c>
    </row>
    <row r="41" spans="4:47" x14ac:dyDescent="0.3">
      <c r="D41" s="32"/>
      <c r="F41" s="31" t="s">
        <v>1209</v>
      </c>
      <c r="H41" s="31">
        <v>303</v>
      </c>
      <c r="I41" s="219">
        <f t="shared" si="7"/>
        <v>13.843247856832624</v>
      </c>
      <c r="J41" s="811">
        <f t="shared" si="8"/>
        <v>11.84484</v>
      </c>
      <c r="Q41" s="208"/>
      <c r="R41" s="208"/>
      <c r="S41" s="208"/>
      <c r="AE41" s="653"/>
      <c r="AF41" s="208"/>
      <c r="AM41" s="115">
        <f>(14+LOG10(0.01))</f>
        <v>12</v>
      </c>
      <c r="AO41" s="31">
        <v>1.82</v>
      </c>
      <c r="AP41" s="31" t="s">
        <v>644</v>
      </c>
      <c r="AQ41" s="262">
        <f t="shared" si="9"/>
        <v>1.8199999999999999E-6</v>
      </c>
      <c r="AR41" s="262">
        <f t="shared" si="10"/>
        <v>0.12685840445616342</v>
      </c>
      <c r="AS41" s="219">
        <f t="shared" si="11"/>
        <v>8.7089807017893488</v>
      </c>
      <c r="AT41" s="209">
        <f t="shared" si="12"/>
        <v>9.2117976681106797E-7</v>
      </c>
      <c r="AU41" s="209">
        <f t="shared" si="13"/>
        <v>9.2117976681106786E-2</v>
      </c>
    </row>
    <row r="42" spans="4:47" x14ac:dyDescent="0.3">
      <c r="D42" s="32"/>
      <c r="F42" s="31" t="s">
        <v>1210</v>
      </c>
      <c r="H42" s="31">
        <v>303</v>
      </c>
      <c r="I42" s="219">
        <f t="shared" si="7"/>
        <v>13.843247856832624</v>
      </c>
      <c r="J42" s="811">
        <f t="shared" si="8"/>
        <v>11.84484</v>
      </c>
      <c r="Q42" s="208"/>
      <c r="R42" s="208"/>
      <c r="S42" s="208"/>
      <c r="AE42" s="653"/>
      <c r="AF42" s="208"/>
      <c r="AM42" s="115">
        <f>(14+LOG10(0.02))</f>
        <v>12.301029995663981</v>
      </c>
      <c r="AO42" s="31">
        <v>3.51</v>
      </c>
      <c r="AP42" s="31" t="s">
        <v>644</v>
      </c>
      <c r="AQ42" s="262">
        <f t="shared" si="9"/>
        <v>1.7549999999999984E-6</v>
      </c>
      <c r="AR42" s="262">
        <f t="shared" si="10"/>
        <v>0.12232774715415748</v>
      </c>
      <c r="AS42" s="219">
        <f t="shared" si="11"/>
        <v>9.031535542596373</v>
      </c>
      <c r="AT42" s="209">
        <f t="shared" si="12"/>
        <v>8.8828048942495737E-7</v>
      </c>
      <c r="AU42" s="209">
        <f t="shared" si="13"/>
        <v>8.8828048942495727E-2</v>
      </c>
    </row>
    <row r="43" spans="4:47" x14ac:dyDescent="0.3">
      <c r="D43" s="32"/>
      <c r="F43" s="31" t="s">
        <v>1211</v>
      </c>
      <c r="H43" s="31">
        <v>303</v>
      </c>
      <c r="I43" s="219">
        <f t="shared" si="7"/>
        <v>13.843247856832624</v>
      </c>
      <c r="J43" s="811">
        <f t="shared" si="8"/>
        <v>11.84484</v>
      </c>
      <c r="Q43" s="208"/>
      <c r="R43" s="208"/>
      <c r="S43" s="208"/>
      <c r="AE43" s="653"/>
      <c r="AF43" s="208"/>
      <c r="AM43" s="115">
        <f>(14+LOG10(0.03))</f>
        <v>12.477121254719663</v>
      </c>
      <c r="AO43" s="31">
        <v>5.31</v>
      </c>
      <c r="AP43" s="31" t="s">
        <v>644</v>
      </c>
      <c r="AQ43" s="262">
        <f t="shared" si="9"/>
        <v>1.7699999999999983E-6</v>
      </c>
      <c r="AR43" s="262">
        <f t="shared" si="10"/>
        <v>0.12337328345462036</v>
      </c>
      <c r="AS43" s="219">
        <f t="shared" si="11"/>
        <v>8.9549971057947086</v>
      </c>
      <c r="AT43" s="209">
        <f t="shared" si="12"/>
        <v>8.9587263036021347E-7</v>
      </c>
      <c r="AU43" s="209">
        <f t="shared" si="13"/>
        <v>8.9587263036021339E-2</v>
      </c>
    </row>
    <row r="44" spans="4:47" x14ac:dyDescent="0.3">
      <c r="D44" s="32"/>
      <c r="F44" s="31" t="s">
        <v>1208</v>
      </c>
      <c r="H44" s="31">
        <v>308</v>
      </c>
      <c r="I44" s="219">
        <f t="shared" si="7"/>
        <v>13.686815765905616</v>
      </c>
      <c r="J44" s="811">
        <f t="shared" si="8"/>
        <v>11.84484</v>
      </c>
      <c r="Q44" s="208"/>
      <c r="R44" s="208"/>
      <c r="S44" s="208"/>
      <c r="AE44" s="653"/>
      <c r="AF44" s="208"/>
      <c r="AM44" s="115">
        <f>(14+LOG10(0.005))</f>
        <v>11.698970004336019</v>
      </c>
      <c r="AO44" s="31">
        <v>1.33</v>
      </c>
      <c r="AP44" s="31" t="s">
        <v>644</v>
      </c>
      <c r="AQ44" s="262">
        <f t="shared" si="9"/>
        <v>2.6599999999999982E-6</v>
      </c>
      <c r="AR44" s="262">
        <f t="shared" si="10"/>
        <v>0.12932944162773252</v>
      </c>
      <c r="AS44" s="219">
        <f t="shared" si="11"/>
        <v>11.756560141864126</v>
      </c>
      <c r="AT44" s="209">
        <f t="shared" si="12"/>
        <v>6.8238810631936654E-7</v>
      </c>
      <c r="AU44" s="209">
        <f t="shared" si="13"/>
        <v>6.8238810631936653E-2</v>
      </c>
    </row>
    <row r="45" spans="4:47" x14ac:dyDescent="0.3">
      <c r="D45" s="32"/>
      <c r="F45" s="31" t="s">
        <v>1209</v>
      </c>
      <c r="H45" s="31">
        <v>308</v>
      </c>
      <c r="I45" s="219">
        <f t="shared" si="7"/>
        <v>13.686815765905616</v>
      </c>
      <c r="J45" s="811">
        <f t="shared" si="8"/>
        <v>11.84484</v>
      </c>
      <c r="Q45" s="208"/>
      <c r="R45" s="208"/>
      <c r="S45" s="208"/>
      <c r="AE45" s="653"/>
      <c r="AF45" s="208"/>
      <c r="AM45" s="115">
        <f>(14+LOG10(0.01))</f>
        <v>12</v>
      </c>
      <c r="AO45" s="31">
        <v>2.61</v>
      </c>
      <c r="AP45" s="31" t="s">
        <v>644</v>
      </c>
      <c r="AQ45" s="262">
        <f t="shared" si="9"/>
        <v>2.61E-6</v>
      </c>
      <c r="AR45" s="262">
        <f t="shared" si="10"/>
        <v>0.12689843708585793</v>
      </c>
      <c r="AS45" s="219">
        <f t="shared" si="11"/>
        <v>11.98178160052052</v>
      </c>
      <c r="AT45" s="209">
        <f t="shared" si="12"/>
        <v>6.6956126221561943E-7</v>
      </c>
      <c r="AU45" s="209">
        <f t="shared" si="13"/>
        <v>6.695612622156194E-2</v>
      </c>
    </row>
    <row r="46" spans="4:47" x14ac:dyDescent="0.3">
      <c r="D46" s="32"/>
      <c r="F46" s="31" t="s">
        <v>1210</v>
      </c>
      <c r="H46" s="31">
        <v>308</v>
      </c>
      <c r="I46" s="219">
        <f t="shared" si="7"/>
        <v>13.686815765905616</v>
      </c>
      <c r="J46" s="811">
        <f t="shared" si="8"/>
        <v>11.84484</v>
      </c>
      <c r="Q46" s="208"/>
      <c r="R46" s="208"/>
      <c r="S46" s="208"/>
      <c r="AE46" s="653"/>
      <c r="AF46" s="208"/>
      <c r="AM46" s="115">
        <f>(14+LOG10(0.02))</f>
        <v>12.301029995663981</v>
      </c>
      <c r="AO46" s="31">
        <v>5.08</v>
      </c>
      <c r="AP46" s="31" t="s">
        <v>644</v>
      </c>
      <c r="AQ46" s="262">
        <f t="shared" si="9"/>
        <v>2.5399999999999981E-6</v>
      </c>
      <c r="AR46" s="262">
        <f t="shared" si="10"/>
        <v>0.12349503072723331</v>
      </c>
      <c r="AS46" s="219">
        <f t="shared" si="11"/>
        <v>12.311988180062432</v>
      </c>
      <c r="AT46" s="209">
        <f t="shared" si="12"/>
        <v>6.5160368047037248E-7</v>
      </c>
      <c r="AU46" s="209">
        <f t="shared" si="13"/>
        <v>6.5160368047037245E-2</v>
      </c>
    </row>
    <row r="47" spans="4:47" x14ac:dyDescent="0.3">
      <c r="D47" s="32"/>
      <c r="F47" s="31" t="s">
        <v>1211</v>
      </c>
      <c r="H47" s="31">
        <v>308</v>
      </c>
      <c r="I47" s="219">
        <f t="shared" si="7"/>
        <v>13.686815765905616</v>
      </c>
      <c r="J47" s="811">
        <f t="shared" si="8"/>
        <v>11.84484</v>
      </c>
      <c r="Q47" s="208"/>
      <c r="R47" s="208"/>
      <c r="S47" s="208"/>
      <c r="AE47" s="653"/>
      <c r="AF47" s="208"/>
      <c r="AM47" s="115">
        <f>(14+LOG10(0.03))</f>
        <v>12.477121254719663</v>
      </c>
      <c r="AO47" s="31">
        <v>7.75</v>
      </c>
      <c r="AP47" s="31" t="s">
        <v>644</v>
      </c>
      <c r="AQ47" s="262">
        <f t="shared" si="9"/>
        <v>2.5833333333333312E-6</v>
      </c>
      <c r="AR47" s="262">
        <f t="shared" si="10"/>
        <v>0.12560190133019136</v>
      </c>
      <c r="AS47" s="219">
        <f t="shared" si="11"/>
        <v>12.105464507364612</v>
      </c>
      <c r="AT47" s="209">
        <f t="shared" si="12"/>
        <v>6.6272027869362024E-7</v>
      </c>
      <c r="AU47" s="209">
        <f t="shared" si="13"/>
        <v>6.6272027869362024E-2</v>
      </c>
    </row>
    <row r="48" spans="4:47" ht="15" thickBot="1" x14ac:dyDescent="0.35">
      <c r="D48" s="32"/>
      <c r="I48" s="219"/>
      <c r="J48" s="91"/>
      <c r="Q48" s="208"/>
      <c r="R48" s="208"/>
      <c r="S48" s="208"/>
      <c r="AE48" s="653"/>
      <c r="AF48" s="208"/>
      <c r="AO48" s="31" t="s">
        <v>435</v>
      </c>
      <c r="AQ48" s="262"/>
      <c r="AR48" s="262"/>
      <c r="AS48" s="208"/>
      <c r="AT48" s="209"/>
      <c r="AU48" s="209"/>
    </row>
    <row r="49" spans="1:58" s="8" customFormat="1" x14ac:dyDescent="0.3">
      <c r="A49" s="37">
        <v>3</v>
      </c>
      <c r="B49" s="37" t="s">
        <v>424</v>
      </c>
      <c r="C49" s="37" t="s">
        <v>425</v>
      </c>
      <c r="D49" s="38" t="s">
        <v>927</v>
      </c>
      <c r="E49" s="37" t="s">
        <v>426</v>
      </c>
      <c r="F49" s="37" t="s">
        <v>427</v>
      </c>
      <c r="G49" s="37"/>
      <c r="H49" s="37">
        <v>293</v>
      </c>
      <c r="I49" s="218">
        <f t="shared" ref="I49:I88" si="14">-LOG10(EXP(LN(10^-14)+13.36*(1/298.15-1/H49)/0.0019872))</f>
        <v>14.172128976324219</v>
      </c>
      <c r="J49" s="96">
        <v>15.63</v>
      </c>
      <c r="K49" s="37"/>
      <c r="L49" s="37"/>
      <c r="M49" s="37"/>
      <c r="N49" s="37"/>
      <c r="O49" s="260"/>
      <c r="P49" s="260"/>
      <c r="Q49" s="214"/>
      <c r="R49" s="214"/>
      <c r="S49" s="214"/>
      <c r="T49" s="410"/>
      <c r="U49" s="410"/>
      <c r="V49" s="410"/>
      <c r="W49" s="477"/>
      <c r="X49" s="477"/>
      <c r="Y49" s="477"/>
      <c r="Z49" s="37"/>
      <c r="AA49" s="37"/>
      <c r="AB49" s="37"/>
      <c r="AC49" s="37"/>
      <c r="AD49" s="465"/>
      <c r="AE49" s="654"/>
      <c r="AF49" s="214"/>
      <c r="AG49" s="410"/>
      <c r="AH49" s="410"/>
      <c r="AI49" s="410"/>
      <c r="AJ49" s="477"/>
      <c r="AK49" s="477"/>
      <c r="AL49" s="477"/>
      <c r="AM49" s="56">
        <f>(14+LOG10(0.0004))</f>
        <v>10.602059991327963</v>
      </c>
      <c r="AN49" s="37"/>
      <c r="AO49" s="37">
        <v>0.77</v>
      </c>
      <c r="AP49" s="37" t="s">
        <v>644</v>
      </c>
      <c r="AQ49" s="260">
        <f t="shared" si="9"/>
        <v>1.9249999999999983E-5</v>
      </c>
      <c r="AR49" s="260">
        <f t="shared" ref="AR49:AR88" si="15">AQ49*10^($I49-9)</f>
        <v>2.8612757239307638</v>
      </c>
      <c r="AS49" s="218">
        <f t="shared" ref="AS49:AS88" si="16">(LN(2)/AT49)/(60*60*24)</f>
        <v>0.17635044779685816</v>
      </c>
      <c r="AT49" s="215">
        <f t="shared" ref="AT49:AT88" si="17">AU49*10^(9-14)</f>
        <v>4.5492012706867267E-5</v>
      </c>
      <c r="AU49" s="215">
        <f t="shared" ref="AU49:AU88" si="18">EXP(LN(AR49)+$J49*(1/$H49-1/298.15)/0.0019872)</f>
        <v>4.5492012706867264</v>
      </c>
      <c r="AV49" s="410">
        <f>AVERAGE(AS49:AS88)</f>
        <v>0.80329746764364029</v>
      </c>
      <c r="AW49" s="410">
        <f>MEDIAN(AS49:AS88)</f>
        <v>0.64052199089676964</v>
      </c>
      <c r="AX49" s="410">
        <f>STDEV(AS49:AS88)</f>
        <v>0.57748010677880823</v>
      </c>
      <c r="AY49" s="39" t="s">
        <v>1016</v>
      </c>
      <c r="AZ49" s="39" t="s">
        <v>1015</v>
      </c>
      <c r="BA49" s="39" t="s">
        <v>1017</v>
      </c>
      <c r="BB49" s="186"/>
      <c r="BC49" s="186"/>
      <c r="BD49" s="186"/>
      <c r="BE49" s="37"/>
      <c r="BF49" s="37"/>
    </row>
    <row r="50" spans="1:58" x14ac:dyDescent="0.3">
      <c r="D50" s="32"/>
      <c r="F50" s="31" t="s">
        <v>428</v>
      </c>
      <c r="H50" s="31">
        <v>293</v>
      </c>
      <c r="I50" s="219">
        <f t="shared" si="14"/>
        <v>14.172128976324219</v>
      </c>
      <c r="J50" s="92">
        <v>15.63</v>
      </c>
      <c r="Q50" s="208"/>
      <c r="R50" s="208"/>
      <c r="S50" s="208"/>
      <c r="AE50" s="653"/>
      <c r="AF50" s="208"/>
      <c r="AM50" s="115">
        <f>(14+LOG10(0.00048))</f>
        <v>10.681241237375588</v>
      </c>
      <c r="AO50" s="31">
        <v>0.91</v>
      </c>
      <c r="AP50" s="31" t="s">
        <v>644</v>
      </c>
      <c r="AQ50" s="262">
        <f t="shared" si="9"/>
        <v>1.8958333333333314E-5</v>
      </c>
      <c r="AR50" s="262">
        <f t="shared" si="15"/>
        <v>2.8179230614469639</v>
      </c>
      <c r="AS50" s="219">
        <f t="shared" si="16"/>
        <v>0.17906353160911759</v>
      </c>
      <c r="AT50" s="209">
        <f t="shared" si="17"/>
        <v>4.480273978706623E-5</v>
      </c>
      <c r="AU50" s="209">
        <f t="shared" si="18"/>
        <v>4.4802739787066228</v>
      </c>
    </row>
    <row r="51" spans="1:58" x14ac:dyDescent="0.3">
      <c r="D51" s="32"/>
      <c r="F51" s="31" t="s">
        <v>429</v>
      </c>
      <c r="H51" s="31">
        <v>293</v>
      </c>
      <c r="I51" s="219">
        <f t="shared" si="14"/>
        <v>14.172128976324219</v>
      </c>
      <c r="J51" s="92">
        <v>15.63</v>
      </c>
      <c r="Q51" s="208"/>
      <c r="R51" s="208"/>
      <c r="S51" s="208"/>
      <c r="AE51" s="653"/>
      <c r="AF51" s="208"/>
      <c r="AM51" s="115">
        <f>(14+LOG10(0.00056))</f>
        <v>10.748188027006201</v>
      </c>
      <c r="AO51" s="31">
        <v>1.1200000000000001</v>
      </c>
      <c r="AP51" s="31" t="s">
        <v>644</v>
      </c>
      <c r="AQ51" s="262">
        <f t="shared" si="9"/>
        <v>1.9999999999999978E-5</v>
      </c>
      <c r="AR51" s="262">
        <f t="shared" si="15"/>
        <v>2.9727539988891043</v>
      </c>
      <c r="AS51" s="219">
        <f t="shared" si="16"/>
        <v>0.16973730600447601</v>
      </c>
      <c r="AT51" s="209">
        <f t="shared" si="17"/>
        <v>4.7264428786355597E-5</v>
      </c>
      <c r="AU51" s="209">
        <f t="shared" si="18"/>
        <v>4.7264428786355595</v>
      </c>
    </row>
    <row r="52" spans="1:58" x14ac:dyDescent="0.3">
      <c r="D52" s="32"/>
      <c r="F52" s="31" t="s">
        <v>430</v>
      </c>
      <c r="H52" s="31">
        <v>293</v>
      </c>
      <c r="I52" s="219">
        <f t="shared" si="14"/>
        <v>14.172128976324219</v>
      </c>
      <c r="J52" s="92">
        <v>15.63</v>
      </c>
      <c r="Q52" s="208"/>
      <c r="R52" s="208"/>
      <c r="S52" s="208"/>
      <c r="AE52" s="653"/>
      <c r="AF52" s="208"/>
      <c r="AM52" s="115">
        <f>(14+LOG10(0.0008))</f>
        <v>10.903089986991944</v>
      </c>
      <c r="AO52" s="31">
        <v>1.65</v>
      </c>
      <c r="AP52" s="31" t="s">
        <v>644</v>
      </c>
      <c r="AQ52" s="262">
        <f t="shared" si="9"/>
        <v>2.062499999999999E-5</v>
      </c>
      <c r="AR52" s="262">
        <f t="shared" si="15"/>
        <v>3.0656525613543906</v>
      </c>
      <c r="AS52" s="219">
        <f t="shared" si="16"/>
        <v>0.16459375127706755</v>
      </c>
      <c r="AT52" s="209">
        <f t="shared" si="17"/>
        <v>4.874144218592923E-5</v>
      </c>
      <c r="AU52" s="209">
        <f t="shared" si="18"/>
        <v>4.8741442185929227</v>
      </c>
    </row>
    <row r="53" spans="1:58" x14ac:dyDescent="0.3">
      <c r="D53" s="32"/>
      <c r="F53" s="31" t="s">
        <v>431</v>
      </c>
      <c r="H53" s="31">
        <v>293</v>
      </c>
      <c r="I53" s="219">
        <f t="shared" si="14"/>
        <v>14.172128976324219</v>
      </c>
      <c r="J53" s="92">
        <v>15.63</v>
      </c>
      <c r="Q53" s="208"/>
      <c r="R53" s="208"/>
      <c r="S53" s="208"/>
      <c r="AE53" s="653"/>
      <c r="AF53" s="208"/>
      <c r="AM53" s="115">
        <f>(14+LOG10(0.0016))</f>
        <v>11.204119982655925</v>
      </c>
      <c r="AO53" s="31">
        <v>2.98</v>
      </c>
      <c r="AP53" s="31" t="s">
        <v>644</v>
      </c>
      <c r="AQ53" s="262">
        <f t="shared" si="9"/>
        <v>1.8624999999999972E-5</v>
      </c>
      <c r="AR53" s="262">
        <f t="shared" si="15"/>
        <v>2.7683771614654771</v>
      </c>
      <c r="AS53" s="219">
        <f t="shared" si="16"/>
        <v>0.18226824805849778</v>
      </c>
      <c r="AT53" s="209">
        <f t="shared" si="17"/>
        <v>4.4014999307293628E-5</v>
      </c>
      <c r="AU53" s="209">
        <f t="shared" si="18"/>
        <v>4.4014999307293623</v>
      </c>
    </row>
    <row r="54" spans="1:58" x14ac:dyDescent="0.3">
      <c r="D54" s="32"/>
      <c r="F54" s="31" t="s">
        <v>432</v>
      </c>
      <c r="H54" s="31">
        <v>293</v>
      </c>
      <c r="I54" s="219">
        <f t="shared" si="14"/>
        <v>14.172128976324219</v>
      </c>
      <c r="J54" s="92">
        <v>15.63</v>
      </c>
      <c r="Q54" s="208"/>
      <c r="R54" s="208"/>
      <c r="S54" s="208"/>
      <c r="AE54" s="653"/>
      <c r="AF54" s="208"/>
      <c r="AM54" s="115">
        <f>(14+LOG10(0.0024))</f>
        <v>11.380211241711606</v>
      </c>
      <c r="AO54" s="31">
        <v>4.18</v>
      </c>
      <c r="AP54" s="31" t="s">
        <v>644</v>
      </c>
      <c r="AQ54" s="262">
        <f t="shared" si="9"/>
        <v>1.7416666666666635E-5</v>
      </c>
      <c r="AR54" s="262">
        <f t="shared" si="15"/>
        <v>2.5887732740325933</v>
      </c>
      <c r="AS54" s="219">
        <f t="shared" si="16"/>
        <v>0.19491365282810658</v>
      </c>
      <c r="AT54" s="209">
        <f t="shared" si="17"/>
        <v>4.1159440068117963E-5</v>
      </c>
      <c r="AU54" s="209">
        <f t="shared" si="18"/>
        <v>4.1159440068117963</v>
      </c>
    </row>
    <row r="55" spans="1:58" x14ac:dyDescent="0.3">
      <c r="D55" s="32"/>
      <c r="F55" s="31" t="s">
        <v>433</v>
      </c>
      <c r="H55" s="31">
        <v>293</v>
      </c>
      <c r="I55" s="219">
        <f t="shared" si="14"/>
        <v>14.172128976324219</v>
      </c>
      <c r="J55" s="92">
        <v>15.63</v>
      </c>
      <c r="Q55" s="208"/>
      <c r="R55" s="208"/>
      <c r="S55" s="208"/>
      <c r="AE55" s="653"/>
      <c r="AF55" s="208"/>
      <c r="AM55" s="115">
        <f>(14+LOG10(0.0032))</f>
        <v>11.505149978319906</v>
      </c>
      <c r="AO55" s="31">
        <v>5.29</v>
      </c>
      <c r="AP55" s="31" t="s">
        <v>644</v>
      </c>
      <c r="AQ55" s="262">
        <f t="shared" si="9"/>
        <v>1.6531249999999975E-5</v>
      </c>
      <c r="AR55" s="262">
        <f t="shared" si="15"/>
        <v>2.4571669772067741</v>
      </c>
      <c r="AS55" s="219">
        <f t="shared" si="16"/>
        <v>0.20535326246288227</v>
      </c>
      <c r="AT55" s="209">
        <f t="shared" si="17"/>
        <v>3.9067004418722018E-5</v>
      </c>
      <c r="AU55" s="209">
        <f t="shared" si="18"/>
        <v>3.9067004418722013</v>
      </c>
    </row>
    <row r="56" spans="1:58" x14ac:dyDescent="0.3">
      <c r="D56" s="32"/>
      <c r="F56" s="31" t="s">
        <v>434</v>
      </c>
      <c r="H56" s="31">
        <v>293</v>
      </c>
      <c r="I56" s="219">
        <f t="shared" si="14"/>
        <v>14.172128976324219</v>
      </c>
      <c r="J56" s="92">
        <v>15.63</v>
      </c>
      <c r="Q56" s="208"/>
      <c r="R56" s="208"/>
      <c r="S56" s="208"/>
      <c r="AE56" s="653"/>
      <c r="AF56" s="208"/>
      <c r="AM56" s="115">
        <f>(14+LOG10(0.004))</f>
        <v>11.602059991327963</v>
      </c>
      <c r="AO56" s="31">
        <v>6.06</v>
      </c>
      <c r="AP56" s="31" t="s">
        <v>644</v>
      </c>
      <c r="AQ56" s="262">
        <f t="shared" si="9"/>
        <v>1.514999999999999E-5</v>
      </c>
      <c r="AR56" s="262">
        <f t="shared" si="15"/>
        <v>2.2518611541584974</v>
      </c>
      <c r="AS56" s="219">
        <f t="shared" si="16"/>
        <v>0.22407565149105735</v>
      </c>
      <c r="AT56" s="209">
        <f t="shared" si="17"/>
        <v>3.580280480566438E-5</v>
      </c>
      <c r="AU56" s="209">
        <f t="shared" si="18"/>
        <v>3.5802804805664374</v>
      </c>
    </row>
    <row r="57" spans="1:58" x14ac:dyDescent="0.3">
      <c r="D57" s="32"/>
      <c r="F57" s="31" t="s">
        <v>427</v>
      </c>
      <c r="H57" s="31">
        <v>298</v>
      </c>
      <c r="I57" s="219">
        <f t="shared" si="14"/>
        <v>14.004929346784028</v>
      </c>
      <c r="J57" s="92">
        <v>15.63</v>
      </c>
      <c r="Q57" s="208"/>
      <c r="R57" s="208"/>
      <c r="S57" s="208"/>
      <c r="AE57" s="653"/>
      <c r="AF57" s="208"/>
      <c r="AM57" s="115">
        <f>(14+LOG10(0.0004))</f>
        <v>10.602059991327963</v>
      </c>
      <c r="AO57" s="31">
        <v>0.96</v>
      </c>
      <c r="AP57" s="31" t="s">
        <v>644</v>
      </c>
      <c r="AQ57" s="262">
        <f t="shared" si="9"/>
        <v>2.399999999999998E-5</v>
      </c>
      <c r="AR57" s="262">
        <f t="shared" si="15"/>
        <v>2.427395757119394</v>
      </c>
      <c r="AS57" s="219">
        <f t="shared" si="16"/>
        <v>0.32614012783257668</v>
      </c>
      <c r="AT57" s="209">
        <f t="shared" si="17"/>
        <v>2.459843523503724E-5</v>
      </c>
      <c r="AU57" s="209">
        <f t="shared" si="18"/>
        <v>2.4598435235037237</v>
      </c>
    </row>
    <row r="58" spans="1:58" x14ac:dyDescent="0.3">
      <c r="D58" s="32"/>
      <c r="F58" s="31" t="s">
        <v>428</v>
      </c>
      <c r="H58" s="31">
        <v>298</v>
      </c>
      <c r="I58" s="219">
        <f t="shared" si="14"/>
        <v>14.004929346784028</v>
      </c>
      <c r="J58" s="92">
        <v>15.63</v>
      </c>
      <c r="Q58" s="208"/>
      <c r="R58" s="208"/>
      <c r="S58" s="208"/>
      <c r="AE58" s="653"/>
      <c r="AF58" s="208"/>
      <c r="AM58" s="115">
        <f>(14+LOG10(0.00048))</f>
        <v>10.681241237375588</v>
      </c>
      <c r="AO58" s="31">
        <v>1.1100000000000001</v>
      </c>
      <c r="AP58" s="31" t="s">
        <v>644</v>
      </c>
      <c r="AQ58" s="262">
        <f t="shared" si="9"/>
        <v>2.3124999999999976E-5</v>
      </c>
      <c r="AR58" s="262">
        <f t="shared" si="15"/>
        <v>2.3388969534744155</v>
      </c>
      <c r="AS58" s="219">
        <f t="shared" si="16"/>
        <v>0.33848056510191749</v>
      </c>
      <c r="AT58" s="209">
        <f t="shared" si="17"/>
        <v>2.3701617283759835E-5</v>
      </c>
      <c r="AU58" s="209">
        <f t="shared" si="18"/>
        <v>2.3701617283759835</v>
      </c>
    </row>
    <row r="59" spans="1:58" x14ac:dyDescent="0.3">
      <c r="D59" s="32"/>
      <c r="F59" s="31" t="s">
        <v>429</v>
      </c>
      <c r="H59" s="31">
        <v>298</v>
      </c>
      <c r="I59" s="219">
        <f t="shared" si="14"/>
        <v>14.004929346784028</v>
      </c>
      <c r="J59" s="92">
        <v>15.63</v>
      </c>
      <c r="Q59" s="208"/>
      <c r="R59" s="208"/>
      <c r="S59" s="208"/>
      <c r="AE59" s="653"/>
      <c r="AF59" s="208"/>
      <c r="AM59" s="115">
        <f>(14+LOG10(0.00056))</f>
        <v>10.748188027006201</v>
      </c>
      <c r="AO59" s="31">
        <v>1.32</v>
      </c>
      <c r="AP59" s="31" t="s">
        <v>644</v>
      </c>
      <c r="AQ59" s="262">
        <f t="shared" si="9"/>
        <v>2.3571428571428544E-5</v>
      </c>
      <c r="AR59" s="262">
        <f t="shared" si="15"/>
        <v>2.3840494043136897</v>
      </c>
      <c r="AS59" s="219">
        <f t="shared" si="16"/>
        <v>0.33206994833862363</v>
      </c>
      <c r="AT59" s="209">
        <f t="shared" si="17"/>
        <v>2.4159177462982996E-5</v>
      </c>
      <c r="AU59" s="209">
        <f t="shared" si="18"/>
        <v>2.4159177462982995</v>
      </c>
    </row>
    <row r="60" spans="1:58" x14ac:dyDescent="0.3">
      <c r="D60" s="32"/>
      <c r="F60" s="31" t="s">
        <v>430</v>
      </c>
      <c r="H60" s="31">
        <v>298</v>
      </c>
      <c r="I60" s="219">
        <f t="shared" si="14"/>
        <v>14.004929346784028</v>
      </c>
      <c r="J60" s="92">
        <v>15.63</v>
      </c>
      <c r="Q60" s="208"/>
      <c r="R60" s="208"/>
      <c r="S60" s="208"/>
      <c r="AE60" s="653"/>
      <c r="AF60" s="208"/>
      <c r="AM60" s="115">
        <f>(14+LOG10(0.0008))</f>
        <v>10.903089986991944</v>
      </c>
      <c r="AO60" s="31">
        <v>2.0499999999999998</v>
      </c>
      <c r="AP60" s="31" t="s">
        <v>644</v>
      </c>
      <c r="AQ60" s="262">
        <f t="shared" si="9"/>
        <v>2.5624999999999983E-5</v>
      </c>
      <c r="AR60" s="262">
        <f t="shared" si="15"/>
        <v>2.5917506781743533</v>
      </c>
      <c r="AS60" s="219">
        <f t="shared" si="16"/>
        <v>0.30545807094563276</v>
      </c>
      <c r="AT60" s="209">
        <f t="shared" si="17"/>
        <v>2.6263954287409553E-5</v>
      </c>
      <c r="AU60" s="209">
        <f t="shared" si="18"/>
        <v>2.6263954287409552</v>
      </c>
    </row>
    <row r="61" spans="1:58" x14ac:dyDescent="0.3">
      <c r="D61" s="32"/>
      <c r="F61" s="31" t="s">
        <v>431</v>
      </c>
      <c r="H61" s="31">
        <v>298</v>
      </c>
      <c r="I61" s="219">
        <f t="shared" si="14"/>
        <v>14.004929346784028</v>
      </c>
      <c r="J61" s="92">
        <v>15.63</v>
      </c>
      <c r="Q61" s="208"/>
      <c r="R61" s="208"/>
      <c r="S61" s="208"/>
      <c r="AE61" s="653"/>
      <c r="AF61" s="208"/>
      <c r="AM61" s="115">
        <f>(14+LOG10(0.0016))</f>
        <v>11.204119982655925</v>
      </c>
      <c r="AO61" s="31">
        <v>3.83</v>
      </c>
      <c r="AP61" s="31" t="s">
        <v>644</v>
      </c>
      <c r="AQ61" s="262">
        <f t="shared" si="9"/>
        <v>2.3937499999999965E-5</v>
      </c>
      <c r="AR61" s="262">
        <f t="shared" si="15"/>
        <v>2.421074414001894</v>
      </c>
      <c r="AS61" s="219">
        <f t="shared" si="16"/>
        <v>0.32699166863631729</v>
      </c>
      <c r="AT61" s="209">
        <f t="shared" si="17"/>
        <v>2.453437680994598E-5</v>
      </c>
      <c r="AU61" s="209">
        <f t="shared" si="18"/>
        <v>2.4534376809945977</v>
      </c>
    </row>
    <row r="62" spans="1:58" x14ac:dyDescent="0.3">
      <c r="D62" s="32"/>
      <c r="F62" s="31" t="s">
        <v>432</v>
      </c>
      <c r="H62" s="31">
        <v>298</v>
      </c>
      <c r="I62" s="219">
        <f t="shared" si="14"/>
        <v>14.004929346784028</v>
      </c>
      <c r="J62" s="92">
        <v>15.63</v>
      </c>
      <c r="Q62" s="208"/>
      <c r="R62" s="208"/>
      <c r="S62" s="208"/>
      <c r="AE62" s="653"/>
      <c r="AF62" s="208"/>
      <c r="AM62" s="115">
        <f>(14+LOG10(0.0024))</f>
        <v>11.380211241711606</v>
      </c>
      <c r="AO62" s="31">
        <v>5.0199999999999996</v>
      </c>
      <c r="AP62" s="31" t="s">
        <v>644</v>
      </c>
      <c r="AQ62" s="262">
        <f t="shared" si="9"/>
        <v>2.0916666666666628E-5</v>
      </c>
      <c r="AR62" s="262">
        <f t="shared" si="15"/>
        <v>2.1155428299894696</v>
      </c>
      <c r="AS62" s="219">
        <f t="shared" si="16"/>
        <v>0.37421656101905254</v>
      </c>
      <c r="AT62" s="209">
        <f t="shared" si="17"/>
        <v>2.1438219597202571E-5</v>
      </c>
      <c r="AU62" s="209">
        <f t="shared" si="18"/>
        <v>2.143821959720257</v>
      </c>
    </row>
    <row r="63" spans="1:58" x14ac:dyDescent="0.3">
      <c r="D63" s="32"/>
      <c r="F63" s="31" t="s">
        <v>433</v>
      </c>
      <c r="H63" s="31">
        <v>298</v>
      </c>
      <c r="I63" s="219">
        <f t="shared" si="14"/>
        <v>14.004929346784028</v>
      </c>
      <c r="J63" s="92">
        <v>15.63</v>
      </c>
      <c r="Q63" s="208"/>
      <c r="R63" s="208"/>
      <c r="S63" s="208"/>
      <c r="AE63" s="653"/>
      <c r="AF63" s="208"/>
      <c r="AM63" s="115">
        <f>(14+LOG10(0.0032))</f>
        <v>11.505149978319906</v>
      </c>
      <c r="AO63" s="31">
        <v>6.21</v>
      </c>
      <c r="AP63" s="31" t="s">
        <v>644</v>
      </c>
      <c r="AQ63" s="262">
        <f t="shared" si="9"/>
        <v>1.940624999999997E-5</v>
      </c>
      <c r="AR63" s="262">
        <f t="shared" si="15"/>
        <v>1.9627770379832585</v>
      </c>
      <c r="AS63" s="219">
        <f t="shared" si="16"/>
        <v>0.4033423803146845</v>
      </c>
      <c r="AT63" s="209">
        <f t="shared" si="17"/>
        <v>1.9890140990830879E-5</v>
      </c>
      <c r="AU63" s="209">
        <f t="shared" si="18"/>
        <v>1.9890140990830878</v>
      </c>
    </row>
    <row r="64" spans="1:58" x14ac:dyDescent="0.3">
      <c r="D64" s="32"/>
      <c r="F64" s="31" t="s">
        <v>434</v>
      </c>
      <c r="H64" s="31">
        <v>298</v>
      </c>
      <c r="I64" s="219">
        <f t="shared" si="14"/>
        <v>14.004929346784028</v>
      </c>
      <c r="J64" s="92">
        <v>15.63</v>
      </c>
      <c r="Q64" s="208"/>
      <c r="R64" s="208"/>
      <c r="S64" s="208"/>
      <c r="AE64" s="653"/>
      <c r="AF64" s="208"/>
      <c r="AM64" s="115">
        <f>(14+LOG10(0.004))</f>
        <v>11.602059991327963</v>
      </c>
      <c r="AO64" s="31">
        <v>7.56</v>
      </c>
      <c r="AP64" s="31" t="s">
        <v>644</v>
      </c>
      <c r="AQ64" s="262">
        <f t="shared" si="9"/>
        <v>1.8899999999999992E-5</v>
      </c>
      <c r="AR64" s="262">
        <f t="shared" si="15"/>
        <v>1.9115741587315236</v>
      </c>
      <c r="AS64" s="219">
        <f t="shared" si="16"/>
        <v>0.41414619407311304</v>
      </c>
      <c r="AT64" s="209">
        <f t="shared" si="17"/>
        <v>1.9371267747591837E-5</v>
      </c>
      <c r="AU64" s="209">
        <f t="shared" si="18"/>
        <v>1.9371267747591834</v>
      </c>
    </row>
    <row r="65" spans="4:47" x14ac:dyDescent="0.3">
      <c r="D65" s="32"/>
      <c r="F65" s="31" t="s">
        <v>427</v>
      </c>
      <c r="H65" s="31">
        <v>303</v>
      </c>
      <c r="I65" s="219">
        <f t="shared" si="14"/>
        <v>13.843247856832624</v>
      </c>
      <c r="J65" s="92">
        <v>15.63</v>
      </c>
      <c r="Q65" s="208"/>
      <c r="R65" s="208"/>
      <c r="S65" s="208"/>
      <c r="AE65" s="653"/>
      <c r="AF65" s="208"/>
      <c r="AM65" s="115">
        <f>(14+LOG10(0.0004))</f>
        <v>10.602059991327963</v>
      </c>
      <c r="AO65" s="31">
        <v>1.1000000000000001</v>
      </c>
      <c r="AP65" s="31" t="s">
        <v>644</v>
      </c>
      <c r="AQ65" s="262">
        <f t="shared" si="9"/>
        <v>2.7499999999999977E-5</v>
      </c>
      <c r="AR65" s="262">
        <f t="shared" si="15"/>
        <v>1.9168165508486215</v>
      </c>
      <c r="AS65" s="219">
        <f t="shared" si="16"/>
        <v>0.63843560004694289</v>
      </c>
      <c r="AT65" s="209">
        <f t="shared" si="17"/>
        <v>1.2565929612080721E-5</v>
      </c>
      <c r="AU65" s="209">
        <f t="shared" si="18"/>
        <v>1.256592961208072</v>
      </c>
    </row>
    <row r="66" spans="4:47" x14ac:dyDescent="0.3">
      <c r="D66" s="32"/>
      <c r="F66" s="31" t="s">
        <v>428</v>
      </c>
      <c r="H66" s="31">
        <v>303</v>
      </c>
      <c r="I66" s="219">
        <f t="shared" si="14"/>
        <v>13.843247856832624</v>
      </c>
      <c r="J66" s="92">
        <v>15.63</v>
      </c>
      <c r="Q66" s="208"/>
      <c r="R66" s="208"/>
      <c r="S66" s="208"/>
      <c r="AE66" s="653"/>
      <c r="AF66" s="208"/>
      <c r="AM66" s="115">
        <f>(14+LOG10(0.00048))</f>
        <v>10.681241237375588</v>
      </c>
      <c r="AO66" s="31">
        <v>1.38</v>
      </c>
      <c r="AP66" s="31" t="s">
        <v>644</v>
      </c>
      <c r="AQ66" s="262">
        <f t="shared" si="9"/>
        <v>2.8749999999999967E-5</v>
      </c>
      <c r="AR66" s="262">
        <f t="shared" si="15"/>
        <v>2.0039445758871945</v>
      </c>
      <c r="AS66" s="219">
        <f t="shared" si="16"/>
        <v>0.61067753047968454</v>
      </c>
      <c r="AT66" s="209">
        <f t="shared" si="17"/>
        <v>1.3137108230811662E-5</v>
      </c>
      <c r="AU66" s="209">
        <f t="shared" si="18"/>
        <v>1.313710823081166</v>
      </c>
    </row>
    <row r="67" spans="4:47" x14ac:dyDescent="0.3">
      <c r="D67" s="32"/>
      <c r="F67" s="31" t="s">
        <v>429</v>
      </c>
      <c r="H67" s="31">
        <v>303</v>
      </c>
      <c r="I67" s="219">
        <f t="shared" si="14"/>
        <v>13.843247856832624</v>
      </c>
      <c r="J67" s="92">
        <v>15.63</v>
      </c>
      <c r="Q67" s="208"/>
      <c r="R67" s="208"/>
      <c r="S67" s="208"/>
      <c r="AE67" s="653"/>
      <c r="AF67" s="208"/>
      <c r="AM67" s="115">
        <f>(14+LOG10(0.00056))</f>
        <v>10.748188027006201</v>
      </c>
      <c r="AO67" s="31">
        <v>1.53</v>
      </c>
      <c r="AP67" s="31" t="s">
        <v>644</v>
      </c>
      <c r="AQ67" s="262">
        <f t="shared" si="9"/>
        <v>2.732142857142854E-5</v>
      </c>
      <c r="AR67" s="262">
        <f t="shared" si="15"/>
        <v>1.9043696901288247</v>
      </c>
      <c r="AS67" s="219">
        <f t="shared" si="16"/>
        <v>0.64260838174659629</v>
      </c>
      <c r="AT67" s="209">
        <f t="shared" si="17"/>
        <v>1.2484332666547727E-5</v>
      </c>
      <c r="AU67" s="209">
        <f t="shared" si="18"/>
        <v>1.2484332666547726</v>
      </c>
    </row>
    <row r="68" spans="4:47" x14ac:dyDescent="0.3">
      <c r="D68" s="32"/>
      <c r="F68" s="31" t="s">
        <v>430</v>
      </c>
      <c r="H68" s="31">
        <v>303</v>
      </c>
      <c r="I68" s="219">
        <f t="shared" si="14"/>
        <v>13.843247856832624</v>
      </c>
      <c r="J68" s="92">
        <v>15.63</v>
      </c>
      <c r="Q68" s="208"/>
      <c r="R68" s="208"/>
      <c r="S68" s="208"/>
      <c r="AE68" s="653"/>
      <c r="AF68" s="208"/>
      <c r="AM68" s="115">
        <f>(14+LOG10(0.0008))</f>
        <v>10.903089986991944</v>
      </c>
      <c r="AO68" s="31">
        <v>2.46</v>
      </c>
      <c r="AP68" s="31" t="s">
        <v>644</v>
      </c>
      <c r="AQ68" s="262">
        <f t="shared" si="9"/>
        <v>3.0749999999999982E-5</v>
      </c>
      <c r="AR68" s="262">
        <f t="shared" si="15"/>
        <v>2.1433494159489137</v>
      </c>
      <c r="AS68" s="219">
        <f t="shared" si="16"/>
        <v>0.57095866670864792</v>
      </c>
      <c r="AT68" s="209">
        <f t="shared" si="17"/>
        <v>1.4050994020781174E-5</v>
      </c>
      <c r="AU68" s="209">
        <f t="shared" si="18"/>
        <v>1.4050994020781173</v>
      </c>
    </row>
    <row r="69" spans="4:47" x14ac:dyDescent="0.3">
      <c r="D69" s="32"/>
      <c r="F69" s="31" t="s">
        <v>431</v>
      </c>
      <c r="H69" s="31">
        <v>303</v>
      </c>
      <c r="I69" s="219">
        <f t="shared" si="14"/>
        <v>13.843247856832624</v>
      </c>
      <c r="J69" s="92">
        <v>15.63</v>
      </c>
      <c r="Q69" s="208"/>
      <c r="R69" s="208"/>
      <c r="S69" s="208"/>
      <c r="AE69" s="653"/>
      <c r="AF69" s="208"/>
      <c r="AM69" s="115">
        <f>(14+LOG10(0.0016))</f>
        <v>11.204119982655925</v>
      </c>
      <c r="AO69" s="31">
        <v>4.67</v>
      </c>
      <c r="AP69" s="31" t="s">
        <v>644</v>
      </c>
      <c r="AQ69" s="262">
        <f t="shared" si="9"/>
        <v>2.9187499999999954E-5</v>
      </c>
      <c r="AR69" s="262">
        <f t="shared" si="15"/>
        <v>2.0344393846506943</v>
      </c>
      <c r="AS69" s="219">
        <f t="shared" si="16"/>
        <v>0.60152390582581394</v>
      </c>
      <c r="AT69" s="209">
        <f t="shared" si="17"/>
        <v>1.3337020747367482E-5</v>
      </c>
      <c r="AU69" s="209">
        <f t="shared" si="18"/>
        <v>1.3337020747367481</v>
      </c>
    </row>
    <row r="70" spans="4:47" x14ac:dyDescent="0.3">
      <c r="D70" s="32"/>
      <c r="F70" s="31" t="s">
        <v>432</v>
      </c>
      <c r="H70" s="31">
        <v>303</v>
      </c>
      <c r="I70" s="219">
        <f t="shared" si="14"/>
        <v>13.843247856832624</v>
      </c>
      <c r="J70" s="92">
        <v>15.63</v>
      </c>
      <c r="Q70" s="208"/>
      <c r="R70" s="208"/>
      <c r="S70" s="208"/>
      <c r="AE70" s="653"/>
      <c r="AF70" s="208"/>
      <c r="AM70" s="115">
        <f>(14+LOG10(0.0024))</f>
        <v>11.380211241711606</v>
      </c>
      <c r="AO70" s="31">
        <v>6.21</v>
      </c>
      <c r="AP70" s="31" t="s">
        <v>644</v>
      </c>
      <c r="AQ70" s="262">
        <f t="shared" si="9"/>
        <v>2.5874999999999958E-5</v>
      </c>
      <c r="AR70" s="262">
        <f t="shared" si="15"/>
        <v>1.8035501182984743</v>
      </c>
      <c r="AS70" s="219">
        <f t="shared" si="16"/>
        <v>0.67853058942187228</v>
      </c>
      <c r="AT70" s="209">
        <f t="shared" si="17"/>
        <v>1.1823397407730488E-5</v>
      </c>
      <c r="AU70" s="209">
        <f t="shared" si="18"/>
        <v>1.1823397407730487</v>
      </c>
    </row>
    <row r="71" spans="4:47" x14ac:dyDescent="0.3">
      <c r="D71" s="32"/>
      <c r="F71" s="31" t="s">
        <v>433</v>
      </c>
      <c r="H71" s="31">
        <v>303</v>
      </c>
      <c r="I71" s="219">
        <f t="shared" si="14"/>
        <v>13.843247856832624</v>
      </c>
      <c r="J71" s="92">
        <v>15.63</v>
      </c>
      <c r="Q71" s="208"/>
      <c r="R71" s="208"/>
      <c r="S71" s="208"/>
      <c r="AE71" s="653"/>
      <c r="AF71" s="208"/>
      <c r="AM71" s="115">
        <f>(14+LOG10(0.0032))</f>
        <v>11.505149978319906</v>
      </c>
      <c r="AO71" s="31">
        <v>7.3</v>
      </c>
      <c r="AP71" s="31" t="s">
        <v>644</v>
      </c>
      <c r="AQ71" s="262">
        <f t="shared" si="9"/>
        <v>2.2812499999999965E-5</v>
      </c>
      <c r="AR71" s="262">
        <f t="shared" si="15"/>
        <v>1.590086456953969</v>
      </c>
      <c r="AS71" s="219">
        <f t="shared" si="16"/>
        <v>0.76962099731686318</v>
      </c>
      <c r="AT71" s="209">
        <f t="shared" si="17"/>
        <v>1.0424009791839683E-5</v>
      </c>
      <c r="AU71" s="209">
        <f t="shared" si="18"/>
        <v>1.0424009791839681</v>
      </c>
    </row>
    <row r="72" spans="4:47" x14ac:dyDescent="0.3">
      <c r="D72" s="32"/>
      <c r="F72" s="31" t="s">
        <v>434</v>
      </c>
      <c r="H72" s="31">
        <v>303</v>
      </c>
      <c r="I72" s="219">
        <f t="shared" si="14"/>
        <v>13.843247856832624</v>
      </c>
      <c r="J72" s="92">
        <v>15.63</v>
      </c>
      <c r="Q72" s="208"/>
      <c r="R72" s="208"/>
      <c r="S72" s="208"/>
      <c r="AE72" s="653"/>
      <c r="AF72" s="208"/>
      <c r="AM72" s="115">
        <f>(14+LOG10(0.004))</f>
        <v>11.602059991327963</v>
      </c>
      <c r="AO72" s="31">
        <v>8.85</v>
      </c>
      <c r="AP72" s="31" t="s">
        <v>644</v>
      </c>
      <c r="AQ72" s="262">
        <f t="shared" si="9"/>
        <v>2.2124999999999989E-5</v>
      </c>
      <c r="AR72" s="262">
        <f t="shared" si="15"/>
        <v>1.5421660431827551</v>
      </c>
      <c r="AS72" s="219">
        <f t="shared" si="16"/>
        <v>0.79353577406964637</v>
      </c>
      <c r="AT72" s="209">
        <f t="shared" si="17"/>
        <v>1.0109861551537675E-5</v>
      </c>
      <c r="AU72" s="209">
        <f t="shared" si="18"/>
        <v>1.0109861551537673</v>
      </c>
    </row>
    <row r="73" spans="4:47" x14ac:dyDescent="0.3">
      <c r="D73" s="32"/>
      <c r="F73" s="31" t="s">
        <v>427</v>
      </c>
      <c r="H73" s="31">
        <v>308</v>
      </c>
      <c r="I73" s="219">
        <f t="shared" si="14"/>
        <v>13.686815765905616</v>
      </c>
      <c r="J73" s="92">
        <v>15.63</v>
      </c>
      <c r="Q73" s="208"/>
      <c r="R73" s="208"/>
      <c r="S73" s="208"/>
      <c r="AE73" s="653"/>
      <c r="AF73" s="208"/>
      <c r="AM73" s="115">
        <f>(14+LOG10(0.0004))</f>
        <v>10.602059991327963</v>
      </c>
      <c r="AO73" s="31">
        <v>1.48</v>
      </c>
      <c r="AP73" s="31" t="s">
        <v>644</v>
      </c>
      <c r="AQ73" s="262">
        <f t="shared" si="9"/>
        <v>3.6999999999999964E-5</v>
      </c>
      <c r="AR73" s="262">
        <f t="shared" si="15"/>
        <v>1.7989433609872565</v>
      </c>
      <c r="AS73" s="219">
        <f t="shared" si="16"/>
        <v>1.0367920350640101</v>
      </c>
      <c r="AT73" s="209">
        <f t="shared" si="17"/>
        <v>7.7378457209512651E-6</v>
      </c>
      <c r="AU73" s="209">
        <f t="shared" si="18"/>
        <v>0.77378457209512641</v>
      </c>
    </row>
    <row r="74" spans="4:47" x14ac:dyDescent="0.3">
      <c r="D74" s="32"/>
      <c r="F74" s="31" t="s">
        <v>428</v>
      </c>
      <c r="H74" s="31">
        <v>308</v>
      </c>
      <c r="I74" s="219">
        <f t="shared" si="14"/>
        <v>13.686815765905616</v>
      </c>
      <c r="J74" s="92">
        <v>15.63</v>
      </c>
      <c r="Q74" s="208"/>
      <c r="R74" s="208"/>
      <c r="S74" s="208"/>
      <c r="AE74" s="653"/>
      <c r="AF74" s="208"/>
      <c r="AM74" s="115">
        <f>(14+LOG10(0.00048))</f>
        <v>10.681241237375588</v>
      </c>
      <c r="AO74" s="31">
        <v>1.83</v>
      </c>
      <c r="AP74" s="31" t="s">
        <v>644</v>
      </c>
      <c r="AQ74" s="262">
        <f t="shared" si="9"/>
        <v>3.8124999999999958E-5</v>
      </c>
      <c r="AR74" s="262">
        <f t="shared" si="15"/>
        <v>1.8536409631794364</v>
      </c>
      <c r="AS74" s="219">
        <f t="shared" si="16"/>
        <v>1.0061981717342525</v>
      </c>
      <c r="AT74" s="209">
        <f t="shared" si="17"/>
        <v>7.9731180570612681E-6</v>
      </c>
      <c r="AU74" s="209">
        <f t="shared" si="18"/>
        <v>0.79731180570612681</v>
      </c>
    </row>
    <row r="75" spans="4:47" x14ac:dyDescent="0.3">
      <c r="D75" s="32"/>
      <c r="F75" s="31" t="s">
        <v>429</v>
      </c>
      <c r="H75" s="31">
        <v>308</v>
      </c>
      <c r="I75" s="219">
        <f t="shared" si="14"/>
        <v>13.686815765905616</v>
      </c>
      <c r="J75" s="92">
        <v>15.63</v>
      </c>
      <c r="Q75" s="208"/>
      <c r="R75" s="208"/>
      <c r="S75" s="208"/>
      <c r="AE75" s="653"/>
      <c r="AF75" s="208"/>
      <c r="AM75" s="115">
        <f>(14+LOG10(0.00056))</f>
        <v>10.748188027006201</v>
      </c>
      <c r="AO75" s="31">
        <v>2.2599999999999998</v>
      </c>
      <c r="AP75" s="31" t="s">
        <v>644</v>
      </c>
      <c r="AQ75" s="262">
        <f t="shared" si="9"/>
        <v>4.0357142857142802E-5</v>
      </c>
      <c r="AR75" s="262">
        <f t="shared" si="15"/>
        <v>1.9621679516559836</v>
      </c>
      <c r="AS75" s="219">
        <f t="shared" si="16"/>
        <v>0.95054561798788928</v>
      </c>
      <c r="AT75" s="209">
        <f t="shared" si="17"/>
        <v>8.4399282477557194E-6</v>
      </c>
      <c r="AU75" s="209">
        <f t="shared" si="18"/>
        <v>0.84399282477557191</v>
      </c>
    </row>
    <row r="76" spans="4:47" x14ac:dyDescent="0.3">
      <c r="D76" s="32"/>
      <c r="E76" s="31" t="s">
        <v>445</v>
      </c>
      <c r="F76" s="31" t="s">
        <v>430</v>
      </c>
      <c r="H76" s="31">
        <v>308</v>
      </c>
      <c r="I76" s="219">
        <f t="shared" si="14"/>
        <v>13.686815765905616</v>
      </c>
      <c r="J76" s="92">
        <v>15.63</v>
      </c>
      <c r="Q76" s="208"/>
      <c r="R76" s="208"/>
      <c r="S76" s="208"/>
      <c r="AE76" s="653"/>
      <c r="AF76" s="208"/>
      <c r="AM76" s="115">
        <f>(14+LOG10(0.0008))</f>
        <v>10.903089986991944</v>
      </c>
      <c r="AO76" s="31">
        <v>3.25</v>
      </c>
      <c r="AP76" s="31" t="s">
        <v>644</v>
      </c>
      <c r="AQ76" s="262">
        <f t="shared" si="9"/>
        <v>4.0624999999999985E-5</v>
      </c>
      <c r="AR76" s="262">
        <f t="shared" si="15"/>
        <v>1.9751911902731714</v>
      </c>
      <c r="AS76" s="219">
        <f t="shared" si="16"/>
        <v>0.94427828424291305</v>
      </c>
      <c r="AT76" s="209">
        <f t="shared" si="17"/>
        <v>8.4959454706390637E-6</v>
      </c>
      <c r="AU76" s="209">
        <f t="shared" si="18"/>
        <v>0.84959454706390625</v>
      </c>
    </row>
    <row r="77" spans="4:47" x14ac:dyDescent="0.3">
      <c r="D77" s="32"/>
      <c r="F77" s="31" t="s">
        <v>431</v>
      </c>
      <c r="H77" s="31">
        <v>308</v>
      </c>
      <c r="I77" s="219">
        <f t="shared" si="14"/>
        <v>13.686815765905616</v>
      </c>
      <c r="J77" s="92">
        <v>15.63</v>
      </c>
      <c r="Q77" s="208"/>
      <c r="R77" s="208"/>
      <c r="S77" s="208"/>
      <c r="AE77" s="653"/>
      <c r="AF77" s="208"/>
      <c r="AM77" s="115">
        <f>(14+LOG10(0.0016))</f>
        <v>11.204119982655925</v>
      </c>
      <c r="AO77" s="31">
        <v>5.81</v>
      </c>
      <c r="AP77" s="31" t="s">
        <v>644</v>
      </c>
      <c r="AQ77" s="262">
        <f t="shared" si="9"/>
        <v>3.6312499999999948E-5</v>
      </c>
      <c r="AR77" s="262">
        <f t="shared" si="15"/>
        <v>1.7655170485364788</v>
      </c>
      <c r="AS77" s="219">
        <f t="shared" si="16"/>
        <v>1.0564214883956873</v>
      </c>
      <c r="AT77" s="209">
        <f t="shared" si="17"/>
        <v>7.5940681822173688E-6</v>
      </c>
      <c r="AU77" s="209">
        <f t="shared" si="18"/>
        <v>0.75940681822173683</v>
      </c>
    </row>
    <row r="78" spans="4:47" x14ac:dyDescent="0.3">
      <c r="D78" s="32"/>
      <c r="F78" s="31" t="s">
        <v>432</v>
      </c>
      <c r="H78" s="31">
        <v>308</v>
      </c>
      <c r="I78" s="219">
        <f t="shared" si="14"/>
        <v>13.686815765905616</v>
      </c>
      <c r="J78" s="92">
        <v>15.63</v>
      </c>
      <c r="Q78" s="208"/>
      <c r="R78" s="208"/>
      <c r="S78" s="208"/>
      <c r="AE78" s="653"/>
      <c r="AF78" s="208"/>
      <c r="AM78" s="115">
        <f>(14+LOG10(0.0024))</f>
        <v>11.380211241711606</v>
      </c>
      <c r="AO78" s="31">
        <v>7.75</v>
      </c>
      <c r="AP78" s="31" t="s">
        <v>644</v>
      </c>
      <c r="AQ78" s="262">
        <f t="shared" si="9"/>
        <v>3.2291666666666614E-5</v>
      </c>
      <c r="AR78" s="262">
        <f t="shared" si="15"/>
        <v>1.5700237666273906</v>
      </c>
      <c r="AS78" s="219">
        <f t="shared" si="16"/>
        <v>1.1879630027572148</v>
      </c>
      <c r="AT78" s="209">
        <f t="shared" si="17"/>
        <v>6.75318742537976E-6</v>
      </c>
      <c r="AU78" s="209">
        <f t="shared" si="18"/>
        <v>0.67531874253797597</v>
      </c>
    </row>
    <row r="79" spans="4:47" x14ac:dyDescent="0.3">
      <c r="D79" s="32"/>
      <c r="F79" s="31" t="s">
        <v>433</v>
      </c>
      <c r="H79" s="31">
        <v>308</v>
      </c>
      <c r="I79" s="219">
        <f t="shared" si="14"/>
        <v>13.686815765905616</v>
      </c>
      <c r="J79" s="92">
        <v>15.63</v>
      </c>
      <c r="Q79" s="208"/>
      <c r="R79" s="208"/>
      <c r="S79" s="208"/>
      <c r="AE79" s="653"/>
      <c r="AF79" s="208"/>
      <c r="AM79" s="115">
        <f>(14+LOG10(0.0032))</f>
        <v>11.505149978319906</v>
      </c>
      <c r="AO79" s="31">
        <v>9.43</v>
      </c>
      <c r="AP79" s="31" t="s">
        <v>644</v>
      </c>
      <c r="AQ79" s="262">
        <f t="shared" si="9"/>
        <v>2.9468749999999951E-5</v>
      </c>
      <c r="AR79" s="262">
        <f t="shared" si="15"/>
        <v>1.4327733018673832</v>
      </c>
      <c r="AS79" s="219">
        <f t="shared" si="16"/>
        <v>1.3017622158173792</v>
      </c>
      <c r="AT79" s="209">
        <f t="shared" si="17"/>
        <v>6.1628281375481739E-6</v>
      </c>
      <c r="AU79" s="209">
        <f t="shared" si="18"/>
        <v>0.6162828137548173</v>
      </c>
    </row>
    <row r="80" spans="4:47" x14ac:dyDescent="0.3">
      <c r="D80" s="32"/>
      <c r="F80" s="31" t="s">
        <v>434</v>
      </c>
      <c r="H80" s="31">
        <v>308</v>
      </c>
      <c r="I80" s="219">
        <f t="shared" si="14"/>
        <v>13.686815765905616</v>
      </c>
      <c r="J80" s="92">
        <v>15.63</v>
      </c>
      <c r="Q80" s="208"/>
      <c r="R80" s="208"/>
      <c r="S80" s="208"/>
      <c r="AE80" s="653"/>
      <c r="AF80" s="208"/>
      <c r="AM80" s="115">
        <f>(14+LOG10(0.004))</f>
        <v>11.602059991327963</v>
      </c>
      <c r="AO80" s="31">
        <v>12.5</v>
      </c>
      <c r="AP80" s="31" t="s">
        <v>644</v>
      </c>
      <c r="AQ80" s="262">
        <f t="shared" si="9"/>
        <v>3.1249999999999987E-5</v>
      </c>
      <c r="AR80" s="262">
        <f t="shared" si="15"/>
        <v>1.5193778386716701</v>
      </c>
      <c r="AS80" s="219">
        <f t="shared" si="16"/>
        <v>1.2275617695157872</v>
      </c>
      <c r="AT80" s="209">
        <f t="shared" si="17"/>
        <v>6.5353426697223552E-6</v>
      </c>
      <c r="AU80" s="209">
        <f t="shared" si="18"/>
        <v>0.65353426697223549</v>
      </c>
    </row>
    <row r="81" spans="1:58" x14ac:dyDescent="0.3">
      <c r="D81" s="32"/>
      <c r="E81" s="31" t="s">
        <v>446</v>
      </c>
      <c r="F81" s="31" t="s">
        <v>427</v>
      </c>
      <c r="H81" s="31">
        <v>313</v>
      </c>
      <c r="I81" s="219">
        <f t="shared" si="14"/>
        <v>13.535381505359661</v>
      </c>
      <c r="J81" s="92">
        <v>15.63</v>
      </c>
      <c r="Q81" s="208"/>
      <c r="R81" s="208"/>
      <c r="S81" s="208"/>
      <c r="AE81" s="653"/>
      <c r="AF81" s="208"/>
      <c r="AM81" s="115">
        <f>(14+LOG10(0.0004))</f>
        <v>10.602059991327963</v>
      </c>
      <c r="AO81" s="31">
        <v>1.98</v>
      </c>
      <c r="AP81" s="31" t="s">
        <v>644</v>
      </c>
      <c r="AQ81" s="262">
        <f t="shared" si="9"/>
        <v>4.9499999999999956E-5</v>
      </c>
      <c r="AR81" s="262">
        <f t="shared" si="15"/>
        <v>1.6981916623837117</v>
      </c>
      <c r="AS81" s="219">
        <f t="shared" si="16"/>
        <v>1.6515317255347834</v>
      </c>
      <c r="AT81" s="209">
        <f t="shared" si="17"/>
        <v>4.857634090824759E-6</v>
      </c>
      <c r="AU81" s="209">
        <f t="shared" si="18"/>
        <v>0.48576340908247589</v>
      </c>
    </row>
    <row r="82" spans="1:58" x14ac:dyDescent="0.3">
      <c r="D82" s="32"/>
      <c r="F82" s="31" t="s">
        <v>428</v>
      </c>
      <c r="H82" s="31">
        <v>313</v>
      </c>
      <c r="I82" s="219">
        <f t="shared" si="14"/>
        <v>13.535381505359661</v>
      </c>
      <c r="J82" s="92">
        <v>15.63</v>
      </c>
      <c r="Q82" s="208"/>
      <c r="R82" s="208"/>
      <c r="S82" s="208"/>
      <c r="AE82" s="653"/>
      <c r="AF82" s="208"/>
      <c r="AM82" s="115">
        <f>(14+LOG10(0.00048))</f>
        <v>10.681241237375588</v>
      </c>
      <c r="AO82" s="31">
        <v>2.5499999999999998</v>
      </c>
      <c r="AP82" s="31" t="s">
        <v>644</v>
      </c>
      <c r="AQ82" s="262">
        <f t="shared" si="9"/>
        <v>5.3124999999999936E-5</v>
      </c>
      <c r="AR82" s="262">
        <f t="shared" si="15"/>
        <v>1.8225541831138314</v>
      </c>
      <c r="AS82" s="219">
        <f t="shared" si="16"/>
        <v>1.5388389724982927</v>
      </c>
      <c r="AT82" s="209">
        <f t="shared" si="17"/>
        <v>5.213369920708389E-6</v>
      </c>
      <c r="AU82" s="209">
        <f t="shared" si="18"/>
        <v>0.52133699207083883</v>
      </c>
    </row>
    <row r="83" spans="1:58" x14ac:dyDescent="0.3">
      <c r="D83" s="32"/>
      <c r="F83" s="31" t="s">
        <v>429</v>
      </c>
      <c r="H83" s="31">
        <v>313</v>
      </c>
      <c r="I83" s="219">
        <f t="shared" si="14"/>
        <v>13.535381505359661</v>
      </c>
      <c r="J83" s="92">
        <v>15.63</v>
      </c>
      <c r="Q83" s="208"/>
      <c r="R83" s="208"/>
      <c r="S83" s="208"/>
      <c r="AE83" s="653"/>
      <c r="AF83" s="208"/>
      <c r="AM83" s="115">
        <f>(14+LOG10(0.00056))</f>
        <v>10.748188027006201</v>
      </c>
      <c r="AO83" s="31">
        <v>2.97</v>
      </c>
      <c r="AP83" s="31" t="s">
        <v>644</v>
      </c>
      <c r="AQ83" s="262">
        <f t="shared" si="9"/>
        <v>5.3035714285714231E-5</v>
      </c>
      <c r="AR83" s="262">
        <f t="shared" si="15"/>
        <v>1.8194910668396909</v>
      </c>
      <c r="AS83" s="219">
        <f t="shared" si="16"/>
        <v>1.5414296104991314</v>
      </c>
      <c r="AT83" s="209">
        <f t="shared" si="17"/>
        <v>5.2046079544550989E-6</v>
      </c>
      <c r="AU83" s="209">
        <f t="shared" si="18"/>
        <v>0.52046079544550983</v>
      </c>
    </row>
    <row r="84" spans="1:58" x14ac:dyDescent="0.3">
      <c r="D84" s="32"/>
      <c r="F84" s="31" t="s">
        <v>430</v>
      </c>
      <c r="H84" s="31">
        <v>313</v>
      </c>
      <c r="I84" s="219">
        <f t="shared" si="14"/>
        <v>13.535381505359661</v>
      </c>
      <c r="J84" s="92">
        <v>15.63</v>
      </c>
      <c r="Q84" s="208"/>
      <c r="R84" s="208"/>
      <c r="S84" s="208"/>
      <c r="AE84" s="653"/>
      <c r="AF84" s="208"/>
      <c r="AM84" s="115">
        <f>(14+LOG10(0.0008))</f>
        <v>10.903089986991944</v>
      </c>
      <c r="AO84" s="31">
        <v>4.74</v>
      </c>
      <c r="AP84" s="31" t="s">
        <v>644</v>
      </c>
      <c r="AQ84" s="262">
        <f t="shared" si="9"/>
        <v>5.9249999999999977E-5</v>
      </c>
      <c r="AR84" s="262">
        <f t="shared" si="15"/>
        <v>2.0326839595198982</v>
      </c>
      <c r="AS84" s="219">
        <f t="shared" si="16"/>
        <v>1.3797606820923498</v>
      </c>
      <c r="AT84" s="209">
        <f t="shared" si="17"/>
        <v>5.8144408056841852E-6</v>
      </c>
      <c r="AU84" s="209">
        <f t="shared" si="18"/>
        <v>0.58144408056841845</v>
      </c>
    </row>
    <row r="85" spans="1:58" x14ac:dyDescent="0.3">
      <c r="D85" s="32"/>
      <c r="F85" s="31" t="s">
        <v>431</v>
      </c>
      <c r="H85" s="31">
        <v>313</v>
      </c>
      <c r="I85" s="219">
        <f t="shared" si="14"/>
        <v>13.535381505359661</v>
      </c>
      <c r="J85" s="92">
        <v>15.63</v>
      </c>
      <c r="Q85" s="208"/>
      <c r="R85" s="208"/>
      <c r="S85" s="208"/>
      <c r="AE85" s="653"/>
      <c r="AF85" s="208"/>
      <c r="AM85" s="115">
        <f>(14+LOG10(0.0016))</f>
        <v>11.204119982655925</v>
      </c>
      <c r="AO85" s="31">
        <v>8.06</v>
      </c>
      <c r="AP85" s="31" t="s">
        <v>644</v>
      </c>
      <c r="AQ85" s="262">
        <f t="shared" si="9"/>
        <v>5.037499999999993E-5</v>
      </c>
      <c r="AR85" s="262">
        <f t="shared" si="15"/>
        <v>1.7282102018702916</v>
      </c>
      <c r="AS85" s="219">
        <f t="shared" si="16"/>
        <v>1.6228450702525421</v>
      </c>
      <c r="AT85" s="209">
        <f t="shared" si="17"/>
        <v>4.9435013601070133E-6</v>
      </c>
      <c r="AU85" s="209">
        <f t="shared" si="18"/>
        <v>0.49435013601070127</v>
      </c>
    </row>
    <row r="86" spans="1:58" x14ac:dyDescent="0.3">
      <c r="D86" s="32"/>
      <c r="F86" s="31" t="s">
        <v>432</v>
      </c>
      <c r="H86" s="31">
        <v>313</v>
      </c>
      <c r="I86" s="219">
        <f t="shared" si="14"/>
        <v>13.535381505359661</v>
      </c>
      <c r="J86" s="92">
        <v>15.63</v>
      </c>
      <c r="Q86" s="208"/>
      <c r="R86" s="208"/>
      <c r="S86" s="208"/>
      <c r="AE86" s="653"/>
      <c r="AF86" s="208"/>
      <c r="AM86" s="115">
        <f>(14+LOG10(0.0024))</f>
        <v>11.380211241711606</v>
      </c>
      <c r="AO86" s="31">
        <v>9.61</v>
      </c>
      <c r="AP86" s="31" t="s">
        <v>644</v>
      </c>
      <c r="AQ86" s="262">
        <f t="shared" si="9"/>
        <v>4.0041666666666599E-5</v>
      </c>
      <c r="AR86" s="262">
        <f t="shared" si="15"/>
        <v>1.3737055450763851</v>
      </c>
      <c r="AS86" s="219">
        <f t="shared" si="16"/>
        <v>2.0416437980596509</v>
      </c>
      <c r="AT86" s="209">
        <f t="shared" si="17"/>
        <v>3.9294497990594184E-6</v>
      </c>
      <c r="AU86" s="209">
        <f t="shared" si="18"/>
        <v>0.39294497990594185</v>
      </c>
    </row>
    <row r="87" spans="1:58" x14ac:dyDescent="0.3">
      <c r="D87" s="32"/>
      <c r="F87" s="31" t="s">
        <v>433</v>
      </c>
      <c r="H87" s="31">
        <v>313</v>
      </c>
      <c r="I87" s="219">
        <f t="shared" si="14"/>
        <v>13.535381505359661</v>
      </c>
      <c r="J87" s="92">
        <v>15.63</v>
      </c>
      <c r="Q87" s="208"/>
      <c r="R87" s="208"/>
      <c r="S87" s="208"/>
      <c r="AE87" s="653"/>
      <c r="AF87" s="208"/>
      <c r="AM87" s="115">
        <f>(14+LOG10(0.0032))</f>
        <v>11.505149978319906</v>
      </c>
      <c r="AO87" s="31">
        <v>11.76</v>
      </c>
      <c r="AP87" s="31" t="s">
        <v>644</v>
      </c>
      <c r="AQ87" s="262">
        <f t="shared" si="9"/>
        <v>3.6749999999999938E-5</v>
      </c>
      <c r="AR87" s="262">
        <f t="shared" si="15"/>
        <v>1.2607786584363909</v>
      </c>
      <c r="AS87" s="219">
        <f t="shared" si="16"/>
        <v>2.2245121201080775</v>
      </c>
      <c r="AT87" s="209">
        <f t="shared" si="17"/>
        <v>3.6064253098547423E-6</v>
      </c>
      <c r="AU87" s="209">
        <f t="shared" si="18"/>
        <v>0.36064253098547422</v>
      </c>
    </row>
    <row r="88" spans="1:58" x14ac:dyDescent="0.3">
      <c r="D88" s="32"/>
      <c r="F88" s="31" t="s">
        <v>434</v>
      </c>
      <c r="H88" s="31">
        <v>313</v>
      </c>
      <c r="I88" s="219">
        <f t="shared" si="14"/>
        <v>13.535381505359661</v>
      </c>
      <c r="J88" s="92">
        <v>15.63</v>
      </c>
      <c r="Q88" s="208"/>
      <c r="R88" s="208"/>
      <c r="S88" s="208"/>
      <c r="AE88" s="653"/>
      <c r="AF88" s="208"/>
      <c r="AM88" s="115">
        <f>(14+LOG10(0.004))</f>
        <v>11.602059991327963</v>
      </c>
      <c r="AO88" s="31">
        <v>18.2</v>
      </c>
      <c r="AP88" s="31" t="s">
        <v>644</v>
      </c>
      <c r="AQ88" s="262">
        <f t="shared" si="9"/>
        <v>4.5499999999999981E-5</v>
      </c>
      <c r="AR88" s="262">
        <f t="shared" si="15"/>
        <v>1.5609640533022002</v>
      </c>
      <c r="AS88" s="219">
        <f t="shared" si="16"/>
        <v>1.796721327779599</v>
      </c>
      <c r="AT88" s="209">
        <f t="shared" si="17"/>
        <v>4.4650980026773053E-6</v>
      </c>
      <c r="AU88" s="209">
        <f t="shared" si="18"/>
        <v>0.44650980026773052</v>
      </c>
    </row>
    <row r="89" spans="1:58" x14ac:dyDescent="0.3">
      <c r="D89" s="32"/>
      <c r="I89" s="219"/>
      <c r="J89" s="92"/>
      <c r="Q89" s="208"/>
      <c r="R89" s="208"/>
      <c r="S89" s="208"/>
      <c r="AE89" s="653"/>
      <c r="AF89" s="208"/>
      <c r="AQ89" s="262"/>
      <c r="AR89" s="262"/>
      <c r="AS89" s="208"/>
      <c r="AT89" s="209"/>
      <c r="AU89" s="209"/>
    </row>
    <row r="90" spans="1:58" x14ac:dyDescent="0.3">
      <c r="D90" s="32"/>
      <c r="F90" s="31" t="s">
        <v>444</v>
      </c>
      <c r="I90" s="219"/>
      <c r="J90" s="92"/>
      <c r="Q90" s="208"/>
      <c r="R90" s="208"/>
      <c r="S90" s="208"/>
      <c r="AE90" s="653"/>
      <c r="AF90" s="208"/>
      <c r="AQ90" s="262"/>
      <c r="AR90" s="262"/>
      <c r="AS90" s="208"/>
      <c r="AT90" s="209"/>
      <c r="AU90" s="209"/>
    </row>
    <row r="91" spans="1:58" ht="15" thickBot="1" x14ac:dyDescent="0.35">
      <c r="D91" s="32"/>
      <c r="I91" s="219"/>
      <c r="J91" s="91"/>
      <c r="Q91" s="208"/>
      <c r="R91" s="208"/>
      <c r="S91" s="208"/>
      <c r="AE91" s="653"/>
      <c r="AF91" s="208"/>
      <c r="AO91" s="31" t="s">
        <v>443</v>
      </c>
      <c r="AQ91" s="262"/>
      <c r="AR91" s="262"/>
      <c r="AS91" s="208"/>
      <c r="AT91" s="209"/>
      <c r="AU91" s="209"/>
    </row>
    <row r="92" spans="1:58" s="8" customFormat="1" x14ac:dyDescent="0.3">
      <c r="A92" s="37">
        <v>4</v>
      </c>
      <c r="B92" s="37" t="s">
        <v>438</v>
      </c>
      <c r="C92" s="37" t="s">
        <v>437</v>
      </c>
      <c r="D92" s="38" t="s">
        <v>928</v>
      </c>
      <c r="E92" s="37" t="s">
        <v>436</v>
      </c>
      <c r="F92" s="37" t="s">
        <v>439</v>
      </c>
      <c r="G92" s="37"/>
      <c r="H92" s="37">
        <v>298</v>
      </c>
      <c r="I92" s="218">
        <f>-LOG10(EXP(LN(10^-14)+13.36*(1/298.15-1/H92)/0.0019872))</f>
        <v>14.004929346784028</v>
      </c>
      <c r="J92" s="96">
        <v>15.63</v>
      </c>
      <c r="K92" s="37"/>
      <c r="L92" s="37"/>
      <c r="M92" s="37"/>
      <c r="N92" s="37"/>
      <c r="O92" s="260"/>
      <c r="P92" s="260"/>
      <c r="Q92" s="214"/>
      <c r="R92" s="214"/>
      <c r="S92" s="214"/>
      <c r="T92" s="410"/>
      <c r="U92" s="410"/>
      <c r="V92" s="410"/>
      <c r="W92" s="477"/>
      <c r="X92" s="477"/>
      <c r="Y92" s="477"/>
      <c r="Z92" s="37"/>
      <c r="AA92" s="37"/>
      <c r="AB92" s="37"/>
      <c r="AC92" s="37"/>
      <c r="AD92" s="465"/>
      <c r="AE92" s="654"/>
      <c r="AF92" s="214"/>
      <c r="AG92" s="410"/>
      <c r="AH92" s="410"/>
      <c r="AI92" s="410"/>
      <c r="AJ92" s="477"/>
      <c r="AK92" s="477"/>
      <c r="AL92" s="477"/>
      <c r="AM92" s="37">
        <v>10.050000000000001</v>
      </c>
      <c r="AN92" s="37"/>
      <c r="AO92" s="37">
        <v>2.88</v>
      </c>
      <c r="AP92" s="37" t="s">
        <v>649</v>
      </c>
      <c r="AQ92" s="260">
        <f>10^-4*AO92*10^(9-AM92)</f>
        <v>2.5668027018251825E-5</v>
      </c>
      <c r="AR92" s="260">
        <f>AQ92*10^($I92-9)</f>
        <v>2.5961024949054377</v>
      </c>
      <c r="AS92" s="218">
        <f>(LN(2)/AT92)/(60*60*24)</f>
        <v>0.30494603509712731</v>
      </c>
      <c r="AT92" s="215">
        <f>AU92*10^(9-14)</f>
        <v>2.6308054175818921E-5</v>
      </c>
      <c r="AU92" s="215">
        <f>EXP(LN(AR92)+$J92*(1/$H92-1/298.15)/0.0019872)</f>
        <v>2.6308054175818918</v>
      </c>
      <c r="AV92" s="410">
        <f>AVERAGE(AS92:AS95)</f>
        <v>0.29528285502407864</v>
      </c>
      <c r="AW92" s="410">
        <f>MEDIAN(AS92:AS95)</f>
        <v>0.29897998335647524</v>
      </c>
      <c r="AX92" s="410">
        <f>STDEV(AS92:AS95)</f>
        <v>2.8257582953150149E-2</v>
      </c>
      <c r="AY92" s="37"/>
      <c r="AZ92" s="37"/>
      <c r="BA92" s="37"/>
      <c r="BB92" s="186"/>
      <c r="BC92" s="186"/>
      <c r="BD92" s="186"/>
      <c r="BE92" s="37"/>
      <c r="BF92" s="37"/>
    </row>
    <row r="93" spans="1:58" x14ac:dyDescent="0.3">
      <c r="D93" s="32"/>
      <c r="F93" s="31" t="s">
        <v>440</v>
      </c>
      <c r="H93" s="31">
        <v>298</v>
      </c>
      <c r="I93" s="219">
        <f>-LOG10(EXP(LN(10^-14)+13.36*(1/298.15-1/H93)/0.0019872))</f>
        <v>14.004929346784028</v>
      </c>
      <c r="J93" s="92">
        <v>15.63</v>
      </c>
      <c r="Q93" s="208"/>
      <c r="R93" s="208"/>
      <c r="S93" s="208"/>
      <c r="AE93" s="653"/>
      <c r="AF93" s="208"/>
      <c r="AM93" s="31">
        <v>10.3</v>
      </c>
      <c r="AO93" s="31">
        <v>5.33</v>
      </c>
      <c r="AP93" s="31" t="s">
        <v>649</v>
      </c>
      <c r="AQ93" s="262">
        <f>10^-4*AO93*10^(9-AM93)</f>
        <v>2.6713279552333566E-5</v>
      </c>
      <c r="AR93" s="262">
        <f>AQ93*10^($I93-9)</f>
        <v>2.7018208935032839</v>
      </c>
      <c r="AS93" s="219">
        <f>(LN(2)/AT93)/(60*60*24)</f>
        <v>0.29301393161582312</v>
      </c>
      <c r="AT93" s="209">
        <f>AU93*10^(9-14)</f>
        <v>2.7379369874313435E-5</v>
      </c>
      <c r="AU93" s="209">
        <f>EXP(LN(AR93)+$J93*(1/$H93-1/298.15)/0.0019872)</f>
        <v>2.7379369874313433</v>
      </c>
    </row>
    <row r="94" spans="1:58" x14ac:dyDescent="0.3">
      <c r="D94" s="32"/>
      <c r="F94" s="31" t="s">
        <v>441</v>
      </c>
      <c r="H94" s="31">
        <v>298</v>
      </c>
      <c r="I94" s="219">
        <f>-LOG10(EXP(LN(10^-14)+13.36*(1/298.15-1/H94)/0.0019872))</f>
        <v>14.004929346784028</v>
      </c>
      <c r="J94" s="92">
        <v>15.63</v>
      </c>
      <c r="Q94" s="208"/>
      <c r="R94" s="208"/>
      <c r="S94" s="208"/>
      <c r="AE94" s="653"/>
      <c r="AF94" s="208"/>
      <c r="AM94" s="31">
        <v>10.52</v>
      </c>
      <c r="AO94" s="31">
        <v>10.050000000000001</v>
      </c>
      <c r="AP94" s="31" t="s">
        <v>649</v>
      </c>
      <c r="AQ94" s="262">
        <f t="shared" ref="AQ94:AQ95" si="19">10^-4*AO94*10^(9-AM94)</f>
        <v>3.0350514790040286E-5</v>
      </c>
      <c r="AR94" s="262">
        <f>AQ94*10^($I94-9)</f>
        <v>3.0696962844888862</v>
      </c>
      <c r="AS94" s="219">
        <f>(LN(2)/AT94)/(60*60*24)</f>
        <v>0.25789885681116792</v>
      </c>
      <c r="AT94" s="209">
        <f>AU94*10^(9-14)</f>
        <v>3.1107298850535273E-5</v>
      </c>
      <c r="AU94" s="209">
        <f>EXP(LN(AR94)+$J94*(1/$H94-1/298.15)/0.0019872)</f>
        <v>3.110729885053527</v>
      </c>
    </row>
    <row r="95" spans="1:58" x14ac:dyDescent="0.3">
      <c r="D95" s="32"/>
      <c r="F95" s="31" t="s">
        <v>442</v>
      </c>
      <c r="H95" s="31">
        <v>298</v>
      </c>
      <c r="I95" s="219">
        <f>-LOG10(EXP(LN(10^-14)+13.36*(1/298.15-1/H95)/0.0019872))</f>
        <v>14.004929346784028</v>
      </c>
      <c r="J95" s="92">
        <v>15.63</v>
      </c>
      <c r="Q95" s="208"/>
      <c r="R95" s="208"/>
      <c r="S95" s="208"/>
      <c r="AE95" s="653"/>
      <c r="AF95" s="208"/>
      <c r="AM95" s="31">
        <v>10.78</v>
      </c>
      <c r="AO95" s="31">
        <v>14.5</v>
      </c>
      <c r="AP95" s="31" t="s">
        <v>649</v>
      </c>
      <c r="AQ95" s="262">
        <f t="shared" si="19"/>
        <v>2.4064010157844657E-5</v>
      </c>
      <c r="AR95" s="262">
        <f>AQ95*10^($I95-9)</f>
        <v>2.433869839851257</v>
      </c>
      <c r="AS95" s="219">
        <f>(LN(2)/AT95)/(60*60*24)</f>
        <v>0.32527259657219604</v>
      </c>
      <c r="AT95" s="209">
        <f>AU95*10^(9-14)</f>
        <v>2.4664041473459191E-5</v>
      </c>
      <c r="AU95" s="209">
        <f>EXP(LN(AR95)+$J95*(1/$H95-1/298.15)/0.0019872)</f>
        <v>2.4664041473459188</v>
      </c>
    </row>
    <row r="96" spans="1:58" x14ac:dyDescent="0.3">
      <c r="D96" s="32"/>
      <c r="I96" s="219"/>
      <c r="J96" s="92"/>
      <c r="Q96" s="208"/>
      <c r="R96" s="208"/>
      <c r="S96" s="208"/>
      <c r="AE96" s="653"/>
      <c r="AF96" s="208"/>
      <c r="AQ96" s="262"/>
      <c r="AR96" s="262"/>
      <c r="AS96" s="208"/>
      <c r="AT96" s="209"/>
      <c r="AU96" s="209"/>
    </row>
    <row r="97" spans="1:58" ht="15" thickBot="1" x14ac:dyDescent="0.35">
      <c r="D97" s="32"/>
      <c r="I97" s="219"/>
      <c r="J97" s="92"/>
      <c r="Q97" s="208"/>
      <c r="R97" s="208"/>
      <c r="S97" s="208"/>
      <c r="AE97" s="653"/>
      <c r="AF97" s="208"/>
      <c r="AQ97" s="262"/>
      <c r="AR97" s="262"/>
      <c r="AS97" s="208"/>
      <c r="AT97" s="209"/>
      <c r="AU97" s="209"/>
    </row>
    <row r="98" spans="1:58" s="8" customFormat="1" x14ac:dyDescent="0.3">
      <c r="A98" s="37">
        <v>5</v>
      </c>
      <c r="B98" s="37" t="s">
        <v>447</v>
      </c>
      <c r="C98" s="37" t="s">
        <v>448</v>
      </c>
      <c r="D98" s="38" t="s">
        <v>926</v>
      </c>
      <c r="E98" s="37" t="s">
        <v>450</v>
      </c>
      <c r="F98" s="37" t="s">
        <v>449</v>
      </c>
      <c r="G98" s="37"/>
      <c r="H98" s="37">
        <v>298</v>
      </c>
      <c r="I98" s="218">
        <f>-LOG10(EXP(LN(10^-14)+13.36*(1/298.15-1/H98)/0.0019872))</f>
        <v>14.004929346784028</v>
      </c>
      <c r="J98" s="109">
        <v>12.49</v>
      </c>
      <c r="K98" s="37"/>
      <c r="L98" s="37"/>
      <c r="M98" s="37"/>
      <c r="N98" s="37"/>
      <c r="O98" s="260"/>
      <c r="P98" s="260"/>
      <c r="Q98" s="214"/>
      <c r="R98" s="214"/>
      <c r="S98" s="214"/>
      <c r="T98" s="410"/>
      <c r="U98" s="410"/>
      <c r="V98" s="410"/>
      <c r="W98" s="477"/>
      <c r="X98" s="477"/>
      <c r="Y98" s="477"/>
      <c r="Z98" s="37"/>
      <c r="AA98" s="37"/>
      <c r="AB98" s="37"/>
      <c r="AC98" s="37"/>
      <c r="AD98" s="465"/>
      <c r="AE98" s="654"/>
      <c r="AF98" s="214"/>
      <c r="AG98" s="410"/>
      <c r="AH98" s="410"/>
      <c r="AI98" s="410"/>
      <c r="AJ98" s="477"/>
      <c r="AK98" s="477"/>
      <c r="AL98" s="477"/>
      <c r="AM98" s="37">
        <f>(14+LOG10(0.1))</f>
        <v>13</v>
      </c>
      <c r="AN98" s="37"/>
      <c r="AO98" s="37">
        <v>4.1999999999999997E-3</v>
      </c>
      <c r="AP98" s="37" t="s">
        <v>650</v>
      </c>
      <c r="AQ98" s="260">
        <f>AO98*10^(9-AM98)</f>
        <v>4.2E-7</v>
      </c>
      <c r="AR98" s="260">
        <f>AQ98*10^($I98-9)</f>
        <v>4.2479425749589433E-2</v>
      </c>
      <c r="AS98" s="771">
        <f>(LN(2)/AT98)/(60*60*24)</f>
        <v>18.686360905187307</v>
      </c>
      <c r="AT98" s="215">
        <f>AU98*10^(9-14)</f>
        <v>4.293257982515664E-7</v>
      </c>
      <c r="AU98" s="215">
        <f>EXP(LN(AR98)+$J98*(1/$H98-1/298.15)/0.0019872)</f>
        <v>4.2932579825156636E-2</v>
      </c>
      <c r="AV98" s="882">
        <f>AS98</f>
        <v>18.686360905187307</v>
      </c>
      <c r="AW98" s="410"/>
      <c r="AX98" s="410"/>
      <c r="AY98" s="37"/>
      <c r="AZ98" s="37"/>
      <c r="BA98" s="37"/>
      <c r="BB98" s="186"/>
      <c r="BC98" s="186"/>
      <c r="BD98" s="186"/>
      <c r="BE98" s="37"/>
      <c r="BF98" s="37"/>
    </row>
    <row r="99" spans="1:58" ht="15" thickBot="1" x14ac:dyDescent="0.35">
      <c r="D99" s="32"/>
      <c r="I99" s="219"/>
      <c r="J99" s="91"/>
      <c r="Q99" s="208"/>
      <c r="R99" s="208"/>
      <c r="S99" s="208"/>
      <c r="AE99" s="653"/>
      <c r="AF99" s="208"/>
      <c r="AQ99" s="262"/>
      <c r="AR99" s="262"/>
      <c r="AS99" s="208"/>
      <c r="AT99" s="209"/>
      <c r="AU99" s="209"/>
    </row>
    <row r="100" spans="1:58" s="8" customFormat="1" x14ac:dyDescent="0.3">
      <c r="A100" s="37">
        <v>6</v>
      </c>
      <c r="B100" s="37" t="s">
        <v>1275</v>
      </c>
      <c r="C100" s="37" t="s">
        <v>451</v>
      </c>
      <c r="D100" s="38" t="s">
        <v>929</v>
      </c>
      <c r="E100" s="37" t="s">
        <v>452</v>
      </c>
      <c r="F100" s="37" t="s">
        <v>395</v>
      </c>
      <c r="G100" s="37">
        <v>60</v>
      </c>
      <c r="H100" s="37">
        <f>273.15+G100</f>
        <v>333.15</v>
      </c>
      <c r="I100" s="218">
        <f t="shared" ref="I100:I108" si="20">-LOG10(EXP(LN(10^-14)+13.36*(1/298.15-1/H100)/0.0019872))</f>
        <v>12.971172405674658</v>
      </c>
      <c r="J100" s="37">
        <v>18</v>
      </c>
      <c r="K100" s="37">
        <v>1.26</v>
      </c>
      <c r="L100" s="37"/>
      <c r="M100" s="122">
        <v>1.7499999999999998E-5</v>
      </c>
      <c r="N100" s="122" t="s">
        <v>421</v>
      </c>
      <c r="O100" s="260">
        <f t="shared" ref="O100:O105" si="21">M100*10^(K100-5)</f>
        <v>3.1844765025674655E-9</v>
      </c>
      <c r="P100" s="260">
        <f t="shared" ref="P100:P105" si="22">O100*10^5</f>
        <v>3.1844765025674653E-4</v>
      </c>
      <c r="Q100" s="218">
        <f t="shared" ref="Q100:Q105" si="23">(LN(2)/(R100*60*60*24))</f>
        <v>61294.094318745556</v>
      </c>
      <c r="R100" s="215">
        <f t="shared" ref="R100:R105" si="24">S100*10^-5</f>
        <v>1.3088596709361726E-10</v>
      </c>
      <c r="S100" s="215">
        <f t="shared" ref="S100:S105" si="25">EXP(LN(P100)+$J100*(1/$H100-1/298.15)/0.0019872)</f>
        <v>1.3088596709361724E-5</v>
      </c>
      <c r="T100" s="410">
        <f>AVERAGE(Q100:Q105)</f>
        <v>30549.415589440643</v>
      </c>
      <c r="U100" s="410">
        <f>MEDIAN(Q100:Q105)</f>
        <v>28793.624209806592</v>
      </c>
      <c r="V100" s="410">
        <f>STDEV(Q100:Q105)</f>
        <v>33511.784387260253</v>
      </c>
      <c r="W100" s="477"/>
      <c r="X100" s="477"/>
      <c r="Y100" s="477"/>
      <c r="Z100" s="37"/>
      <c r="AA100" s="37"/>
      <c r="AB100" s="37"/>
      <c r="AC100" s="37"/>
      <c r="AD100" s="465"/>
      <c r="AE100" s="654"/>
      <c r="AF100" s="214"/>
      <c r="AG100" s="410"/>
      <c r="AH100" s="410"/>
      <c r="AI100" s="410"/>
      <c r="AJ100" s="477"/>
      <c r="AK100" s="477"/>
      <c r="AL100" s="477"/>
      <c r="AM100" s="37"/>
      <c r="AN100" s="37"/>
      <c r="AO100" s="37"/>
      <c r="AP100" s="37"/>
      <c r="AQ100" s="465"/>
      <c r="AR100" s="465"/>
      <c r="AS100" s="214"/>
      <c r="AT100" s="214"/>
      <c r="AU100" s="214"/>
      <c r="AV100" s="410">
        <f>AVERAGE(AS106:AS108)</f>
        <v>1.2989851527197012</v>
      </c>
      <c r="AW100" s="410">
        <f>MEDIAN(AS106:AS108)</f>
        <v>1.2521436873492353</v>
      </c>
      <c r="AX100" s="410">
        <f>STDEV(AS106:AS108)</f>
        <v>0.39933510940678751</v>
      </c>
      <c r="AY100" s="37"/>
      <c r="AZ100" s="37"/>
      <c r="BA100" s="37"/>
      <c r="BB100" s="186"/>
      <c r="BC100" s="186"/>
      <c r="BD100" s="186"/>
      <c r="BE100" s="37"/>
      <c r="BF100" s="37"/>
    </row>
    <row r="101" spans="1:58" x14ac:dyDescent="0.3">
      <c r="D101" s="32"/>
      <c r="G101" s="31">
        <v>70</v>
      </c>
      <c r="H101" s="31">
        <f t="shared" ref="H101:H108" si="26">273.15+G101</f>
        <v>343.15</v>
      </c>
      <c r="I101" s="219">
        <f t="shared" si="20"/>
        <v>12.715769772716893</v>
      </c>
      <c r="J101" s="31">
        <v>18</v>
      </c>
      <c r="K101" s="31">
        <v>1.26</v>
      </c>
      <c r="M101" s="103">
        <v>3.68E-5</v>
      </c>
      <c r="N101" s="103" t="s">
        <v>421</v>
      </c>
      <c r="O101" s="262">
        <f t="shared" si="21"/>
        <v>6.6964991596847286E-9</v>
      </c>
      <c r="P101" s="262">
        <f t="shared" si="22"/>
        <v>6.6964991596847286E-4</v>
      </c>
      <c r="Q101" s="219">
        <f t="shared" si="23"/>
        <v>64374.549987959537</v>
      </c>
      <c r="R101" s="209">
        <f t="shared" si="24"/>
        <v>1.2462280223375417E-10</v>
      </c>
      <c r="S101" s="209">
        <f t="shared" si="25"/>
        <v>1.2462280223375415E-5</v>
      </c>
      <c r="AE101" s="653"/>
      <c r="AF101" s="208"/>
      <c r="AS101" s="208"/>
      <c r="AT101" s="208"/>
      <c r="AU101" s="208"/>
    </row>
    <row r="102" spans="1:58" x14ac:dyDescent="0.3">
      <c r="D102" s="32"/>
      <c r="G102" s="31">
        <v>80</v>
      </c>
      <c r="H102" s="31">
        <f t="shared" si="26"/>
        <v>353.15</v>
      </c>
      <c r="I102" s="219">
        <f t="shared" si="20"/>
        <v>12.474831397607506</v>
      </c>
      <c r="J102" s="31">
        <v>18</v>
      </c>
      <c r="K102" s="31">
        <v>1.26</v>
      </c>
      <c r="M102" s="103">
        <v>8.6899999999999998E-5</v>
      </c>
      <c r="N102" s="103" t="s">
        <v>421</v>
      </c>
      <c r="O102" s="262">
        <f t="shared" si="21"/>
        <v>1.581320046132073E-8</v>
      </c>
      <c r="P102" s="262">
        <f t="shared" si="22"/>
        <v>1.581320046132073E-3</v>
      </c>
      <c r="Q102" s="219">
        <f t="shared" si="23"/>
        <v>57565.173717337151</v>
      </c>
      <c r="R102" s="209">
        <f t="shared" si="24"/>
        <v>1.3936441591281469E-10</v>
      </c>
      <c r="S102" s="209">
        <f t="shared" si="25"/>
        <v>1.3936441591281467E-5</v>
      </c>
      <c r="AE102" s="653"/>
      <c r="AF102" s="208"/>
      <c r="AS102" s="208"/>
      <c r="AT102" s="208"/>
      <c r="AU102" s="208"/>
    </row>
    <row r="103" spans="1:58" x14ac:dyDescent="0.3">
      <c r="D103" s="32"/>
      <c r="G103" s="31">
        <v>60</v>
      </c>
      <c r="H103" s="31">
        <f t="shared" si="26"/>
        <v>333.15</v>
      </c>
      <c r="I103" s="219">
        <f t="shared" si="20"/>
        <v>12.971172405674658</v>
      </c>
      <c r="J103" s="31">
        <v>14.8</v>
      </c>
      <c r="K103" s="31">
        <v>5.08</v>
      </c>
      <c r="M103" s="103">
        <v>4.1699999999999999E-6</v>
      </c>
      <c r="N103" s="103" t="s">
        <v>421</v>
      </c>
      <c r="O103" s="262">
        <f t="shared" si="21"/>
        <v>5.0134426923546125E-6</v>
      </c>
      <c r="P103" s="262">
        <f t="shared" si="22"/>
        <v>0.50134426923546127</v>
      </c>
      <c r="Q103" s="219">
        <f t="shared" si="23"/>
        <v>22.07470227602791</v>
      </c>
      <c r="R103" s="209">
        <f t="shared" si="24"/>
        <v>3.6342672765052433E-7</v>
      </c>
      <c r="S103" s="209">
        <f t="shared" si="25"/>
        <v>3.6342672765052431E-2</v>
      </c>
      <c r="AE103" s="653"/>
      <c r="AF103" s="208"/>
      <c r="AQ103" s="262"/>
      <c r="AR103" s="262"/>
      <c r="AS103" s="208"/>
      <c r="AT103" s="209"/>
      <c r="AU103" s="209"/>
    </row>
    <row r="104" spans="1:58" x14ac:dyDescent="0.3">
      <c r="D104" s="32"/>
      <c r="G104" s="31">
        <v>70</v>
      </c>
      <c r="H104" s="31">
        <f t="shared" si="26"/>
        <v>343.15</v>
      </c>
      <c r="I104" s="219">
        <f t="shared" si="20"/>
        <v>12.715769772716893</v>
      </c>
      <c r="J104" s="31">
        <v>14.8</v>
      </c>
      <c r="K104" s="31">
        <v>5.08</v>
      </c>
      <c r="M104" s="103">
        <v>8.8000000000000004E-6</v>
      </c>
      <c r="N104" s="103" t="s">
        <v>421</v>
      </c>
      <c r="O104" s="262">
        <f t="shared" si="21"/>
        <v>1.0579927024633237E-5</v>
      </c>
      <c r="P104" s="262">
        <f t="shared" si="22"/>
        <v>1.0579927024633238</v>
      </c>
      <c r="Q104" s="219">
        <f t="shared" si="23"/>
        <v>20.06685433732293</v>
      </c>
      <c r="R104" s="209">
        <f t="shared" si="24"/>
        <v>3.9979045430728287E-7</v>
      </c>
      <c r="S104" s="209">
        <f t="shared" si="25"/>
        <v>3.9979045430728284E-2</v>
      </c>
      <c r="AE104" s="653"/>
      <c r="AF104" s="208"/>
      <c r="AQ104" s="262"/>
      <c r="AR104" s="262"/>
      <c r="AS104" s="208"/>
      <c r="AT104" s="209"/>
      <c r="AU104" s="209"/>
    </row>
    <row r="105" spans="1:58" x14ac:dyDescent="0.3">
      <c r="D105" s="32"/>
      <c r="G105" s="31">
        <v>80</v>
      </c>
      <c r="H105" s="31">
        <f t="shared" si="26"/>
        <v>353.15</v>
      </c>
      <c r="I105" s="219">
        <f t="shared" si="20"/>
        <v>12.474831397607506</v>
      </c>
      <c r="J105" s="31">
        <v>14.8</v>
      </c>
      <c r="K105" s="31">
        <v>5.08</v>
      </c>
      <c r="M105" s="103">
        <v>1.59E-5</v>
      </c>
      <c r="N105" s="103" t="s">
        <v>421</v>
      </c>
      <c r="O105" s="262">
        <f t="shared" si="21"/>
        <v>1.9116004510416869E-5</v>
      </c>
      <c r="P105" s="262">
        <f t="shared" si="22"/>
        <v>1.9116004510416869</v>
      </c>
      <c r="Q105" s="219">
        <f t="shared" si="23"/>
        <v>20.533955988276233</v>
      </c>
      <c r="R105" s="209">
        <f t="shared" si="24"/>
        <v>3.9069611411541127E-7</v>
      </c>
      <c r="S105" s="209">
        <f t="shared" si="25"/>
        <v>3.9069611411541125E-2</v>
      </c>
      <c r="AE105" s="653"/>
      <c r="AF105" s="208"/>
      <c r="AQ105" s="262"/>
      <c r="AR105" s="262"/>
      <c r="AS105" s="208"/>
      <c r="AT105" s="209"/>
      <c r="AU105" s="209"/>
    </row>
    <row r="106" spans="1:58" x14ac:dyDescent="0.3">
      <c r="D106" s="32"/>
      <c r="G106" s="31">
        <v>60</v>
      </c>
      <c r="H106" s="31">
        <f t="shared" si="26"/>
        <v>333.15</v>
      </c>
      <c r="I106" s="219">
        <f t="shared" si="20"/>
        <v>12.971172405674658</v>
      </c>
      <c r="J106" s="31">
        <v>23.4</v>
      </c>
      <c r="M106" s="103"/>
      <c r="N106" s="103"/>
      <c r="Q106" s="219"/>
      <c r="R106" s="209"/>
      <c r="S106" s="209"/>
      <c r="AE106" s="653"/>
      <c r="AF106" s="208"/>
      <c r="AM106" s="31">
        <v>7.7</v>
      </c>
      <c r="AO106" s="103">
        <v>1.13E-4</v>
      </c>
      <c r="AP106" s="31" t="s">
        <v>650</v>
      </c>
      <c r="AQ106" s="262">
        <f t="shared" ref="AQ106:AQ108" si="27">AO106*10^(9-AM106)</f>
        <v>2.2546464159148342E-3</v>
      </c>
      <c r="AR106" s="262">
        <f>AQ106*10^($I106-9)</f>
        <v>21.098464485947822</v>
      </c>
      <c r="AS106" s="219">
        <f>(LN(2)/AT106)/(60*60*24)</f>
        <v>0.92513653415015618</v>
      </c>
      <c r="AT106" s="209">
        <f>AU106*10^(9-14)</f>
        <v>8.6717327831032232E-6</v>
      </c>
      <c r="AU106" s="209">
        <f>EXP(LN(AR106)+$J100*(1/$H100-1/298.15)/0.0019872)</f>
        <v>0.86717327831032232</v>
      </c>
    </row>
    <row r="107" spans="1:58" x14ac:dyDescent="0.3">
      <c r="D107" s="32"/>
      <c r="G107" s="31">
        <v>70</v>
      </c>
      <c r="H107" s="31">
        <f t="shared" si="26"/>
        <v>343.15</v>
      </c>
      <c r="I107" s="219">
        <f t="shared" si="20"/>
        <v>12.715769772716893</v>
      </c>
      <c r="J107" s="31">
        <v>23.4</v>
      </c>
      <c r="M107" s="103"/>
      <c r="N107" s="103"/>
      <c r="Q107" s="219"/>
      <c r="R107" s="209"/>
      <c r="S107" s="209"/>
      <c r="AE107" s="653"/>
      <c r="AF107" s="208"/>
      <c r="AM107" s="31">
        <v>7.7</v>
      </c>
      <c r="AO107" s="103">
        <v>3.3199999999999999E-4</v>
      </c>
      <c r="AP107" s="31" t="s">
        <v>650</v>
      </c>
      <c r="AQ107" s="262">
        <f t="shared" si="27"/>
        <v>6.6242708856966807E-3</v>
      </c>
      <c r="AR107" s="262">
        <f>AQ107*10^($I107-9)</f>
        <v>34.427687832859711</v>
      </c>
      <c r="AS107" s="219">
        <f>(LN(2)/AT107)/(60*60*24)</f>
        <v>1.2521436873492353</v>
      </c>
      <c r="AT107" s="209">
        <f>AU107*10^(9-14)</f>
        <v>6.4070416942483362E-6</v>
      </c>
      <c r="AU107" s="209">
        <f>EXP(LN(AR107)+$J101*(1/$H101-1/298.15)/0.0019872)</f>
        <v>0.64070416942483355</v>
      </c>
    </row>
    <row r="108" spans="1:58" x14ac:dyDescent="0.3">
      <c r="D108" s="32"/>
      <c r="G108" s="31">
        <v>80</v>
      </c>
      <c r="H108" s="31">
        <f t="shared" si="26"/>
        <v>353.15</v>
      </c>
      <c r="I108" s="219">
        <f t="shared" si="20"/>
        <v>12.474831397607506</v>
      </c>
      <c r="J108" s="31">
        <v>23.4</v>
      </c>
      <c r="M108" s="103"/>
      <c r="N108" s="103"/>
      <c r="Q108" s="219"/>
      <c r="R108" s="209"/>
      <c r="S108" s="209"/>
      <c r="AE108" s="653"/>
      <c r="AF108" s="208"/>
      <c r="AM108" s="31">
        <v>7.7</v>
      </c>
      <c r="AO108" s="103">
        <v>8.8900000000000003E-4</v>
      </c>
      <c r="AP108" s="31" t="s">
        <v>650</v>
      </c>
      <c r="AQ108" s="262">
        <f t="shared" si="27"/>
        <v>1.7737881980073342E-2</v>
      </c>
      <c r="AR108" s="262">
        <f>AQ108*10^($I108-9)</f>
        <v>52.933810534548684</v>
      </c>
      <c r="AS108" s="219">
        <f>(LN(2)/AT108)/(60*60*24)</f>
        <v>1.7196752366597121</v>
      </c>
      <c r="AT108" s="209">
        <f>AU108*10^(9-14)</f>
        <v>4.665146442196455E-6</v>
      </c>
      <c r="AU108" s="209">
        <f>EXP(LN(AR108)+$J102*(1/$H102-1/298.15)/0.0019872)</f>
        <v>0.4665146442196455</v>
      </c>
    </row>
    <row r="109" spans="1:58" ht="15" thickBot="1" x14ac:dyDescent="0.35">
      <c r="D109" s="32"/>
      <c r="I109" s="219"/>
      <c r="J109" s="91"/>
      <c r="M109" s="103"/>
      <c r="N109" s="103"/>
      <c r="Q109" s="219"/>
      <c r="R109" s="209"/>
      <c r="S109" s="209"/>
      <c r="AE109" s="653"/>
      <c r="AF109" s="208"/>
      <c r="AQ109" s="262"/>
      <c r="AR109" s="262"/>
      <c r="AS109" s="208"/>
      <c r="AT109" s="209"/>
      <c r="AU109" s="209"/>
    </row>
    <row r="110" spans="1:58" s="8" customFormat="1" x14ac:dyDescent="0.3">
      <c r="A110" s="37">
        <v>7</v>
      </c>
      <c r="B110" s="37" t="s">
        <v>453</v>
      </c>
      <c r="C110" s="37" t="s">
        <v>454</v>
      </c>
      <c r="D110" s="38" t="s">
        <v>926</v>
      </c>
      <c r="E110" s="37" t="s">
        <v>455</v>
      </c>
      <c r="F110" s="37" t="s">
        <v>456</v>
      </c>
      <c r="G110" s="37"/>
      <c r="H110" s="37">
        <v>298</v>
      </c>
      <c r="I110" s="218">
        <f>-LOG10(EXP(LN(10^-14)+13.36*(1/298.15-1/H110)/0.0019872))</f>
        <v>14.004929346784028</v>
      </c>
      <c r="J110" s="96">
        <v>15.63</v>
      </c>
      <c r="K110" s="37"/>
      <c r="L110" s="37"/>
      <c r="M110" s="37"/>
      <c r="N110" s="37"/>
      <c r="O110" s="260"/>
      <c r="P110" s="260"/>
      <c r="Q110" s="214"/>
      <c r="R110" s="214"/>
      <c r="S110" s="214"/>
      <c r="T110" s="410"/>
      <c r="U110" s="410"/>
      <c r="V110" s="410"/>
      <c r="W110" s="477"/>
      <c r="X110" s="477"/>
      <c r="Y110" s="477"/>
      <c r="Z110" s="37"/>
      <c r="AA110" s="37"/>
      <c r="AB110" s="37"/>
      <c r="AC110" s="37"/>
      <c r="AD110" s="465"/>
      <c r="AE110" s="654"/>
      <c r="AF110" s="214"/>
      <c r="AG110" s="410"/>
      <c r="AH110" s="410"/>
      <c r="AI110" s="410"/>
      <c r="AJ110" s="477"/>
      <c r="AK110" s="477"/>
      <c r="AL110" s="477"/>
      <c r="AM110" s="37">
        <v>8.4</v>
      </c>
      <c r="AN110" s="37"/>
      <c r="AO110" s="37">
        <v>-3.2</v>
      </c>
      <c r="AP110" s="37" t="s">
        <v>651</v>
      </c>
      <c r="AQ110" s="260">
        <f>10^(AO110)*10^(9-AM110)</f>
        <v>2.5118864315095755E-3</v>
      </c>
      <c r="AR110" s="260">
        <f>AQ110*10^($I110-9)</f>
        <v>254.05593609217183</v>
      </c>
      <c r="AS110" s="642">
        <f>(LN(2)/AT110)/(60*60*24)</f>
        <v>3.1161293638891936E-3</v>
      </c>
      <c r="AT110" s="215">
        <f>AU110*10^(9-14)</f>
        <v>2.5745198209690492E-3</v>
      </c>
      <c r="AU110" s="215">
        <f>EXP(LN(AR110)+$J110*(1/$H110-1/298.15)/0.0019872)</f>
        <v>257.45198209690489</v>
      </c>
      <c r="AV110" s="458">
        <f>AS110</f>
        <v>3.1161293638891936E-3</v>
      </c>
      <c r="AW110" s="410"/>
      <c r="AX110" s="410"/>
      <c r="AY110" s="37"/>
      <c r="AZ110" s="37"/>
      <c r="BA110" s="37"/>
      <c r="BB110" s="186"/>
      <c r="BC110" s="186"/>
      <c r="BD110" s="186"/>
      <c r="BE110" s="37"/>
      <c r="BF110" s="37"/>
    </row>
    <row r="111" spans="1:58" x14ac:dyDescent="0.3">
      <c r="D111" s="32"/>
      <c r="I111" s="219"/>
      <c r="J111" s="91"/>
      <c r="Q111" s="208"/>
      <c r="R111" s="208"/>
      <c r="S111" s="208"/>
      <c r="AE111" s="653"/>
      <c r="AF111" s="208"/>
      <c r="AQ111" s="262"/>
      <c r="AR111" s="262"/>
      <c r="AS111" s="208"/>
      <c r="AT111" s="209"/>
      <c r="AU111" s="209"/>
    </row>
    <row r="112" spans="1:58" s="9" customFormat="1" x14ac:dyDescent="0.3">
      <c r="A112" s="42">
        <v>8</v>
      </c>
      <c r="B112" s="42" t="s">
        <v>462</v>
      </c>
      <c r="C112" s="42" t="s">
        <v>463</v>
      </c>
      <c r="D112" s="43" t="s">
        <v>926</v>
      </c>
      <c r="E112" s="42" t="s">
        <v>464</v>
      </c>
      <c r="F112" s="42" t="s">
        <v>465</v>
      </c>
      <c r="G112" s="42"/>
      <c r="H112" s="42">
        <v>298</v>
      </c>
      <c r="I112" s="688">
        <f>-LOG10(EXP(LN(10^-14)+13.36*(1/298.15-1/H112)/0.0019872))</f>
        <v>14.004929346784028</v>
      </c>
      <c r="J112" s="834">
        <v>15.63</v>
      </c>
      <c r="K112" s="42"/>
      <c r="L112" s="42"/>
      <c r="M112" s="42"/>
      <c r="N112" s="42"/>
      <c r="O112" s="455"/>
      <c r="P112" s="455"/>
      <c r="Q112" s="216"/>
      <c r="R112" s="216"/>
      <c r="S112" s="216"/>
      <c r="T112" s="475"/>
      <c r="U112" s="475"/>
      <c r="V112" s="475"/>
      <c r="W112" s="476"/>
      <c r="X112" s="476"/>
      <c r="Y112" s="476"/>
      <c r="Z112" s="42">
        <v>7</v>
      </c>
      <c r="AA112" s="42"/>
      <c r="AB112" s="126">
        <v>2.64E-3</v>
      </c>
      <c r="AC112" s="126" t="s">
        <v>652</v>
      </c>
      <c r="AD112" s="455">
        <f>AB112/60</f>
        <v>4.3999999999999999E-5</v>
      </c>
      <c r="AE112" s="749">
        <f>(LN(2)/(AF112*60*60*24))</f>
        <v>0.17992526421072103</v>
      </c>
      <c r="AF112" s="217">
        <f>EXP(LN(AD112)+$J112*(1/$H112-1/298.15)/0.0019872)</f>
        <v>4.4588161908384026E-5</v>
      </c>
      <c r="AG112" s="475">
        <f>AVERAGE(AE112:AE113)</f>
        <v>0.16942782202879875</v>
      </c>
      <c r="AH112" s="475">
        <f>MEDIAN(AE112:AE113)</f>
        <v>0.16942782202879875</v>
      </c>
      <c r="AI112" s="475">
        <f>STDEV(AE112:AE113)</f>
        <v>1.4845625103901881E-2</v>
      </c>
      <c r="AJ112" s="476"/>
      <c r="AK112" s="476"/>
      <c r="AL112" s="476"/>
      <c r="AM112" s="42"/>
      <c r="AN112" s="42"/>
      <c r="AO112" s="42"/>
      <c r="AP112" s="126"/>
      <c r="AQ112" s="455"/>
      <c r="AR112" s="455"/>
      <c r="AS112" s="216"/>
      <c r="AT112" s="217"/>
      <c r="AU112" s="217"/>
      <c r="AV112" s="475">
        <f>AS114</f>
        <v>0.29261631668818189</v>
      </c>
      <c r="AW112" s="475"/>
      <c r="AX112" s="475"/>
      <c r="AY112" s="42"/>
      <c r="AZ112" s="42"/>
      <c r="BA112" s="42"/>
      <c r="BB112" s="187"/>
      <c r="BC112" s="187"/>
      <c r="BD112" s="187"/>
      <c r="BE112" s="42"/>
      <c r="BF112" s="42"/>
    </row>
    <row r="113" spans="1:58" x14ac:dyDescent="0.3">
      <c r="D113" s="32"/>
      <c r="F113" s="31" t="s">
        <v>466</v>
      </c>
      <c r="H113" s="31">
        <f>30+273</f>
        <v>303</v>
      </c>
      <c r="I113" s="219">
        <f>-LOG10(EXP(LN(10^-14)+13.36*(1/298.15-1/H113)/0.0019872))</f>
        <v>13.843247856832624</v>
      </c>
      <c r="J113" s="813">
        <v>15.63</v>
      </c>
      <c r="Q113" s="208"/>
      <c r="R113" s="208"/>
      <c r="S113" s="208"/>
      <c r="Z113" s="31">
        <v>7</v>
      </c>
      <c r="AB113" s="103">
        <v>4.62E-3</v>
      </c>
      <c r="AC113" s="103" t="s">
        <v>652</v>
      </c>
      <c r="AD113" s="262">
        <f>AB113/60</f>
        <v>7.7000000000000001E-5</v>
      </c>
      <c r="AE113" s="653">
        <f>(LN(2)/(AF113*60*60*24))</f>
        <v>0.1589303798468765</v>
      </c>
      <c r="AF113" s="209">
        <f>EXP(LN(AD113)+$J113*(1/$H113-1/298.15)/0.0019872)</f>
        <v>5.0478308928512078E-5</v>
      </c>
      <c r="AP113" s="103"/>
      <c r="AQ113" s="262"/>
      <c r="AR113" s="262"/>
      <c r="AS113" s="208"/>
      <c r="AT113" s="209"/>
      <c r="AU113" s="209"/>
    </row>
    <row r="114" spans="1:58" x14ac:dyDescent="0.3">
      <c r="D114" s="32"/>
      <c r="F114" s="31" t="s">
        <v>467</v>
      </c>
      <c r="H114" s="31">
        <v>303</v>
      </c>
      <c r="I114" s="219">
        <f>-LOG10(EXP(LN(10^-14)+13.36*(1/298.15-1/H114)/0.0019872))</f>
        <v>13.843247856832624</v>
      </c>
      <c r="J114" s="813">
        <v>15.63</v>
      </c>
      <c r="Q114" s="208"/>
      <c r="R114" s="208"/>
      <c r="S114" s="208"/>
      <c r="AE114" s="653"/>
      <c r="AF114" s="208"/>
      <c r="AM114" s="31">
        <v>10</v>
      </c>
      <c r="AO114" s="103">
        <v>3.5999999999999997E-2</v>
      </c>
      <c r="AP114" s="31" t="s">
        <v>652</v>
      </c>
      <c r="AQ114" s="262">
        <f>(AO114/60)*10^(9-AM114)</f>
        <v>5.9999999999999995E-5</v>
      </c>
      <c r="AR114" s="262">
        <f>AQ114*10^($I114-9)</f>
        <v>4.182145201851541</v>
      </c>
      <c r="AS114" s="219">
        <f>(LN(2)/AT114)/(60*60*24)</f>
        <v>0.29261631668818189</v>
      </c>
      <c r="AT114" s="209">
        <f>AU114*10^(9-14)</f>
        <v>2.7416573699085237E-5</v>
      </c>
      <c r="AU114" s="209">
        <f>EXP(LN(AR114)+$J114*(1/$H114-1/298.15)/0.0019872)</f>
        <v>2.7416573699085234</v>
      </c>
    </row>
    <row r="115" spans="1:58" x14ac:dyDescent="0.3">
      <c r="D115" s="32"/>
      <c r="F115" s="31" t="s">
        <v>468</v>
      </c>
      <c r="H115" s="31">
        <v>298</v>
      </c>
      <c r="I115" s="219">
        <f>-LOG10(EXP(LN(10^-14)+13.36*(1/298.15-1/H115)/0.0019872))</f>
        <v>14.004929346784028</v>
      </c>
      <c r="J115" s="813">
        <v>15.63</v>
      </c>
      <c r="Q115" s="208"/>
      <c r="R115" s="208"/>
      <c r="S115" s="208"/>
      <c r="AE115" s="653"/>
      <c r="AF115" s="208"/>
      <c r="AM115" s="131" t="s">
        <v>653</v>
      </c>
      <c r="AO115" s="103">
        <v>2.96E-3</v>
      </c>
      <c r="AP115" s="31" t="s">
        <v>652</v>
      </c>
      <c r="AQ115" s="262"/>
      <c r="AR115" s="262"/>
      <c r="AS115" s="208"/>
      <c r="AT115" s="209"/>
      <c r="AU115" s="209"/>
    </row>
    <row r="116" spans="1:58" x14ac:dyDescent="0.3">
      <c r="D116" s="32"/>
      <c r="F116" s="31" t="s">
        <v>469</v>
      </c>
      <c r="H116" s="31">
        <v>303</v>
      </c>
      <c r="I116" s="219">
        <f>-LOG10(EXP(LN(10^-14)+13.36*(1/298.15-1/H116)/0.0019872))</f>
        <v>13.843247856832624</v>
      </c>
      <c r="J116" s="813">
        <v>15.63</v>
      </c>
      <c r="Q116" s="208"/>
      <c r="R116" s="208"/>
      <c r="S116" s="208"/>
      <c r="AE116" s="653"/>
      <c r="AF116" s="208"/>
      <c r="AM116" s="131" t="s">
        <v>653</v>
      </c>
      <c r="AO116" s="103">
        <v>6.0000000000000001E-3</v>
      </c>
      <c r="AP116" s="31" t="s">
        <v>652</v>
      </c>
      <c r="AQ116" s="262"/>
      <c r="AR116" s="262"/>
      <c r="AS116" s="208"/>
      <c r="AT116" s="209"/>
      <c r="AU116" s="209"/>
    </row>
    <row r="117" spans="1:58" ht="15" thickBot="1" x14ac:dyDescent="0.35">
      <c r="D117" s="32"/>
      <c r="I117" s="208"/>
      <c r="J117" s="91"/>
      <c r="Q117" s="208"/>
      <c r="R117" s="208"/>
      <c r="S117" s="208"/>
      <c r="AE117" s="653"/>
      <c r="AF117" s="208"/>
      <c r="AM117" s="557"/>
      <c r="AS117" s="208"/>
      <c r="AT117" s="209"/>
      <c r="AU117" s="209"/>
    </row>
    <row r="118" spans="1:58" s="25" customFormat="1" x14ac:dyDescent="0.3">
      <c r="A118" s="488"/>
      <c r="B118" s="488"/>
      <c r="C118" s="488"/>
      <c r="D118" s="514"/>
      <c r="E118" s="488"/>
      <c r="F118" s="488"/>
      <c r="G118" s="488"/>
      <c r="H118" s="488"/>
      <c r="I118" s="756"/>
      <c r="J118" s="488"/>
      <c r="K118" s="488"/>
      <c r="L118" s="488"/>
      <c r="M118" s="488"/>
      <c r="N118" s="488" t="s">
        <v>790</v>
      </c>
      <c r="O118" s="553"/>
      <c r="P118" s="553"/>
      <c r="Q118" s="769">
        <f>AVERAGE(Q100:Q105)</f>
        <v>30549.415589440643</v>
      </c>
      <c r="R118" s="756"/>
      <c r="S118" s="756"/>
      <c r="T118" s="495">
        <f>AVERAGE(T100)</f>
        <v>30549.415589440643</v>
      </c>
      <c r="U118" s="495"/>
      <c r="V118" s="495"/>
      <c r="W118" s="496"/>
      <c r="X118" s="496"/>
      <c r="Y118" s="496"/>
      <c r="Z118" s="488"/>
      <c r="AA118" s="488"/>
      <c r="AB118" s="488"/>
      <c r="AC118" s="488" t="s">
        <v>790</v>
      </c>
      <c r="AD118" s="555"/>
      <c r="AE118" s="757">
        <f>AVERAGE(AE112:AE113)</f>
        <v>0.16942782202879875</v>
      </c>
      <c r="AF118" s="756"/>
      <c r="AG118" s="495">
        <f>AVERAGE(AG112)</f>
        <v>0.16942782202879875</v>
      </c>
      <c r="AH118" s="495"/>
      <c r="AI118" s="495"/>
      <c r="AJ118" s="488" t="s">
        <v>790</v>
      </c>
      <c r="AK118" s="496"/>
      <c r="AL118" s="496"/>
      <c r="AM118" s="488" t="s">
        <v>790</v>
      </c>
      <c r="AN118" s="488"/>
      <c r="AO118" s="488"/>
      <c r="AP118" s="488" t="s">
        <v>790</v>
      </c>
      <c r="AQ118" s="555"/>
      <c r="AR118" s="555"/>
      <c r="AS118" s="769">
        <f>AVERAGE(AS7:AS116)</f>
        <v>2.6344528425276228</v>
      </c>
      <c r="AT118" s="756"/>
      <c r="AU118" s="756"/>
      <c r="AV118" s="495">
        <f>AVERAGE(AV7:AV117)</f>
        <v>3.9157414540582236</v>
      </c>
      <c r="AW118" s="495"/>
      <c r="AX118" s="495"/>
      <c r="AY118" s="488"/>
      <c r="AZ118" s="488"/>
      <c r="BA118" s="488"/>
      <c r="BB118" s="510" t="s">
        <v>790</v>
      </c>
      <c r="BC118" s="510"/>
      <c r="BD118" s="510"/>
      <c r="BE118" s="488"/>
      <c r="BF118" s="488"/>
    </row>
    <row r="119" spans="1:58" s="1" customFormat="1" x14ac:dyDescent="0.3">
      <c r="A119" s="108"/>
      <c r="B119" s="108"/>
      <c r="C119" s="108"/>
      <c r="D119" s="72"/>
      <c r="E119" s="108"/>
      <c r="F119" s="108"/>
      <c r="G119" s="108"/>
      <c r="H119" s="108"/>
      <c r="I119" s="552"/>
      <c r="J119" s="108"/>
      <c r="K119" s="108"/>
      <c r="L119" s="108"/>
      <c r="M119" s="108"/>
      <c r="N119" s="108" t="s">
        <v>791</v>
      </c>
      <c r="O119" s="554"/>
      <c r="P119" s="554"/>
      <c r="Q119" s="551">
        <f>STDEV(Q100:Q105)</f>
        <v>33511.784387260253</v>
      </c>
      <c r="R119" s="552"/>
      <c r="S119" s="552"/>
      <c r="T119" s="484"/>
      <c r="U119" s="484"/>
      <c r="V119" s="484"/>
      <c r="W119" s="143"/>
      <c r="X119" s="143"/>
      <c r="Y119" s="143"/>
      <c r="Z119" s="108"/>
      <c r="AA119" s="108"/>
      <c r="AB119" s="108"/>
      <c r="AC119" s="108" t="s">
        <v>791</v>
      </c>
      <c r="AD119" s="556"/>
      <c r="AE119" s="753">
        <f>STDEV(AE112:AE114)</f>
        <v>1.4845625103901881E-2</v>
      </c>
      <c r="AF119" s="552"/>
      <c r="AG119" s="484"/>
      <c r="AH119" s="484"/>
      <c r="AI119" s="484"/>
      <c r="AJ119" s="108" t="s">
        <v>791</v>
      </c>
      <c r="AK119" s="143"/>
      <c r="AL119" s="143"/>
      <c r="AM119" s="108" t="s">
        <v>791</v>
      </c>
      <c r="AN119" s="108"/>
      <c r="AO119" s="108"/>
      <c r="AP119" s="108" t="s">
        <v>791</v>
      </c>
      <c r="AQ119" s="556"/>
      <c r="AR119" s="556"/>
      <c r="AS119" s="551">
        <f>STDEV(AS7:AS116)</f>
        <v>3.5308876736764359</v>
      </c>
      <c r="AT119" s="552"/>
      <c r="AU119" s="552"/>
      <c r="AV119" s="484">
        <f>STDEV(AV7:AV117)</f>
        <v>6.4200383175638391</v>
      </c>
      <c r="AW119" s="484"/>
      <c r="AX119" s="484"/>
      <c r="AY119" s="108"/>
      <c r="AZ119" s="108"/>
      <c r="BA119" s="108"/>
      <c r="BB119" s="319" t="s">
        <v>791</v>
      </c>
      <c r="BC119" s="319"/>
      <c r="BD119" s="319"/>
      <c r="BE119" s="108"/>
      <c r="BF119" s="108"/>
    </row>
    <row r="120" spans="1:58" s="1" customFormat="1" x14ac:dyDescent="0.3">
      <c r="A120" s="108"/>
      <c r="B120" s="108"/>
      <c r="C120" s="108"/>
      <c r="D120" s="72"/>
      <c r="E120" s="108"/>
      <c r="F120" s="108"/>
      <c r="G120" s="108"/>
      <c r="H120" s="108"/>
      <c r="I120" s="552"/>
      <c r="J120" s="108"/>
      <c r="K120" s="108"/>
      <c r="L120" s="108"/>
      <c r="M120" s="108"/>
      <c r="N120" s="108" t="s">
        <v>800</v>
      </c>
      <c r="O120" s="554"/>
      <c r="P120" s="554"/>
      <c r="Q120" s="551">
        <f>MEDIAN(Q100:Q105)</f>
        <v>28793.624209806592</v>
      </c>
      <c r="R120" s="552"/>
      <c r="S120" s="552"/>
      <c r="T120" s="484">
        <f>MEDIAN(T100)</f>
        <v>30549.415589440643</v>
      </c>
      <c r="U120" s="484"/>
      <c r="V120" s="484"/>
      <c r="W120" s="143"/>
      <c r="X120" s="143"/>
      <c r="Y120" s="143"/>
      <c r="Z120" s="108"/>
      <c r="AA120" s="108"/>
      <c r="AB120" s="108"/>
      <c r="AC120" s="108" t="s">
        <v>800</v>
      </c>
      <c r="AD120" s="556"/>
      <c r="AE120" s="753">
        <f>MEDIAN(AE111:AE113)</f>
        <v>0.16942782202879875</v>
      </c>
      <c r="AF120" s="552"/>
      <c r="AG120" s="484">
        <v>0.17231945232150792</v>
      </c>
      <c r="AH120" s="484"/>
      <c r="AI120" s="484"/>
      <c r="AJ120" s="108" t="s">
        <v>800</v>
      </c>
      <c r="AK120" s="143"/>
      <c r="AL120" s="143"/>
      <c r="AM120" s="108" t="s">
        <v>800</v>
      </c>
      <c r="AN120" s="108"/>
      <c r="AO120" s="108"/>
      <c r="AP120" s="108" t="s">
        <v>800</v>
      </c>
      <c r="AQ120" s="556"/>
      <c r="AR120" s="556"/>
      <c r="AS120" s="551">
        <f>MEDIAN(AS7:AS117)</f>
        <v>1.2275617695157872</v>
      </c>
      <c r="AT120" s="552"/>
      <c r="AU120" s="552"/>
      <c r="AV120" s="484">
        <f>MEDIAN(AV7:AV117)</f>
        <v>1.0511413101816707</v>
      </c>
      <c r="AW120" s="484"/>
      <c r="AX120" s="484"/>
      <c r="AY120" s="108"/>
      <c r="AZ120" s="108"/>
      <c r="BA120" s="108"/>
      <c r="BB120" s="319" t="s">
        <v>800</v>
      </c>
      <c r="BC120" s="319"/>
      <c r="BD120" s="319"/>
      <c r="BE120" s="108"/>
      <c r="BF120" s="108"/>
    </row>
    <row r="121" spans="1:58" s="1" customFormat="1" x14ac:dyDescent="0.3">
      <c r="A121" s="108"/>
      <c r="B121" s="108"/>
      <c r="C121" s="108"/>
      <c r="D121" s="72"/>
      <c r="E121" s="108"/>
      <c r="F121" s="108"/>
      <c r="G121" s="108"/>
      <c r="H121" s="108"/>
      <c r="I121" s="552"/>
      <c r="J121" s="108"/>
      <c r="K121" s="108"/>
      <c r="L121" s="108"/>
      <c r="M121" s="108"/>
      <c r="N121" s="108" t="s">
        <v>789</v>
      </c>
      <c r="O121" s="554"/>
      <c r="P121" s="554"/>
      <c r="Q121" s="552">
        <f>COUNT(Q100:Q105)</f>
        <v>6</v>
      </c>
      <c r="R121" s="552"/>
      <c r="S121" s="552"/>
      <c r="T121" s="485">
        <f>COUNT(T100)</f>
        <v>1</v>
      </c>
      <c r="U121" s="484"/>
      <c r="V121" s="484"/>
      <c r="W121" s="143"/>
      <c r="X121" s="143"/>
      <c r="Y121" s="143"/>
      <c r="Z121" s="108"/>
      <c r="AA121" s="108"/>
      <c r="AB121" s="108"/>
      <c r="AC121" s="108" t="s">
        <v>789</v>
      </c>
      <c r="AD121" s="556"/>
      <c r="AE121" s="753">
        <f>COUNT(AE112:AE113)</f>
        <v>2</v>
      </c>
      <c r="AF121" s="552"/>
      <c r="AG121" s="485">
        <v>1</v>
      </c>
      <c r="AH121" s="484"/>
      <c r="AI121" s="484"/>
      <c r="AJ121" s="108" t="s">
        <v>789</v>
      </c>
      <c r="AK121" s="143"/>
      <c r="AL121" s="143"/>
      <c r="AM121" s="108" t="s">
        <v>789</v>
      </c>
      <c r="AN121" s="108"/>
      <c r="AO121" s="108"/>
      <c r="AP121" s="108" t="s">
        <v>789</v>
      </c>
      <c r="AQ121" s="556"/>
      <c r="AR121" s="556"/>
      <c r="AS121" s="552">
        <f>COUNT(AS7:AS116)</f>
        <v>89</v>
      </c>
      <c r="AT121" s="552"/>
      <c r="AU121" s="552"/>
      <c r="AV121" s="485">
        <f>COUNT(AV7:AV117)</f>
        <v>8</v>
      </c>
      <c r="AW121" s="484"/>
      <c r="AX121" s="484"/>
      <c r="AY121" s="108"/>
      <c r="AZ121" s="108"/>
      <c r="BA121" s="108"/>
      <c r="BB121" s="319" t="s">
        <v>789</v>
      </c>
      <c r="BC121" s="319"/>
      <c r="BD121" s="319"/>
      <c r="BE121" s="108"/>
      <c r="BF121" s="108"/>
    </row>
    <row r="122" spans="1:58" s="1" customFormat="1" x14ac:dyDescent="0.3">
      <c r="A122" s="108"/>
      <c r="B122" s="108"/>
      <c r="C122" s="108"/>
      <c r="D122" s="72"/>
      <c r="E122" s="108"/>
      <c r="F122" s="108"/>
      <c r="G122" s="108"/>
      <c r="H122" s="108"/>
      <c r="I122" s="552"/>
      <c r="J122" s="108"/>
      <c r="K122" s="108"/>
      <c r="L122" s="108"/>
      <c r="M122" s="108"/>
      <c r="N122" s="108" t="s">
        <v>803</v>
      </c>
      <c r="O122" s="554"/>
      <c r="P122" s="554"/>
      <c r="Q122" s="551">
        <f>MIN(Q100:Q105)</f>
        <v>20.06685433732293</v>
      </c>
      <c r="R122" s="552"/>
      <c r="S122" s="552"/>
      <c r="T122" s="484"/>
      <c r="U122" s="484"/>
      <c r="V122" s="484"/>
      <c r="W122" s="143"/>
      <c r="X122" s="143"/>
      <c r="Y122" s="143"/>
      <c r="Z122" s="108"/>
      <c r="AA122" s="108"/>
      <c r="AB122" s="108"/>
      <c r="AC122" s="108" t="s">
        <v>787</v>
      </c>
      <c r="AD122" s="556"/>
      <c r="AE122" s="753">
        <f>MIN(AE112:AE113)</f>
        <v>0.1589303798468765</v>
      </c>
      <c r="AF122" s="552"/>
      <c r="AG122" s="484"/>
      <c r="AH122" s="484"/>
      <c r="AI122" s="484"/>
      <c r="AJ122" s="108" t="s">
        <v>787</v>
      </c>
      <c r="AK122" s="143"/>
      <c r="AL122" s="143"/>
      <c r="AM122" s="108" t="s">
        <v>787</v>
      </c>
      <c r="AN122" s="108"/>
      <c r="AO122" s="108"/>
      <c r="AP122" s="108" t="s">
        <v>787</v>
      </c>
      <c r="AQ122" s="556"/>
      <c r="AR122" s="556"/>
      <c r="AS122" s="770">
        <f>MIN(AS7:AS116)</f>
        <v>3.1161293638891936E-3</v>
      </c>
      <c r="AT122" s="552"/>
      <c r="AU122" s="552"/>
      <c r="AV122" s="511">
        <f>MIN(AV7:AV117)</f>
        <v>3.1161293638891936E-3</v>
      </c>
      <c r="AW122" s="484"/>
      <c r="AX122" s="484"/>
      <c r="AY122" s="108"/>
      <c r="AZ122" s="108"/>
      <c r="BA122" s="108"/>
      <c r="BB122" s="319" t="s">
        <v>787</v>
      </c>
      <c r="BC122" s="319"/>
      <c r="BD122" s="319"/>
      <c r="BE122" s="108"/>
      <c r="BF122" s="108"/>
    </row>
    <row r="123" spans="1:58" s="1" customFormat="1" x14ac:dyDescent="0.3">
      <c r="A123" s="108"/>
      <c r="B123" s="108"/>
      <c r="C123" s="108"/>
      <c r="D123" s="72"/>
      <c r="E123" s="108"/>
      <c r="F123" s="108"/>
      <c r="G123" s="108"/>
      <c r="H123" s="108"/>
      <c r="I123" s="552"/>
      <c r="J123" s="108"/>
      <c r="K123" s="108"/>
      <c r="L123" s="108"/>
      <c r="M123" s="108"/>
      <c r="N123" s="108" t="s">
        <v>804</v>
      </c>
      <c r="O123" s="554"/>
      <c r="P123" s="554"/>
      <c r="Q123" s="551">
        <f>MAX(Q100:Q105)</f>
        <v>64374.549987959537</v>
      </c>
      <c r="R123" s="552"/>
      <c r="S123" s="552"/>
      <c r="T123" s="484"/>
      <c r="U123" s="484"/>
      <c r="V123" s="484"/>
      <c r="W123" s="143"/>
      <c r="X123" s="143"/>
      <c r="Y123" s="143"/>
      <c r="Z123" s="108"/>
      <c r="AA123" s="108"/>
      <c r="AB123" s="108"/>
      <c r="AC123" s="108" t="s">
        <v>788</v>
      </c>
      <c r="AD123" s="556"/>
      <c r="AE123" s="753">
        <f>MAX(AE112:AE113)</f>
        <v>0.17992526421072103</v>
      </c>
      <c r="AF123" s="552"/>
      <c r="AG123" s="484"/>
      <c r="AH123" s="484"/>
      <c r="AI123" s="484"/>
      <c r="AJ123" s="108" t="s">
        <v>788</v>
      </c>
      <c r="AK123" s="143"/>
      <c r="AL123" s="143"/>
      <c r="AM123" s="108" t="s">
        <v>788</v>
      </c>
      <c r="AN123" s="108"/>
      <c r="AO123" s="108"/>
      <c r="AP123" s="108" t="s">
        <v>788</v>
      </c>
      <c r="AQ123" s="556"/>
      <c r="AR123" s="556"/>
      <c r="AS123" s="551">
        <f>MAX(AS7:AS117)</f>
        <v>18.686360905187307</v>
      </c>
      <c r="AT123" s="552"/>
      <c r="AU123" s="552"/>
      <c r="AV123" s="484">
        <f>MAX(AV7:AV117)</f>
        <v>18.686360905187307</v>
      </c>
      <c r="AW123" s="484"/>
      <c r="AX123" s="484"/>
      <c r="AY123" s="108"/>
      <c r="AZ123" s="108"/>
      <c r="BA123" s="108"/>
      <c r="BB123" s="319" t="s">
        <v>788</v>
      </c>
      <c r="BC123" s="319"/>
      <c r="BD123" s="319"/>
      <c r="BE123" s="108"/>
      <c r="BF123" s="108"/>
    </row>
    <row r="124" spans="1:58" x14ac:dyDescent="0.3">
      <c r="Q124" s="604"/>
      <c r="AE124" s="649"/>
      <c r="AU124" s="843" t="s">
        <v>1276</v>
      </c>
      <c r="AV124" s="157">
        <f>QUARTILE(AV$6:AV116,3)-QUARTILE(AV$6:AV116,1)</f>
        <v>3.5586562064692222</v>
      </c>
      <c r="AW124" s="119"/>
    </row>
    <row r="125" spans="1:58" x14ac:dyDescent="0.3">
      <c r="Q125" s="604"/>
      <c r="AE125" s="649"/>
      <c r="AU125" s="843" t="s">
        <v>1277</v>
      </c>
      <c r="AV125" s="157">
        <f>MAX(AV120-2*AV124,0)</f>
        <v>0</v>
      </c>
      <c r="AW125" s="844" t="str">
        <f>IF(AV122&lt;AV125,"Outlier Flag","")</f>
        <v/>
      </c>
    </row>
    <row r="126" spans="1:58" x14ac:dyDescent="0.3">
      <c r="AU126" s="843" t="s">
        <v>1278</v>
      </c>
      <c r="AV126" s="157">
        <f>AV120+2.2*AV124</f>
        <v>8.8801849644139601</v>
      </c>
      <c r="AW126" s="844" t="str">
        <f>IF(AV123&gt;AV126,"Outlier Flag","")</f>
        <v>Outlier Flag</v>
      </c>
    </row>
    <row r="128" spans="1:58" x14ac:dyDescent="0.3">
      <c r="AP128" s="31" t="s">
        <v>790</v>
      </c>
      <c r="AV128" s="412">
        <v>1.8056529610397833</v>
      </c>
    </row>
    <row r="129" spans="42:48" x14ac:dyDescent="0.3">
      <c r="AP129" s="31" t="s">
        <v>791</v>
      </c>
      <c r="AV129" s="412">
        <v>2.5553776917271565</v>
      </c>
    </row>
    <row r="130" spans="42:48" x14ac:dyDescent="0.3">
      <c r="AP130" s="31" t="s">
        <v>800</v>
      </c>
      <c r="AV130" s="412">
        <v>0.80329746764364029</v>
      </c>
    </row>
    <row r="131" spans="42:48" x14ac:dyDescent="0.3">
      <c r="AP131" s="31" t="s">
        <v>789</v>
      </c>
      <c r="AV131" s="412">
        <v>7</v>
      </c>
    </row>
    <row r="132" spans="42:48" x14ac:dyDescent="0.3">
      <c r="AP132" s="31" t="s">
        <v>787</v>
      </c>
      <c r="AV132" s="412">
        <v>3.1161293638891936E-3</v>
      </c>
    </row>
    <row r="133" spans="42:48" x14ac:dyDescent="0.3">
      <c r="AP133" s="31" t="s">
        <v>788</v>
      </c>
      <c r="AV133" s="412">
        <v>7.2128643549398346</v>
      </c>
    </row>
  </sheetData>
  <sheetProtection formatCells="0" formatColumns="0" formatRows="0" insertColumns="0" insertRows="0" insertHyperlinks="0" deleteColumns="0" deleteRows="0" sort="0"/>
  <mergeCells count="1">
    <mergeCell ref="A1:B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40"/>
  <sheetViews>
    <sheetView workbookViewId="0">
      <selection sqref="A1:B1"/>
    </sheetView>
  </sheetViews>
  <sheetFormatPr defaultRowHeight="14.4" x14ac:dyDescent="0.3"/>
  <cols>
    <col min="1" max="1" width="5.6640625" style="31" customWidth="1"/>
    <col min="2" max="2" width="22.109375" style="31" customWidth="1"/>
    <col min="3" max="3" width="21.109375" style="31" customWidth="1"/>
    <col min="4" max="4" width="22.88671875" style="40" bestFit="1" customWidth="1"/>
    <col min="5" max="5" width="20.109375" style="31" customWidth="1"/>
    <col min="6" max="6" width="17.6640625" style="31" customWidth="1"/>
    <col min="7" max="8" width="12.33203125" style="31" customWidth="1"/>
    <col min="9" max="9" width="8.88671875" style="31" customWidth="1"/>
    <col min="10" max="10" width="9.33203125" style="31" bestFit="1" customWidth="1"/>
    <col min="11" max="12" width="10.33203125" style="31" customWidth="1"/>
    <col min="13" max="13" width="11.44140625" style="103" customWidth="1"/>
    <col min="14" max="15" width="10.33203125" style="31" customWidth="1"/>
    <col min="16" max="16" width="12.33203125" style="31" bestFit="1" customWidth="1"/>
    <col min="17" max="17" width="10.109375" style="31" customWidth="1"/>
    <col min="18" max="18" width="10.33203125" style="31" customWidth="1"/>
    <col min="19" max="19" width="12.33203125" style="31" bestFit="1" customWidth="1"/>
    <col min="20" max="22" width="10.33203125" style="31" customWidth="1"/>
    <col min="23" max="25" width="19.109375" style="40" customWidth="1"/>
    <col min="26" max="27" width="10.33203125" style="31" customWidth="1"/>
    <col min="28" max="28" width="11.44140625" style="31" customWidth="1"/>
    <col min="29" max="29" width="10.33203125" style="31" customWidth="1"/>
    <col min="30" max="30" width="14.88671875" style="31" bestFit="1" customWidth="1"/>
    <col min="31" max="32" width="10.33203125" style="31" customWidth="1"/>
    <col min="33" max="35" width="10.33203125" style="129" customWidth="1"/>
    <col min="36" max="38" width="20.33203125" style="31" customWidth="1"/>
    <col min="39" max="40" width="10.33203125" style="31" customWidth="1"/>
    <col min="41" max="41" width="11.44140625" style="31" customWidth="1"/>
    <col min="42" max="43" width="10.33203125" style="31" customWidth="1"/>
    <col min="44" max="44" width="12.44140625" style="31" customWidth="1"/>
    <col min="45" max="46" width="10.109375" style="31" customWidth="1"/>
    <col min="47" max="47" width="12.44140625" style="31" bestFit="1" customWidth="1"/>
    <col min="48" max="50" width="10.109375" style="129" customWidth="1"/>
    <col min="51" max="52" width="16.6640625" style="31" customWidth="1"/>
    <col min="53" max="53" width="14.6640625" style="31" customWidth="1"/>
    <col min="54" max="54" width="16.109375" style="185" customWidth="1"/>
    <col min="55" max="55" width="18.6640625" style="185" customWidth="1"/>
    <col min="56" max="56" width="9.109375" style="185"/>
    <col min="57" max="58" width="8.88671875" style="31"/>
  </cols>
  <sheetData>
    <row r="1" spans="1:58" x14ac:dyDescent="0.3">
      <c r="A1" s="899" t="s">
        <v>1191</v>
      </c>
      <c r="B1" s="899"/>
      <c r="C1" s="657"/>
      <c r="D1" s="582"/>
      <c r="I1" s="583"/>
      <c r="J1" s="92"/>
      <c r="K1" s="108" t="s">
        <v>626</v>
      </c>
      <c r="M1" s="31"/>
      <c r="O1" s="86" t="s">
        <v>601</v>
      </c>
      <c r="P1" s="87"/>
      <c r="Q1" s="583" t="s">
        <v>602</v>
      </c>
      <c r="R1" s="586"/>
      <c r="S1" s="586"/>
      <c r="T1" s="118"/>
      <c r="U1" s="118"/>
      <c r="V1" s="118"/>
      <c r="W1" s="587"/>
      <c r="X1" s="587"/>
      <c r="Y1" s="587"/>
      <c r="Z1" s="108" t="s">
        <v>89</v>
      </c>
      <c r="AD1" s="87" t="s">
        <v>601</v>
      </c>
      <c r="AE1" s="583" t="s">
        <v>602</v>
      </c>
      <c r="AF1" s="586"/>
      <c r="AG1" s="156"/>
      <c r="AH1" s="156"/>
      <c r="AI1" s="156"/>
      <c r="AJ1" s="587"/>
      <c r="AK1" s="587"/>
      <c r="AL1" s="587"/>
      <c r="AM1" s="108" t="s">
        <v>627</v>
      </c>
      <c r="AQ1" s="86" t="s">
        <v>601</v>
      </c>
      <c r="AR1" s="86"/>
      <c r="AS1" s="583" t="s">
        <v>602</v>
      </c>
      <c r="AT1" s="586"/>
      <c r="AU1" s="586"/>
      <c r="AV1" s="118"/>
      <c r="AW1" s="118"/>
      <c r="AX1" s="118"/>
      <c r="AY1" s="587"/>
      <c r="AZ1" s="587"/>
      <c r="BA1" s="587"/>
    </row>
    <row r="2" spans="1:58" x14ac:dyDescent="0.3">
      <c r="D2" s="32"/>
      <c r="G2" s="584"/>
      <c r="H2" s="584"/>
      <c r="I2" s="583"/>
      <c r="J2" s="92"/>
      <c r="K2" s="108"/>
      <c r="M2" s="31"/>
      <c r="O2" s="588" t="s">
        <v>603</v>
      </c>
      <c r="P2" s="589"/>
      <c r="Q2" s="590" t="s">
        <v>603</v>
      </c>
      <c r="R2" s="590" t="s">
        <v>603</v>
      </c>
      <c r="S2" s="590"/>
      <c r="T2" s="591" t="s">
        <v>801</v>
      </c>
      <c r="U2" s="591"/>
      <c r="V2" s="591"/>
      <c r="W2" s="592"/>
      <c r="X2" s="592"/>
      <c r="Y2" s="592"/>
      <c r="AD2" s="589"/>
      <c r="AE2" s="583"/>
      <c r="AF2" s="590"/>
      <c r="AG2" s="593" t="s">
        <v>801</v>
      </c>
      <c r="AH2" s="593"/>
      <c r="AI2" s="593"/>
      <c r="AJ2" s="592"/>
      <c r="AK2" s="592"/>
      <c r="AL2" s="592"/>
      <c r="AM2" s="108"/>
      <c r="AQ2" s="588" t="s">
        <v>604</v>
      </c>
      <c r="AR2" s="588"/>
      <c r="AS2" s="590" t="s">
        <v>604</v>
      </c>
      <c r="AT2" s="590" t="s">
        <v>604</v>
      </c>
      <c r="AU2" s="590"/>
      <c r="AV2" s="591" t="s">
        <v>801</v>
      </c>
      <c r="AW2" s="591"/>
      <c r="AX2" s="591"/>
      <c r="AY2" s="592"/>
      <c r="AZ2" s="592"/>
      <c r="BA2" s="592"/>
    </row>
    <row r="3" spans="1:58" ht="43.2" x14ac:dyDescent="0.3">
      <c r="A3" s="33"/>
      <c r="B3" s="108" t="s">
        <v>1</v>
      </c>
      <c r="C3" s="108" t="s">
        <v>2</v>
      </c>
      <c r="D3" s="378" t="s">
        <v>930</v>
      </c>
      <c r="E3" s="108" t="s">
        <v>5</v>
      </c>
      <c r="F3" s="108" t="s">
        <v>7</v>
      </c>
      <c r="G3" s="594" t="s">
        <v>1176</v>
      </c>
      <c r="H3" s="594" t="s">
        <v>1176</v>
      </c>
      <c r="I3" s="740" t="s">
        <v>593</v>
      </c>
      <c r="J3" s="533"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row>
    <row r="4" spans="1:58" x14ac:dyDescent="0.3">
      <c r="A4" s="33"/>
      <c r="D4" s="32"/>
      <c r="G4" s="33" t="s">
        <v>85</v>
      </c>
      <c r="H4" s="33" t="s">
        <v>522</v>
      </c>
      <c r="I4" s="595"/>
      <c r="J4" s="601" t="s">
        <v>595</v>
      </c>
      <c r="L4" s="31" t="s">
        <v>88</v>
      </c>
      <c r="M4" s="31"/>
      <c r="O4" s="86" t="s">
        <v>596</v>
      </c>
      <c r="P4" s="87" t="s">
        <v>597</v>
      </c>
      <c r="Q4" s="583" t="s">
        <v>88</v>
      </c>
      <c r="R4" s="586" t="s">
        <v>596</v>
      </c>
      <c r="S4" s="586" t="s">
        <v>597</v>
      </c>
      <c r="T4" s="117" t="s">
        <v>88</v>
      </c>
      <c r="U4" s="117" t="s">
        <v>88</v>
      </c>
      <c r="V4" s="117" t="s">
        <v>88</v>
      </c>
      <c r="W4" s="592"/>
      <c r="X4" s="592"/>
      <c r="Y4" s="592"/>
      <c r="AA4" s="31" t="s">
        <v>88</v>
      </c>
      <c r="AD4" s="87" t="s">
        <v>596</v>
      </c>
      <c r="AE4" s="583" t="s">
        <v>88</v>
      </c>
      <c r="AF4" s="586" t="s">
        <v>596</v>
      </c>
      <c r="AG4" s="292" t="s">
        <v>88</v>
      </c>
      <c r="AH4" s="292" t="s">
        <v>88</v>
      </c>
      <c r="AI4" s="292" t="s">
        <v>88</v>
      </c>
      <c r="AJ4" s="602"/>
      <c r="AK4" s="602"/>
      <c r="AL4" s="602"/>
      <c r="AN4" s="31" t="s">
        <v>88</v>
      </c>
      <c r="AQ4" s="86" t="s">
        <v>596</v>
      </c>
      <c r="AR4" s="86" t="s">
        <v>597</v>
      </c>
      <c r="AS4" s="583" t="s">
        <v>88</v>
      </c>
      <c r="AT4" s="586" t="s">
        <v>596</v>
      </c>
      <c r="AU4" s="586" t="s">
        <v>597</v>
      </c>
      <c r="AV4" s="302" t="s">
        <v>88</v>
      </c>
      <c r="AW4" s="302" t="s">
        <v>88</v>
      </c>
      <c r="AX4" s="302" t="s">
        <v>88</v>
      </c>
      <c r="AY4" s="602"/>
      <c r="AZ4" s="602"/>
      <c r="BA4" s="648"/>
      <c r="BB4" s="319"/>
      <c r="BC4" s="192"/>
      <c r="BD4" s="603"/>
    </row>
    <row r="5" spans="1:58" x14ac:dyDescent="0.3">
      <c r="A5" s="33"/>
      <c r="D5" s="32"/>
      <c r="G5" s="33"/>
      <c r="H5" s="33"/>
      <c r="I5" s="595"/>
      <c r="J5" s="601"/>
      <c r="O5" s="344"/>
      <c r="P5" s="344"/>
      <c r="Q5" s="659"/>
      <c r="R5" s="659"/>
      <c r="S5" s="659"/>
      <c r="T5" s="772"/>
      <c r="U5" s="772"/>
      <c r="V5" s="772"/>
      <c r="W5" s="307"/>
      <c r="X5" s="307"/>
      <c r="Y5" s="307"/>
      <c r="AD5" s="85"/>
      <c r="AE5" s="583"/>
      <c r="AF5" s="583"/>
      <c r="AG5" s="412"/>
      <c r="AH5" s="412"/>
      <c r="AI5" s="412"/>
      <c r="AQ5" s="85"/>
      <c r="AR5" s="85"/>
      <c r="AS5" s="583"/>
      <c r="AT5" s="583"/>
      <c r="AU5" s="583"/>
      <c r="AV5" s="412"/>
      <c r="AW5" s="412"/>
      <c r="AX5" s="412"/>
      <c r="AY5" s="108"/>
      <c r="BB5" s="319"/>
      <c r="BC5" s="319"/>
    </row>
    <row r="6" spans="1:58" x14ac:dyDescent="0.3">
      <c r="A6" s="33">
        <v>1</v>
      </c>
      <c r="B6" s="31" t="s">
        <v>471</v>
      </c>
      <c r="C6" s="31" t="s">
        <v>470</v>
      </c>
      <c r="D6" s="32" t="s">
        <v>931</v>
      </c>
      <c r="E6" s="31" t="s">
        <v>472</v>
      </c>
      <c r="G6" s="31">
        <v>25</v>
      </c>
      <c r="H6" s="31">
        <f>G6+273.15</f>
        <v>298.14999999999998</v>
      </c>
      <c r="I6" s="717">
        <f>-LOG10(EXP(LN(10^-14)+13.36*(1/298.15-1/H6)/0.0019872))</f>
        <v>14</v>
      </c>
      <c r="J6" s="92">
        <v>18.649999999999999</v>
      </c>
      <c r="O6" s="85"/>
      <c r="P6" s="85"/>
      <c r="Q6" s="653"/>
      <c r="R6" s="208"/>
      <c r="S6" s="208"/>
      <c r="T6" s="29"/>
      <c r="U6" s="29"/>
      <c r="V6" s="29"/>
      <c r="AD6" s="85"/>
      <c r="AE6" s="653"/>
      <c r="AF6" s="208"/>
      <c r="AG6" s="412"/>
      <c r="AH6" s="412"/>
      <c r="AI6" s="412"/>
      <c r="AM6" s="31">
        <v>9</v>
      </c>
      <c r="AN6" s="559">
        <f>21/(60*24)</f>
        <v>1.4583333333333334E-2</v>
      </c>
      <c r="AO6" s="103">
        <v>5.5000000000000003E-4</v>
      </c>
      <c r="AP6" s="31" t="s">
        <v>600</v>
      </c>
      <c r="AQ6" s="262">
        <f>AO6*10^(9-AM6)</f>
        <v>5.5000000000000003E-4</v>
      </c>
      <c r="AR6" s="262">
        <f>AQ6*10^($I6-9)</f>
        <v>55</v>
      </c>
      <c r="AS6" s="653">
        <f>(LN(2)/AT6)/(24*60*60)</f>
        <v>1.4586430567338911E-2</v>
      </c>
      <c r="AT6" s="209">
        <f>AU6*10^(9-14)</f>
        <v>5.5000000000000014E-4</v>
      </c>
      <c r="AU6" s="209">
        <f>EXP(LN(AR6)+J6*(1/H6-1/298.15)/0.0019872)</f>
        <v>55.000000000000014</v>
      </c>
      <c r="AV6" s="560">
        <f>AS6</f>
        <v>1.4586430567338911E-2</v>
      </c>
      <c r="AW6" s="412"/>
      <c r="AX6" s="412"/>
      <c r="AY6" s="40" t="s">
        <v>1018</v>
      </c>
      <c r="AZ6" s="40" t="s">
        <v>1019</v>
      </c>
      <c r="BA6" s="40" t="s">
        <v>1020</v>
      </c>
    </row>
    <row r="7" spans="1:58" ht="15" thickBot="1" x14ac:dyDescent="0.35">
      <c r="A7" s="33"/>
      <c r="D7" s="32"/>
      <c r="I7" s="717"/>
      <c r="J7" s="92"/>
      <c r="O7" s="85"/>
      <c r="P7" s="85"/>
      <c r="Q7" s="653"/>
      <c r="R7" s="208"/>
      <c r="S7" s="208"/>
      <c r="T7" s="29"/>
      <c r="U7" s="29"/>
      <c r="V7" s="29"/>
      <c r="AD7" s="85"/>
      <c r="AE7" s="653"/>
      <c r="AF7" s="208"/>
      <c r="AG7" s="412"/>
      <c r="AH7" s="412"/>
      <c r="AI7" s="412"/>
      <c r="AO7" s="103"/>
      <c r="AQ7" s="262"/>
      <c r="AR7" s="262"/>
      <c r="AS7" s="653"/>
      <c r="AT7" s="209"/>
      <c r="AU7" s="209"/>
      <c r="AV7" s="412"/>
      <c r="AW7" s="412"/>
      <c r="AX7" s="412"/>
    </row>
    <row r="8" spans="1:58" s="8" customFormat="1" x14ac:dyDescent="0.3">
      <c r="A8" s="36">
        <v>2</v>
      </c>
      <c r="B8" s="37" t="s">
        <v>474</v>
      </c>
      <c r="C8" s="37" t="s">
        <v>473</v>
      </c>
      <c r="D8" s="38" t="s">
        <v>932</v>
      </c>
      <c r="E8" s="37" t="s">
        <v>475</v>
      </c>
      <c r="F8" s="37"/>
      <c r="G8" s="37">
        <v>47</v>
      </c>
      <c r="H8" s="37">
        <f>G8+273.15</f>
        <v>320.14999999999998</v>
      </c>
      <c r="I8" s="716">
        <f>-LOG10(EXP(LN(10^-14)+13.36*(1/298.15-1/H8)/0.0019872))</f>
        <v>13.327048830941861</v>
      </c>
      <c r="J8" s="37">
        <v>10.37</v>
      </c>
      <c r="K8" s="37"/>
      <c r="L8" s="37"/>
      <c r="M8" s="122"/>
      <c r="N8" s="37"/>
      <c r="O8" s="465"/>
      <c r="P8" s="465"/>
      <c r="Q8" s="654"/>
      <c r="R8" s="214"/>
      <c r="S8" s="214"/>
      <c r="T8" s="472"/>
      <c r="U8" s="472"/>
      <c r="V8" s="472"/>
      <c r="W8" s="39"/>
      <c r="X8" s="39"/>
      <c r="Y8" s="39"/>
      <c r="Z8" s="37"/>
      <c r="AA8" s="37"/>
      <c r="AB8" s="37"/>
      <c r="AC8" s="37"/>
      <c r="AD8" s="465"/>
      <c r="AE8" s="654"/>
      <c r="AF8" s="214"/>
      <c r="AG8" s="410"/>
      <c r="AH8" s="410"/>
      <c r="AI8" s="410"/>
      <c r="AJ8" s="122"/>
      <c r="AK8" s="122"/>
      <c r="AL8" s="122"/>
      <c r="AM8" s="37">
        <v>11.3</v>
      </c>
      <c r="AN8" s="37"/>
      <c r="AO8" s="122">
        <v>2.6800000000000001E-2</v>
      </c>
      <c r="AP8" s="122" t="s">
        <v>600</v>
      </c>
      <c r="AQ8" s="260">
        <f>AO8*10^(9-AM8)</f>
        <v>1.3431817861210869E-4</v>
      </c>
      <c r="AR8" s="260">
        <f>AQ8*10^($I8-9)</f>
        <v>2.8522239674564007</v>
      </c>
      <c r="AS8" s="767">
        <f>(LN(2)/AT8)/(24*60*60)</f>
        <v>0.93642107464692381</v>
      </c>
      <c r="AT8" s="215">
        <f>AU8*10^(9-14)</f>
        <v>8.5672322305019569E-6</v>
      </c>
      <c r="AU8" s="215">
        <f>EXP(LN(AR8)+J8*(1/H8-1/298.15)/0.0019872)</f>
        <v>0.85672322305019566</v>
      </c>
      <c r="AV8" s="410">
        <f>AS8</f>
        <v>0.93642107464692381</v>
      </c>
      <c r="AW8" s="410"/>
      <c r="AX8" s="410"/>
      <c r="AY8" s="37"/>
      <c r="AZ8" s="37"/>
      <c r="BA8" s="37"/>
      <c r="BB8" s="186"/>
      <c r="BC8" s="186"/>
      <c r="BD8" s="186"/>
      <c r="BE8" s="37"/>
      <c r="BF8" s="37"/>
    </row>
    <row r="9" spans="1:58" ht="15" thickBot="1" x14ac:dyDescent="0.35">
      <c r="A9" s="33"/>
      <c r="D9" s="32"/>
      <c r="I9" s="717"/>
      <c r="J9" s="91"/>
      <c r="O9" s="85"/>
      <c r="P9" s="85"/>
      <c r="Q9" s="653"/>
      <c r="R9" s="208"/>
      <c r="S9" s="208"/>
      <c r="T9" s="29"/>
      <c r="U9" s="29"/>
      <c r="V9" s="29"/>
      <c r="AD9" s="85"/>
      <c r="AE9" s="653"/>
      <c r="AF9" s="208"/>
      <c r="AG9" s="412"/>
      <c r="AH9" s="412"/>
      <c r="AI9" s="412"/>
      <c r="AJ9" s="103"/>
      <c r="AK9" s="103"/>
      <c r="AL9" s="103"/>
      <c r="AO9" s="103"/>
      <c r="AP9" s="103"/>
      <c r="AQ9" s="262"/>
      <c r="AR9" s="262"/>
      <c r="AS9" s="653"/>
      <c r="AT9" s="209"/>
      <c r="AU9" s="209"/>
      <c r="AV9" s="412"/>
      <c r="AW9" s="412"/>
      <c r="AX9" s="412"/>
    </row>
    <row r="10" spans="1:58" s="8" customFormat="1" x14ac:dyDescent="0.3">
      <c r="A10" s="36">
        <v>3</v>
      </c>
      <c r="B10" s="37" t="s">
        <v>704</v>
      </c>
      <c r="C10" s="37" t="s">
        <v>703</v>
      </c>
      <c r="D10" s="38" t="s">
        <v>933</v>
      </c>
      <c r="E10" s="37" t="s">
        <v>475</v>
      </c>
      <c r="F10" s="37" t="s">
        <v>702</v>
      </c>
      <c r="G10" s="37">
        <v>25</v>
      </c>
      <c r="H10" s="37">
        <f>G10+273.15</f>
        <v>298.14999999999998</v>
      </c>
      <c r="I10" s="716">
        <f>-LOG10(EXP(LN(10^-14)+13.36*(1/298.15-1/H10)/0.0019872))</f>
        <v>14</v>
      </c>
      <c r="J10" s="37">
        <v>22.35</v>
      </c>
      <c r="K10" s="37"/>
      <c r="L10" s="37"/>
      <c r="M10" s="122"/>
      <c r="N10" s="37"/>
      <c r="O10" s="465"/>
      <c r="P10" s="465"/>
      <c r="Q10" s="654"/>
      <c r="R10" s="214"/>
      <c r="S10" s="214"/>
      <c r="T10" s="472"/>
      <c r="U10" s="472"/>
      <c r="V10" s="472"/>
      <c r="W10" s="39"/>
      <c r="X10" s="39"/>
      <c r="Y10" s="39"/>
      <c r="Z10" s="37"/>
      <c r="AA10" s="37"/>
      <c r="AB10" s="37"/>
      <c r="AC10" s="37"/>
      <c r="AD10" s="465"/>
      <c r="AE10" s="654"/>
      <c r="AF10" s="214"/>
      <c r="AG10" s="410">
        <f>AVERAGE(AE11:AE13)</f>
        <v>0.80225368120364049</v>
      </c>
      <c r="AH10" s="410">
        <f>MEDIAN(AE12:AE13)</f>
        <v>0.80225368120364049</v>
      </c>
      <c r="AI10" s="410">
        <f>STDEV(AE12:AE13)</f>
        <v>0</v>
      </c>
      <c r="AJ10" s="122"/>
      <c r="AK10" s="122"/>
      <c r="AL10" s="122"/>
      <c r="AM10" s="37">
        <v>9</v>
      </c>
      <c r="AN10" s="37"/>
      <c r="AO10" s="122">
        <f>10^(-4.5)</f>
        <v>3.1622776601683748E-5</v>
      </c>
      <c r="AP10" s="122" t="s">
        <v>600</v>
      </c>
      <c r="AQ10" s="260">
        <f>AO10*10^(9-AM10)</f>
        <v>3.1622776601683748E-5</v>
      </c>
      <c r="AR10" s="260">
        <f>AQ10*10^($I10-9)</f>
        <v>3.1622776601683746</v>
      </c>
      <c r="AS10" s="654">
        <f>(LN(2)/AT10)/(24*60*60)</f>
        <v>0.25369488938581208</v>
      </c>
      <c r="AT10" s="215">
        <f>AU10*10^(9-14)</f>
        <v>3.1622776601683748E-5</v>
      </c>
      <c r="AU10" s="215">
        <f>EXP(LN(AR10)+$J10*(1/$H10-1/298.15)/0.0019872)</f>
        <v>3.1622776601683746</v>
      </c>
      <c r="AV10" s="410">
        <f>AVERAGE(AS10:AS11)</f>
        <v>0.28653891623796052</v>
      </c>
      <c r="AW10" s="410">
        <f>MEDIAN(AS10:AS11)</f>
        <v>0.28653891623796052</v>
      </c>
      <c r="AX10" s="410">
        <f>STDEV(AS10:AS11)</f>
        <v>4.644846821725436E-2</v>
      </c>
      <c r="AY10" s="37"/>
      <c r="AZ10" s="37"/>
      <c r="BA10" s="37"/>
      <c r="BB10" s="186"/>
      <c r="BC10" s="186"/>
      <c r="BD10" s="186"/>
      <c r="BE10" s="37"/>
      <c r="BF10" s="37"/>
    </row>
    <row r="11" spans="1:58" x14ac:dyDescent="0.3">
      <c r="A11" s="33"/>
      <c r="D11" s="32"/>
      <c r="G11" s="31">
        <v>25</v>
      </c>
      <c r="H11" s="31">
        <f>G11+273.15</f>
        <v>298.14999999999998</v>
      </c>
      <c r="I11" s="717">
        <f>-LOG10(EXP(LN(10^-14)+13.36*(1/298.15-1/H11)/0.0019872))</f>
        <v>14</v>
      </c>
      <c r="J11" s="31">
        <v>22.35</v>
      </c>
      <c r="O11" s="85"/>
      <c r="P11" s="85"/>
      <c r="Q11" s="653"/>
      <c r="R11" s="208"/>
      <c r="S11" s="208"/>
      <c r="T11" s="29"/>
      <c r="U11" s="29"/>
      <c r="V11" s="29"/>
      <c r="AD11" s="85"/>
      <c r="AE11" s="653"/>
      <c r="AF11" s="208"/>
      <c r="AG11" s="412"/>
      <c r="AH11" s="412"/>
      <c r="AI11" s="412"/>
      <c r="AJ11" s="103"/>
      <c r="AK11" s="103"/>
      <c r="AL11" s="103"/>
      <c r="AM11" s="31">
        <v>10</v>
      </c>
      <c r="AO11" s="103">
        <f>10^(-3.6)</f>
        <v>2.5118864315095774E-4</v>
      </c>
      <c r="AP11" s="103" t="s">
        <v>600</v>
      </c>
      <c r="AQ11" s="262">
        <f>AO11*10^(9-AM11)</f>
        <v>2.5118864315095774E-5</v>
      </c>
      <c r="AR11" s="262">
        <f>AQ11*10^($I11-9)</f>
        <v>2.5118864315095775</v>
      </c>
      <c r="AS11" s="653">
        <f>(LN(2)/AT11)/(24*60*60)</f>
        <v>0.31938294309010895</v>
      </c>
      <c r="AT11" s="209">
        <f>AU11*10^(9-14)</f>
        <v>2.5118864315095778E-5</v>
      </c>
      <c r="AU11" s="209">
        <f>EXP(LN(AR11)+$J11*(1/$H11-1/298.15)/0.0019872)</f>
        <v>2.5118864315095775</v>
      </c>
      <c r="AV11" s="412"/>
      <c r="AW11" s="412"/>
      <c r="AX11" s="412"/>
    </row>
    <row r="12" spans="1:58" x14ac:dyDescent="0.3">
      <c r="A12" s="33"/>
      <c r="D12" s="32"/>
      <c r="F12" s="31" t="s">
        <v>701</v>
      </c>
      <c r="G12" s="31">
        <v>25</v>
      </c>
      <c r="H12" s="31">
        <f>G12+273.15</f>
        <v>298.14999999999998</v>
      </c>
      <c r="I12" s="717">
        <f>-LOG10(EXP(LN(10^-14)+13.36*(1/298.15-1/H12)/0.0019872))</f>
        <v>14</v>
      </c>
      <c r="J12" s="31">
        <v>22.35</v>
      </c>
      <c r="O12" s="85"/>
      <c r="P12" s="85"/>
      <c r="Q12" s="653"/>
      <c r="R12" s="208"/>
      <c r="S12" s="208"/>
      <c r="T12" s="29"/>
      <c r="U12" s="29"/>
      <c r="V12" s="29"/>
      <c r="Z12" s="31">
        <v>6</v>
      </c>
      <c r="AB12" s="130">
        <f>10^(-5)</f>
        <v>1.0000000000000001E-5</v>
      </c>
      <c r="AC12" s="131" t="s">
        <v>600</v>
      </c>
      <c r="AD12" s="262">
        <f>AB12</f>
        <v>1.0000000000000001E-5</v>
      </c>
      <c r="AE12" s="653">
        <f>(LN(2)/AF12)/(60*60*24)</f>
        <v>0.80225368120364049</v>
      </c>
      <c r="AF12" s="209">
        <f>EXP(LN(AD12)+J12*(1/H12-1/298.15)/0.0019872)</f>
        <v>9.9999999999999974E-6</v>
      </c>
      <c r="AG12" s="412"/>
      <c r="AH12" s="412"/>
      <c r="AI12" s="412"/>
      <c r="AJ12" s="103"/>
      <c r="AK12" s="103"/>
      <c r="AL12" s="103"/>
      <c r="AO12" s="103"/>
      <c r="AP12" s="103"/>
      <c r="AQ12" s="262"/>
      <c r="AR12" s="262"/>
      <c r="AS12" s="653"/>
      <c r="AT12" s="209"/>
      <c r="AU12" s="209"/>
      <c r="AV12" s="412"/>
      <c r="AW12" s="412"/>
      <c r="AX12" s="412"/>
    </row>
    <row r="13" spans="1:58" x14ac:dyDescent="0.3">
      <c r="A13" s="33"/>
      <c r="D13" s="32"/>
      <c r="G13" s="31">
        <v>25</v>
      </c>
      <c r="H13" s="31">
        <f>G13+273.15</f>
        <v>298.14999999999998</v>
      </c>
      <c r="I13" s="717">
        <f>-LOG10(EXP(LN(10^-14)+13.36*(1/298.15-1/H13)/0.0019872))</f>
        <v>14</v>
      </c>
      <c r="J13" s="31">
        <v>22.35</v>
      </c>
      <c r="O13" s="85"/>
      <c r="P13" s="85"/>
      <c r="Q13" s="653"/>
      <c r="R13" s="208"/>
      <c r="S13" s="208"/>
      <c r="T13" s="29"/>
      <c r="U13" s="29"/>
      <c r="V13" s="29"/>
      <c r="Z13" s="31">
        <v>5</v>
      </c>
      <c r="AB13" s="130">
        <f>10^(-5)</f>
        <v>1.0000000000000001E-5</v>
      </c>
      <c r="AC13" s="131" t="s">
        <v>600</v>
      </c>
      <c r="AD13" s="262">
        <f>AB13</f>
        <v>1.0000000000000001E-5</v>
      </c>
      <c r="AE13" s="653">
        <f>(LN(2)/AF13)/(60*60*24)</f>
        <v>0.80225368120364049</v>
      </c>
      <c r="AF13" s="209">
        <f>EXP(LN(AD13)+J13*(1/H13-1/298.15)/0.0019872)</f>
        <v>9.9999999999999974E-6</v>
      </c>
      <c r="AG13" s="412"/>
      <c r="AH13" s="412"/>
      <c r="AI13" s="412"/>
      <c r="AJ13" s="103"/>
      <c r="AK13" s="103"/>
      <c r="AL13" s="103"/>
      <c r="AO13" s="103"/>
      <c r="AP13" s="103"/>
      <c r="AQ13" s="262"/>
      <c r="AR13" s="262"/>
      <c r="AS13" s="653"/>
      <c r="AT13" s="209"/>
      <c r="AU13" s="209"/>
      <c r="AV13" s="412"/>
      <c r="AW13" s="412"/>
      <c r="AX13" s="412"/>
    </row>
    <row r="14" spans="1:58" ht="15" thickBot="1" x14ac:dyDescent="0.35">
      <c r="A14" s="33"/>
      <c r="D14" s="32"/>
      <c r="I14" s="717"/>
      <c r="J14" s="91"/>
      <c r="O14" s="85"/>
      <c r="P14" s="85"/>
      <c r="Q14" s="653"/>
      <c r="R14" s="208"/>
      <c r="S14" s="208"/>
      <c r="T14" s="29"/>
      <c r="U14" s="29"/>
      <c r="V14" s="29"/>
      <c r="AD14" s="85"/>
      <c r="AE14" s="653"/>
      <c r="AF14" s="209"/>
      <c r="AG14" s="412"/>
      <c r="AH14" s="412"/>
      <c r="AI14" s="412"/>
      <c r="AO14" s="103"/>
      <c r="AQ14" s="262"/>
      <c r="AR14" s="262"/>
      <c r="AS14" s="653"/>
      <c r="AT14" s="209"/>
      <c r="AU14" s="209"/>
      <c r="AV14" s="412"/>
      <c r="AW14" s="412"/>
      <c r="AX14" s="412"/>
    </row>
    <row r="15" spans="1:58" s="8" customFormat="1" x14ac:dyDescent="0.3">
      <c r="A15" s="36">
        <v>4</v>
      </c>
      <c r="B15" s="37" t="s">
        <v>497</v>
      </c>
      <c r="C15" s="37" t="s">
        <v>498</v>
      </c>
      <c r="D15" s="38" t="s">
        <v>942</v>
      </c>
      <c r="E15" s="37" t="s">
        <v>499</v>
      </c>
      <c r="F15" s="37" t="s">
        <v>502</v>
      </c>
      <c r="G15" s="37" t="s">
        <v>445</v>
      </c>
      <c r="H15" s="37"/>
      <c r="I15" s="716"/>
      <c r="J15" s="88"/>
      <c r="K15" s="37"/>
      <c r="L15" s="37"/>
      <c r="M15" s="122"/>
      <c r="N15" s="37"/>
      <c r="O15" s="465"/>
      <c r="P15" s="465"/>
      <c r="Q15" s="654"/>
      <c r="R15" s="214"/>
      <c r="S15" s="214"/>
      <c r="T15" s="410">
        <f>AVERAGE(Q16:Q21)</f>
        <v>84.830308061387726</v>
      </c>
      <c r="U15" s="410">
        <f>MEDIAN(Q16:Q21)</f>
        <v>2.6614786792268625</v>
      </c>
      <c r="V15" s="410">
        <f>STDEV(Q15:Q21)</f>
        <v>129.31960650714163</v>
      </c>
      <c r="W15" s="39" t="s">
        <v>504</v>
      </c>
      <c r="X15" s="39" t="s">
        <v>506</v>
      </c>
      <c r="Y15" s="39" t="s">
        <v>508</v>
      </c>
      <c r="Z15" s="37"/>
      <c r="AA15" s="37"/>
      <c r="AB15" s="37"/>
      <c r="AC15" s="37"/>
      <c r="AD15" s="465"/>
      <c r="AE15" s="654"/>
      <c r="AF15" s="215"/>
      <c r="AG15" s="410">
        <f>AVERAGE(AE22:AE24)</f>
        <v>0.96340784965313508</v>
      </c>
      <c r="AH15" s="410">
        <f>MEDIAN(AE22:AE24)</f>
        <v>0.96340784965313508</v>
      </c>
      <c r="AI15" s="410">
        <f>STDEV(AE22:AE23)</f>
        <v>0</v>
      </c>
      <c r="AJ15" s="39" t="s">
        <v>504</v>
      </c>
      <c r="AK15" s="39" t="s">
        <v>506</v>
      </c>
      <c r="AL15" s="39" t="s">
        <v>508</v>
      </c>
      <c r="AM15" s="37"/>
      <c r="AN15" s="37"/>
      <c r="AO15" s="122"/>
      <c r="AP15" s="37"/>
      <c r="AQ15" s="260"/>
      <c r="AR15" s="260"/>
      <c r="AS15" s="654"/>
      <c r="AT15" s="215"/>
      <c r="AU15" s="215"/>
      <c r="AV15" s="468">
        <f>AVERAGE(AS23:AS27)</f>
        <v>3.0502681769425215E-2</v>
      </c>
      <c r="AW15" s="410">
        <f>MEDIAN(AS23:AS27)</f>
        <v>3.154883228591826E-2</v>
      </c>
      <c r="AX15" s="410">
        <f>STDEV(AS24:AS27)</f>
        <v>8.2780986509719112E-3</v>
      </c>
      <c r="AY15" s="39" t="s">
        <v>504</v>
      </c>
      <c r="AZ15" s="39" t="s">
        <v>506</v>
      </c>
      <c r="BA15" s="39" t="s">
        <v>508</v>
      </c>
      <c r="BB15" s="186"/>
      <c r="BC15" s="186"/>
      <c r="BD15" s="186"/>
      <c r="BE15" s="37"/>
      <c r="BF15" s="37"/>
    </row>
    <row r="16" spans="1:58" x14ac:dyDescent="0.3">
      <c r="A16" s="33"/>
      <c r="D16" s="32"/>
      <c r="F16" s="31" t="s">
        <v>500</v>
      </c>
      <c r="G16" s="31">
        <v>35</v>
      </c>
      <c r="H16" s="31">
        <f t="shared" ref="H16:H27" si="0">G16+273.15</f>
        <v>308.14999999999998</v>
      </c>
      <c r="I16" s="717">
        <f t="shared" ref="I16:I27" si="1">-LOG10(EXP(LN(10^-14)+13.36*(1/298.15-1/H16)/0.0019872))</f>
        <v>13.682201234974167</v>
      </c>
      <c r="J16" s="91">
        <v>23.23</v>
      </c>
      <c r="K16" s="31">
        <v>4.5</v>
      </c>
      <c r="M16" s="103">
        <f>0.00131</f>
        <v>1.31E-3</v>
      </c>
      <c r="N16" s="103" t="s">
        <v>1263</v>
      </c>
      <c r="O16" s="262">
        <f>M16*10^(K16-5)/3600</f>
        <v>1.1507177041168269E-7</v>
      </c>
      <c r="P16" s="385">
        <f>O16*10^5</f>
        <v>1.1507177041168269E-2</v>
      </c>
      <c r="Q16" s="653">
        <f t="shared" ref="Q16:Q21" si="2">(LN(2)/R16)/(60*60*24)</f>
        <v>248.84141519314451</v>
      </c>
      <c r="R16" s="209">
        <f t="shared" ref="R16:R21" si="3">S16*10^-5</f>
        <v>3.2239556288528221E-8</v>
      </c>
      <c r="S16" s="209">
        <f t="shared" ref="S16:S21" si="4">EXP(LN(P16)+$J16*(1/$H16-1/298.15)/0.0019872)</f>
        <v>3.2239556288528219E-3</v>
      </c>
      <c r="T16" s="253"/>
      <c r="U16" s="253"/>
      <c r="V16" s="253"/>
      <c r="W16" s="40" t="s">
        <v>505</v>
      </c>
      <c r="X16" s="40" t="s">
        <v>507</v>
      </c>
      <c r="Y16" s="40" t="s">
        <v>509</v>
      </c>
      <c r="AD16" s="85"/>
      <c r="AE16" s="653"/>
      <c r="AF16" s="209"/>
      <c r="AG16" s="412"/>
      <c r="AH16" s="412"/>
      <c r="AI16" s="412"/>
      <c r="AJ16" s="40" t="s">
        <v>505</v>
      </c>
      <c r="AK16" s="40" t="s">
        <v>507</v>
      </c>
      <c r="AL16" s="40" t="s">
        <v>509</v>
      </c>
      <c r="AO16" s="103"/>
      <c r="AQ16" s="262"/>
      <c r="AR16" s="262"/>
      <c r="AS16" s="653"/>
      <c r="AT16" s="209"/>
      <c r="AU16" s="209"/>
      <c r="AV16" s="412"/>
      <c r="AW16" s="412"/>
      <c r="AX16" s="412"/>
      <c r="AY16" s="40" t="s">
        <v>505</v>
      </c>
      <c r="AZ16" s="40" t="s">
        <v>507</v>
      </c>
      <c r="BA16" s="40" t="s">
        <v>509</v>
      </c>
    </row>
    <row r="17" spans="1:58" x14ac:dyDescent="0.3">
      <c r="A17" s="33"/>
      <c r="D17" s="32"/>
      <c r="F17" s="31" t="s">
        <v>501</v>
      </c>
      <c r="G17" s="31">
        <v>35</v>
      </c>
      <c r="H17" s="31">
        <f t="shared" si="0"/>
        <v>308.14999999999998</v>
      </c>
      <c r="I17" s="717">
        <f t="shared" si="1"/>
        <v>13.682201234974167</v>
      </c>
      <c r="J17" s="489">
        <v>23.23</v>
      </c>
      <c r="K17" s="31">
        <v>4.5</v>
      </c>
      <c r="M17" s="103">
        <f>0.00128</f>
        <v>1.2800000000000001E-3</v>
      </c>
      <c r="N17" s="103" t="s">
        <v>1263</v>
      </c>
      <c r="O17" s="262">
        <f t="shared" ref="O17:O21" si="5">M17*10^(K17-5)/3600</f>
        <v>1.1243653902820905E-7</v>
      </c>
      <c r="P17" s="385">
        <f t="shared" ref="P17:P21" si="6">O17*10^5</f>
        <v>1.1243653902820906E-2</v>
      </c>
      <c r="Q17" s="653">
        <f t="shared" si="2"/>
        <v>254.67363586173374</v>
      </c>
      <c r="R17" s="209">
        <f t="shared" si="3"/>
        <v>3.1501245839172621E-8</v>
      </c>
      <c r="S17" s="209">
        <f t="shared" si="4"/>
        <v>3.1501245839172616E-3</v>
      </c>
      <c r="T17" s="253"/>
      <c r="U17" s="253"/>
      <c r="V17" s="253"/>
      <c r="W17" s="40" t="s">
        <v>1037</v>
      </c>
      <c r="X17" s="40" t="s">
        <v>1036</v>
      </c>
      <c r="Y17" s="40" t="s">
        <v>1038</v>
      </c>
      <c r="AD17" s="85"/>
      <c r="AE17" s="653"/>
      <c r="AF17" s="209"/>
      <c r="AG17" s="412"/>
      <c r="AH17" s="412"/>
      <c r="AI17" s="412"/>
      <c r="AJ17" s="40" t="s">
        <v>1037</v>
      </c>
      <c r="AK17" s="40" t="s">
        <v>1036</v>
      </c>
      <c r="AL17" s="40" t="s">
        <v>1038</v>
      </c>
      <c r="AO17" s="103"/>
      <c r="AQ17" s="262"/>
      <c r="AR17" s="262"/>
      <c r="AS17" s="653"/>
      <c r="AT17" s="209"/>
      <c r="AU17" s="209"/>
      <c r="AV17" s="412"/>
      <c r="AW17" s="412"/>
      <c r="AX17" s="412"/>
      <c r="AY17" s="40" t="s">
        <v>1037</v>
      </c>
      <c r="AZ17" s="40" t="s">
        <v>1036</v>
      </c>
      <c r="BA17" s="40" t="s">
        <v>1038</v>
      </c>
    </row>
    <row r="18" spans="1:58" x14ac:dyDescent="0.3">
      <c r="A18" s="33"/>
      <c r="D18" s="32"/>
      <c r="F18" s="31" t="s">
        <v>500</v>
      </c>
      <c r="G18" s="31">
        <v>35</v>
      </c>
      <c r="H18" s="31">
        <f t="shared" si="0"/>
        <v>308.14999999999998</v>
      </c>
      <c r="I18" s="717">
        <f t="shared" si="1"/>
        <v>13.682201234974167</v>
      </c>
      <c r="J18" s="91">
        <v>23.23</v>
      </c>
      <c r="K18" s="31">
        <v>5.5</v>
      </c>
      <c r="M18" s="103">
        <f>0.0124</f>
        <v>1.24E-2</v>
      </c>
      <c r="N18" s="103" t="s">
        <v>1263</v>
      </c>
      <c r="O18" s="262">
        <f t="shared" si="5"/>
        <v>1.0892289718357752E-5</v>
      </c>
      <c r="P18" s="385">
        <f t="shared" si="6"/>
        <v>1.0892289718357753</v>
      </c>
      <c r="Q18" s="653">
        <f t="shared" si="2"/>
        <v>2.6288891443791864</v>
      </c>
      <c r="R18" s="209">
        <f t="shared" si="3"/>
        <v>3.0516831906698486E-6</v>
      </c>
      <c r="S18" s="209">
        <f t="shared" si="4"/>
        <v>0.30516831906698483</v>
      </c>
      <c r="T18" s="253"/>
      <c r="U18" s="253"/>
      <c r="V18" s="253"/>
      <c r="W18" s="119"/>
      <c r="X18" s="119"/>
      <c r="Y18" s="119"/>
      <c r="AD18" s="85"/>
      <c r="AE18" s="653"/>
      <c r="AF18" s="209"/>
      <c r="AG18" s="412"/>
      <c r="AH18" s="412"/>
      <c r="AI18" s="412"/>
      <c r="AO18" s="103"/>
      <c r="AQ18" s="262"/>
      <c r="AR18" s="262"/>
      <c r="AS18" s="653"/>
      <c r="AT18" s="209"/>
      <c r="AU18" s="209"/>
      <c r="AV18" s="412"/>
      <c r="AW18" s="412"/>
      <c r="AX18" s="412"/>
    </row>
    <row r="19" spans="1:58" x14ac:dyDescent="0.3">
      <c r="A19" s="33"/>
      <c r="D19" s="32"/>
      <c r="F19" s="31" t="s">
        <v>501</v>
      </c>
      <c r="G19" s="31">
        <v>35</v>
      </c>
      <c r="H19" s="31">
        <f t="shared" si="0"/>
        <v>308.14999999999998</v>
      </c>
      <c r="I19" s="717">
        <f t="shared" si="1"/>
        <v>13.682201234974167</v>
      </c>
      <c r="J19" s="91">
        <v>23.23</v>
      </c>
      <c r="K19" s="31">
        <v>5.5</v>
      </c>
      <c r="M19" s="103">
        <f>0.0121</f>
        <v>1.21E-2</v>
      </c>
      <c r="N19" s="103" t="s">
        <v>1263</v>
      </c>
      <c r="O19" s="262">
        <f t="shared" si="5"/>
        <v>1.0628766580010387E-5</v>
      </c>
      <c r="P19" s="385">
        <f t="shared" si="6"/>
        <v>1.0628766580010387</v>
      </c>
      <c r="Q19" s="653">
        <f t="shared" si="2"/>
        <v>2.6940682140745387</v>
      </c>
      <c r="R19" s="209">
        <f t="shared" si="3"/>
        <v>2.9778521457342872E-6</v>
      </c>
      <c r="S19" s="209">
        <f t="shared" si="4"/>
        <v>0.29778521457342871</v>
      </c>
      <c r="T19" s="253"/>
      <c r="U19" s="253"/>
      <c r="V19" s="253"/>
      <c r="W19" s="119"/>
      <c r="X19" s="119"/>
      <c r="Y19" s="119"/>
      <c r="AD19" s="85"/>
      <c r="AE19" s="653"/>
      <c r="AF19" s="209"/>
      <c r="AG19" s="412"/>
      <c r="AH19" s="412"/>
      <c r="AI19" s="412"/>
      <c r="AO19" s="103"/>
      <c r="AQ19" s="262"/>
      <c r="AR19" s="262"/>
      <c r="AS19" s="653"/>
      <c r="AT19" s="209"/>
      <c r="AU19" s="209"/>
      <c r="AV19" s="412"/>
      <c r="AW19" s="412"/>
      <c r="AX19" s="412"/>
    </row>
    <row r="20" spans="1:58" x14ac:dyDescent="0.3">
      <c r="A20" s="33"/>
      <c r="D20" s="32"/>
      <c r="F20" s="31" t="s">
        <v>500</v>
      </c>
      <c r="G20" s="31">
        <v>35</v>
      </c>
      <c r="H20" s="31">
        <f t="shared" si="0"/>
        <v>308.14999999999998</v>
      </c>
      <c r="I20" s="717">
        <f t="shared" si="1"/>
        <v>13.682201234974167</v>
      </c>
      <c r="J20" s="91">
        <v>23.23</v>
      </c>
      <c r="K20" s="31">
        <v>6.5</v>
      </c>
      <c r="M20" s="103">
        <f>0.0464</f>
        <v>4.6399999999999997E-2</v>
      </c>
      <c r="N20" s="103" t="s">
        <v>1263</v>
      </c>
      <c r="O20" s="262">
        <f t="shared" si="5"/>
        <v>4.0758245397725783E-4</v>
      </c>
      <c r="P20" s="385">
        <f t="shared" si="6"/>
        <v>40.75824539772578</v>
      </c>
      <c r="Q20" s="653">
        <f t="shared" si="2"/>
        <v>7.0254796099788602E-2</v>
      </c>
      <c r="R20" s="209">
        <f t="shared" si="3"/>
        <v>1.141920161670008E-4</v>
      </c>
      <c r="S20" s="209">
        <f t="shared" si="4"/>
        <v>11.419201616700079</v>
      </c>
      <c r="T20" s="253"/>
      <c r="U20" s="253"/>
      <c r="V20" s="253"/>
      <c r="W20" s="119"/>
      <c r="X20" s="119"/>
      <c r="Y20" s="119"/>
      <c r="AB20" s="103"/>
      <c r="AC20" s="103"/>
      <c r="AD20" s="262"/>
      <c r="AE20" s="653"/>
      <c r="AF20" s="209"/>
      <c r="AG20" s="412"/>
      <c r="AH20" s="412"/>
      <c r="AI20" s="412"/>
      <c r="AO20" s="103"/>
      <c r="AQ20" s="262"/>
      <c r="AR20" s="262"/>
      <c r="AS20" s="653"/>
      <c r="AT20" s="209"/>
      <c r="AU20" s="209"/>
      <c r="AV20" s="412"/>
      <c r="AW20" s="412"/>
      <c r="AX20" s="412"/>
    </row>
    <row r="21" spans="1:58" x14ac:dyDescent="0.3">
      <c r="A21" s="33"/>
      <c r="D21" s="32"/>
      <c r="F21" s="31" t="s">
        <v>501</v>
      </c>
      <c r="G21" s="31">
        <v>35</v>
      </c>
      <c r="H21" s="31">
        <f t="shared" si="0"/>
        <v>308.14999999999998</v>
      </c>
      <c r="I21" s="717">
        <f t="shared" si="1"/>
        <v>13.682201234974167</v>
      </c>
      <c r="J21" s="91">
        <v>23.23</v>
      </c>
      <c r="K21" s="31">
        <v>6.5</v>
      </c>
      <c r="M21" s="103">
        <f>0.0443</f>
        <v>4.4299999999999999E-2</v>
      </c>
      <c r="N21" s="103" t="s">
        <v>1263</v>
      </c>
      <c r="O21" s="262">
        <f t="shared" si="5"/>
        <v>3.8913583429294233E-4</v>
      </c>
      <c r="P21" s="385">
        <f t="shared" si="6"/>
        <v>38.913583429294235</v>
      </c>
      <c r="Q21" s="653">
        <f t="shared" si="2"/>
        <v>7.3585158894586694E-2</v>
      </c>
      <c r="R21" s="209">
        <f t="shared" si="3"/>
        <v>1.0902384302151154E-4</v>
      </c>
      <c r="S21" s="209">
        <f t="shared" si="4"/>
        <v>10.902384302151154</v>
      </c>
      <c r="T21" s="253"/>
      <c r="U21" s="253"/>
      <c r="V21" s="253"/>
      <c r="W21" s="119"/>
      <c r="X21" s="119"/>
      <c r="Y21" s="119"/>
      <c r="AB21" s="103"/>
      <c r="AC21" s="103"/>
      <c r="AD21" s="262"/>
      <c r="AE21" s="653"/>
      <c r="AF21" s="209"/>
      <c r="AG21" s="412"/>
      <c r="AH21" s="412"/>
      <c r="AI21" s="412"/>
      <c r="AO21" s="103"/>
      <c r="AQ21" s="262"/>
      <c r="AR21" s="262"/>
      <c r="AS21" s="653"/>
      <c r="AT21" s="209"/>
      <c r="AU21" s="209"/>
      <c r="AV21" s="412"/>
      <c r="AW21" s="412"/>
      <c r="AX21" s="412"/>
    </row>
    <row r="22" spans="1:58" x14ac:dyDescent="0.3">
      <c r="A22" s="33"/>
      <c r="D22" s="32"/>
      <c r="F22" s="31" t="s">
        <v>500</v>
      </c>
      <c r="G22" s="31">
        <v>35</v>
      </c>
      <c r="H22" s="31">
        <f t="shared" si="0"/>
        <v>308.14999999999998</v>
      </c>
      <c r="I22" s="717">
        <f t="shared" si="1"/>
        <v>13.682201234974167</v>
      </c>
      <c r="J22" s="40">
        <v>23.23</v>
      </c>
      <c r="N22" s="103"/>
      <c r="O22" s="85"/>
      <c r="P22" s="85"/>
      <c r="Q22" s="653"/>
      <c r="R22" s="208"/>
      <c r="S22" s="208"/>
      <c r="T22" s="29"/>
      <c r="U22" s="29"/>
      <c r="V22" s="29"/>
      <c r="Z22" s="31">
        <v>7</v>
      </c>
      <c r="AB22" s="175">
        <v>0.107</v>
      </c>
      <c r="AC22" s="103" t="s">
        <v>610</v>
      </c>
      <c r="AD22" s="262">
        <f>AB22/(60*60)</f>
        <v>2.9722222222222223E-5</v>
      </c>
      <c r="AE22" s="653">
        <f>(LN(2)/AF22)/(60*60*24)</f>
        <v>0.96340784965313508</v>
      </c>
      <c r="AF22" s="209">
        <f>EXP(LN(AD22)+J22*(1/H22-1/298.15)/0.0019872)</f>
        <v>8.3272487502824826E-6</v>
      </c>
      <c r="AG22" s="412"/>
      <c r="AH22" s="412"/>
      <c r="AI22" s="412"/>
      <c r="AO22" s="103"/>
      <c r="AQ22" s="262"/>
      <c r="AR22" s="262"/>
      <c r="AS22" s="653"/>
      <c r="AT22" s="209"/>
      <c r="AU22" s="209"/>
      <c r="AV22" s="412"/>
      <c r="AW22" s="412"/>
      <c r="AX22" s="412"/>
    </row>
    <row r="23" spans="1:58" x14ac:dyDescent="0.3">
      <c r="A23" s="33"/>
      <c r="D23" s="32"/>
      <c r="F23" s="31" t="s">
        <v>503</v>
      </c>
      <c r="G23" s="31">
        <v>35</v>
      </c>
      <c r="H23" s="31">
        <f t="shared" si="0"/>
        <v>308.14999999999998</v>
      </c>
      <c r="I23" s="717">
        <f t="shared" si="1"/>
        <v>13.682201234974167</v>
      </c>
      <c r="J23" s="40">
        <v>23.23</v>
      </c>
      <c r="N23" s="103"/>
      <c r="O23" s="85"/>
      <c r="P23" s="85"/>
      <c r="Q23" s="653"/>
      <c r="R23" s="208"/>
      <c r="S23" s="208"/>
      <c r="T23" s="29"/>
      <c r="U23" s="29"/>
      <c r="V23" s="29"/>
      <c r="Z23" s="31">
        <v>7</v>
      </c>
      <c r="AB23" s="175">
        <v>0.107</v>
      </c>
      <c r="AC23" s="103" t="s">
        <v>610</v>
      </c>
      <c r="AD23" s="262">
        <f>AB23/(60*60)</f>
        <v>2.9722222222222223E-5</v>
      </c>
      <c r="AE23" s="653">
        <f>(LN(2)/AF23)/(60*60*24)</f>
        <v>0.96340784965313508</v>
      </c>
      <c r="AF23" s="209">
        <f>EXP(LN(AD23)+J23*(1/H23-1/298.15)/0.0019872)</f>
        <v>8.3272487502824826E-6</v>
      </c>
      <c r="AG23" s="412"/>
      <c r="AH23" s="412"/>
      <c r="AI23" s="412"/>
      <c r="AO23" s="103"/>
      <c r="AQ23" s="262"/>
      <c r="AR23" s="262"/>
      <c r="AS23" s="653"/>
      <c r="AT23" s="209"/>
      <c r="AU23" s="209"/>
      <c r="AV23" s="412"/>
      <c r="AW23" s="412"/>
      <c r="AX23" s="412"/>
    </row>
    <row r="24" spans="1:58" x14ac:dyDescent="0.3">
      <c r="A24" s="33"/>
      <c r="D24" s="32"/>
      <c r="F24" s="31" t="s">
        <v>503</v>
      </c>
      <c r="G24" s="31">
        <v>35</v>
      </c>
      <c r="H24" s="31">
        <f t="shared" si="0"/>
        <v>308.14999999999998</v>
      </c>
      <c r="I24" s="717">
        <f t="shared" si="1"/>
        <v>13.682201234974167</v>
      </c>
      <c r="J24" s="91">
        <v>23.23</v>
      </c>
      <c r="N24" s="103"/>
      <c r="O24" s="85"/>
      <c r="P24" s="85"/>
      <c r="Q24" s="653"/>
      <c r="R24" s="208"/>
      <c r="S24" s="208"/>
      <c r="T24" s="29"/>
      <c r="U24" s="29"/>
      <c r="V24" s="29"/>
      <c r="AD24" s="85"/>
      <c r="AE24" s="653"/>
      <c r="AF24" s="208"/>
      <c r="AG24" s="412"/>
      <c r="AH24" s="412"/>
      <c r="AI24" s="412"/>
      <c r="AM24" s="31">
        <v>7.3</v>
      </c>
      <c r="AO24" s="175">
        <v>0.21</v>
      </c>
      <c r="AP24" s="103" t="s">
        <v>610</v>
      </c>
      <c r="AQ24" s="262">
        <f>AO24*10^(9-AM24)/(60*60)</f>
        <v>2.9235921961590903E-3</v>
      </c>
      <c r="AR24" s="262">
        <f>AQ24*10^($I24-9)</f>
        <v>140.64296999571133</v>
      </c>
      <c r="AS24" s="653">
        <f>(LN(2)/AT24)/(24*60*60)</f>
        <v>2.0359796297601575E-2</v>
      </c>
      <c r="AT24" s="209">
        <f>AU24*10^(9-14)</f>
        <v>3.9403816692318647E-4</v>
      </c>
      <c r="AU24" s="209">
        <f>EXP(LN(AR24)+J24*(1/H24-1/298.15)/0.0019872)</f>
        <v>39.403816692318642</v>
      </c>
      <c r="AV24" s="412"/>
      <c r="AW24" s="412"/>
      <c r="AX24" s="412"/>
    </row>
    <row r="25" spans="1:58" x14ac:dyDescent="0.3">
      <c r="A25" s="33"/>
      <c r="D25" s="32"/>
      <c r="F25" s="31" t="s">
        <v>500</v>
      </c>
      <c r="G25" s="31">
        <v>35</v>
      </c>
      <c r="H25" s="31">
        <f t="shared" si="0"/>
        <v>308.14999999999998</v>
      </c>
      <c r="I25" s="717">
        <f t="shared" si="1"/>
        <v>13.682201234974167</v>
      </c>
      <c r="J25" s="91">
        <v>23.23</v>
      </c>
      <c r="N25" s="103"/>
      <c r="O25" s="85"/>
      <c r="P25" s="85"/>
      <c r="Q25" s="653"/>
      <c r="R25" s="208"/>
      <c r="S25" s="208"/>
      <c r="T25" s="29"/>
      <c r="U25" s="29"/>
      <c r="V25" s="29"/>
      <c r="AD25" s="262"/>
      <c r="AE25" s="653"/>
      <c r="AF25" s="209"/>
      <c r="AG25" s="412"/>
      <c r="AH25" s="412"/>
      <c r="AI25" s="412"/>
      <c r="AM25" s="31">
        <v>7.5</v>
      </c>
      <c r="AO25" s="175">
        <v>0.248</v>
      </c>
      <c r="AP25" s="103" t="s">
        <v>610</v>
      </c>
      <c r="AQ25" s="262">
        <f t="shared" ref="AQ25:AQ27" si="7">AO25*10^(9-AM25)/(60*60)</f>
        <v>2.178457943671551E-3</v>
      </c>
      <c r="AR25" s="262">
        <f>AQ25*10^($I25-9)</f>
        <v>104.79737755875604</v>
      </c>
      <c r="AS25" s="653">
        <f>(LN(2)/AT25)/(24*60*60)</f>
        <v>2.7323796515775739E-2</v>
      </c>
      <c r="AT25" s="209">
        <f>AU25*10^(9-14)</f>
        <v>2.9360988716939428E-4</v>
      </c>
      <c r="AU25" s="209">
        <f>EXP(LN(AR25)+J25*(1/H25-1/298.15)/0.0019872)</f>
        <v>29.360988716939428</v>
      </c>
      <c r="AV25" s="412"/>
      <c r="AW25" s="412"/>
      <c r="AX25" s="412"/>
    </row>
    <row r="26" spans="1:58" x14ac:dyDescent="0.3">
      <c r="A26" s="33"/>
      <c r="D26" s="32"/>
      <c r="F26" s="31" t="s">
        <v>500</v>
      </c>
      <c r="G26" s="31">
        <v>35</v>
      </c>
      <c r="H26" s="31">
        <f t="shared" si="0"/>
        <v>308.14999999999998</v>
      </c>
      <c r="I26" s="717">
        <f t="shared" si="1"/>
        <v>13.682201234974167</v>
      </c>
      <c r="J26" s="91">
        <v>23.23</v>
      </c>
      <c r="N26" s="103"/>
      <c r="O26" s="262"/>
      <c r="P26" s="262"/>
      <c r="Q26" s="653"/>
      <c r="R26" s="209"/>
      <c r="S26" s="209"/>
      <c r="T26" s="253"/>
      <c r="U26" s="253"/>
      <c r="V26" s="253"/>
      <c r="W26" s="119"/>
      <c r="X26" s="119"/>
      <c r="Y26" s="119"/>
      <c r="AD26" s="85"/>
      <c r="AE26" s="653"/>
      <c r="AF26" s="208"/>
      <c r="AG26" s="412"/>
      <c r="AH26" s="412"/>
      <c r="AI26" s="412"/>
      <c r="AM26" s="31">
        <v>8</v>
      </c>
      <c r="AO26" s="175">
        <v>0.59899999999999998</v>
      </c>
      <c r="AP26" s="103" t="s">
        <v>610</v>
      </c>
      <c r="AQ26" s="262">
        <f t="shared" si="7"/>
        <v>1.663888888888889E-3</v>
      </c>
      <c r="AR26" s="262">
        <f>AQ26*10^($I26-9)</f>
        <v>80.043405295593885</v>
      </c>
      <c r="AS26" s="653">
        <f>(LN(2)/AT26)/(24*60*60)</f>
        <v>3.5773868056060781E-2</v>
      </c>
      <c r="AT26" s="209">
        <f>AU26*10^(9-14)</f>
        <v>2.2425690169887099E-4</v>
      </c>
      <c r="AU26" s="209">
        <f>EXP(LN(AR26)+J26*(1/H26-1/298.15)/0.0019872)</f>
        <v>22.425690169887098</v>
      </c>
      <c r="AV26" s="412"/>
      <c r="AW26" s="412"/>
      <c r="AX26" s="412"/>
    </row>
    <row r="27" spans="1:58" x14ac:dyDescent="0.3">
      <c r="A27" s="33"/>
      <c r="D27" s="32"/>
      <c r="F27" s="31" t="s">
        <v>503</v>
      </c>
      <c r="G27" s="31">
        <v>35</v>
      </c>
      <c r="H27" s="31">
        <f t="shared" si="0"/>
        <v>308.14999999999998</v>
      </c>
      <c r="I27" s="717">
        <f t="shared" si="1"/>
        <v>13.682201234974167</v>
      </c>
      <c r="J27" s="91">
        <v>23.23</v>
      </c>
      <c r="N27" s="103"/>
      <c r="O27" s="85"/>
      <c r="P27" s="85"/>
      <c r="Q27" s="653"/>
      <c r="R27" s="208"/>
      <c r="S27" s="208"/>
      <c r="T27" s="29"/>
      <c r="U27" s="29"/>
      <c r="V27" s="29"/>
      <c r="AD27" s="262"/>
      <c r="AE27" s="653"/>
      <c r="AF27" s="209"/>
      <c r="AG27" s="412"/>
      <c r="AH27" s="412"/>
      <c r="AI27" s="412"/>
      <c r="AM27" s="31">
        <v>8.3000000000000007</v>
      </c>
      <c r="AO27" s="175">
        <v>1.109</v>
      </c>
      <c r="AP27" s="103" t="s">
        <v>610</v>
      </c>
      <c r="AQ27" s="262">
        <f t="shared" si="7"/>
        <v>1.5439351169240112E-3</v>
      </c>
      <c r="AR27" s="262">
        <f>AQ27*10^($I27-9)</f>
        <v>74.27288272630642</v>
      </c>
      <c r="AS27" s="653">
        <f>(LN(2)/AT27)/(24*60*60)</f>
        <v>3.8553266208262764E-2</v>
      </c>
      <c r="AT27" s="209">
        <f>AU27*10^(9-14)</f>
        <v>2.0808967957991085E-4</v>
      </c>
      <c r="AU27" s="209">
        <f>EXP(LN(AR27)+J27*(1/H27-1/298.15)/0.0019872)</f>
        <v>20.808967957991083</v>
      </c>
      <c r="AV27" s="412"/>
      <c r="AW27" s="412"/>
      <c r="AX27" s="412"/>
    </row>
    <row r="28" spans="1:58" ht="15" thickBot="1" x14ac:dyDescent="0.35">
      <c r="A28" s="33"/>
      <c r="D28" s="32"/>
      <c r="I28" s="238"/>
      <c r="Q28" s="699"/>
      <c r="R28" s="238"/>
      <c r="S28" s="238"/>
      <c r="AE28" s="699"/>
      <c r="AF28" s="238"/>
      <c r="AS28" s="699"/>
      <c r="AT28" s="238"/>
      <c r="AU28" s="238"/>
    </row>
    <row r="29" spans="1:58" s="8" customFormat="1" x14ac:dyDescent="0.3">
      <c r="A29" s="36"/>
      <c r="B29" s="37"/>
      <c r="C29" s="37"/>
      <c r="D29" s="39"/>
      <c r="E29" s="37"/>
      <c r="F29" s="37"/>
      <c r="G29" s="37"/>
      <c r="H29" s="37"/>
      <c r="I29" s="37"/>
      <c r="J29" s="37"/>
      <c r="K29" s="37"/>
      <c r="L29" s="37"/>
      <c r="M29" s="122"/>
      <c r="N29" s="37"/>
      <c r="O29" s="37"/>
      <c r="P29" s="37"/>
      <c r="Q29" s="469"/>
      <c r="R29" s="37"/>
      <c r="S29" s="37"/>
      <c r="T29" s="37"/>
      <c r="U29" s="37"/>
      <c r="V29" s="37"/>
      <c r="W29" s="39"/>
      <c r="X29" s="39"/>
      <c r="Y29" s="39"/>
      <c r="Z29" s="37"/>
      <c r="AA29" s="37"/>
      <c r="AB29" s="37"/>
      <c r="AC29" s="37"/>
      <c r="AD29" s="37"/>
      <c r="AE29" s="469"/>
      <c r="AF29" s="37"/>
      <c r="AG29" s="109"/>
      <c r="AH29" s="109"/>
      <c r="AI29" s="109"/>
      <c r="AJ29" s="37"/>
      <c r="AK29" s="37"/>
      <c r="AL29" s="37"/>
      <c r="AM29" s="37"/>
      <c r="AN29" s="37"/>
      <c r="AO29" s="37"/>
      <c r="AP29" s="37"/>
      <c r="AQ29" s="37"/>
      <c r="AR29" s="37"/>
      <c r="AS29" s="469"/>
      <c r="AT29" s="37"/>
      <c r="AU29" s="37"/>
      <c r="AV29" s="109"/>
      <c r="AW29" s="109"/>
      <c r="AX29" s="109"/>
      <c r="AY29" s="37"/>
      <c r="AZ29" s="37"/>
      <c r="BA29" s="37"/>
      <c r="BB29" s="186"/>
      <c r="BC29" s="186"/>
      <c r="BD29" s="186"/>
      <c r="BE29" s="37"/>
      <c r="BF29" s="37"/>
    </row>
    <row r="30" spans="1:58" s="1" customFormat="1" x14ac:dyDescent="0.3">
      <c r="A30" s="558"/>
      <c r="B30" s="108"/>
      <c r="C30" s="108"/>
      <c r="D30" s="72"/>
      <c r="E30" s="108"/>
      <c r="F30" s="108"/>
      <c r="G30" s="108"/>
      <c r="H30" s="108"/>
      <c r="I30" s="108"/>
      <c r="J30" s="108"/>
      <c r="K30" s="108"/>
      <c r="L30" s="108"/>
      <c r="M30" s="207"/>
      <c r="N30" s="108" t="s">
        <v>790</v>
      </c>
      <c r="O30" s="108"/>
      <c r="P30" s="108"/>
      <c r="Q30" s="176">
        <f>AVERAGE(Q16:Q21)</f>
        <v>84.830308061387726</v>
      </c>
      <c r="R30" s="108"/>
      <c r="S30" s="108"/>
      <c r="T30" s="142">
        <f>AVERAGE(T15)</f>
        <v>84.830308061387726</v>
      </c>
      <c r="U30" s="108"/>
      <c r="V30" s="108"/>
      <c r="W30" s="72"/>
      <c r="X30" s="72"/>
      <c r="Y30" s="72"/>
      <c r="Z30" s="108"/>
      <c r="AA30" s="108"/>
      <c r="AB30" s="108"/>
      <c r="AC30" s="108" t="s">
        <v>790</v>
      </c>
      <c r="AD30" s="108"/>
      <c r="AE30" s="176">
        <f>AVERAGE(AE12:AE23)</f>
        <v>0.88283076542838779</v>
      </c>
      <c r="AF30" s="108"/>
      <c r="AG30" s="142">
        <f>AVERAGE(AG10:AG16)</f>
        <v>0.88283076542838779</v>
      </c>
      <c r="AH30" s="142"/>
      <c r="AI30" s="142"/>
      <c r="AJ30" s="108"/>
      <c r="AK30" s="108"/>
      <c r="AL30" s="108"/>
      <c r="AM30" s="108"/>
      <c r="AN30" s="108"/>
      <c r="AO30" s="108"/>
      <c r="AP30" s="108"/>
      <c r="AQ30" s="108"/>
      <c r="AR30" s="108" t="s">
        <v>790</v>
      </c>
      <c r="AS30" s="176">
        <f>AVERAGE(AS6:AS27)</f>
        <v>0.2057620080959856</v>
      </c>
      <c r="AT30" s="108"/>
      <c r="AU30" s="108"/>
      <c r="AV30" s="142">
        <f>AVERAGE(AV6:AV15)</f>
        <v>0.31701227580541208</v>
      </c>
      <c r="AW30" s="142"/>
      <c r="AX30" s="142"/>
      <c r="AY30" s="108"/>
      <c r="AZ30" s="108"/>
      <c r="BA30" s="108"/>
      <c r="BB30" s="319" t="s">
        <v>790</v>
      </c>
      <c r="BC30" s="319"/>
      <c r="BD30" s="319"/>
      <c r="BE30" s="108"/>
      <c r="BF30" s="108"/>
    </row>
    <row r="31" spans="1:58" s="1" customFormat="1" x14ac:dyDescent="0.3">
      <c r="A31" s="558"/>
      <c r="B31" s="108"/>
      <c r="C31" s="108"/>
      <c r="D31" s="72"/>
      <c r="E31" s="108"/>
      <c r="F31" s="108"/>
      <c r="G31" s="108"/>
      <c r="H31" s="108"/>
      <c r="I31" s="108"/>
      <c r="J31" s="108"/>
      <c r="K31" s="108"/>
      <c r="L31" s="108"/>
      <c r="M31" s="207"/>
      <c r="N31" s="108" t="s">
        <v>791</v>
      </c>
      <c r="O31" s="108"/>
      <c r="P31" s="108"/>
      <c r="Q31" s="176">
        <f>STDEV(Q16:Q21)</f>
        <v>129.31960650714163</v>
      </c>
      <c r="R31" s="108"/>
      <c r="S31" s="108"/>
      <c r="T31" s="108"/>
      <c r="U31" s="108"/>
      <c r="V31" s="108"/>
      <c r="W31" s="72"/>
      <c r="X31" s="72"/>
      <c r="Y31" s="72"/>
      <c r="Z31" s="108"/>
      <c r="AA31" s="108"/>
      <c r="AB31" s="108"/>
      <c r="AC31" s="108" t="s">
        <v>791</v>
      </c>
      <c r="AD31" s="108"/>
      <c r="AE31" s="176">
        <f>STDEV(AE12:AE23)</f>
        <v>9.3042402535346E-2</v>
      </c>
      <c r="AF31" s="108"/>
      <c r="AG31" s="142">
        <f>STDEV(AG10:AG15)</f>
        <v>0.11395320532711679</v>
      </c>
      <c r="AH31" s="142"/>
      <c r="AI31" s="142"/>
      <c r="AJ31" s="108"/>
      <c r="AK31" s="108"/>
      <c r="AL31" s="108"/>
      <c r="AM31" s="108"/>
      <c r="AN31" s="108"/>
      <c r="AO31" s="108"/>
      <c r="AP31" s="108"/>
      <c r="AQ31" s="108"/>
      <c r="AR31" s="108" t="s">
        <v>791</v>
      </c>
      <c r="AS31" s="176">
        <f>STDEV(AS6:AS27)</f>
        <v>0.3181838995576004</v>
      </c>
      <c r="AT31" s="108"/>
      <c r="AU31" s="108"/>
      <c r="AV31" s="142">
        <f>STDEV(AV6:AV15)</f>
        <v>0.43133321422006621</v>
      </c>
      <c r="AW31" s="142"/>
      <c r="AX31" s="142"/>
      <c r="AY31" s="108"/>
      <c r="AZ31" s="108"/>
      <c r="BA31" s="108"/>
      <c r="BB31" s="319" t="s">
        <v>791</v>
      </c>
      <c r="BC31" s="319"/>
      <c r="BD31" s="319"/>
      <c r="BE31" s="108"/>
      <c r="BF31" s="108"/>
    </row>
    <row r="32" spans="1:58" s="1" customFormat="1" x14ac:dyDescent="0.3">
      <c r="A32" s="558"/>
      <c r="B32" s="108"/>
      <c r="C32" s="108"/>
      <c r="D32" s="72"/>
      <c r="E32" s="108"/>
      <c r="F32" s="108"/>
      <c r="G32" s="108"/>
      <c r="H32" s="108"/>
      <c r="I32" s="108"/>
      <c r="J32" s="108"/>
      <c r="K32" s="108"/>
      <c r="L32" s="108"/>
      <c r="M32" s="207"/>
      <c r="N32" s="108" t="s">
        <v>800</v>
      </c>
      <c r="O32" s="108"/>
      <c r="P32" s="108"/>
      <c r="Q32" s="176">
        <f>MEDIAN(Q16:Q21)</f>
        <v>2.6614786792268625</v>
      </c>
      <c r="R32" s="108"/>
      <c r="S32" s="108"/>
      <c r="T32" s="142">
        <f>MEDIAN(T8:T27)</f>
        <v>84.830308061387726</v>
      </c>
      <c r="U32" s="108"/>
      <c r="V32" s="108"/>
      <c r="W32" s="72"/>
      <c r="X32" s="72"/>
      <c r="Y32" s="72"/>
      <c r="Z32" s="108"/>
      <c r="AA32" s="108"/>
      <c r="AB32" s="108"/>
      <c r="AC32" s="108" t="s">
        <v>800</v>
      </c>
      <c r="AD32" s="108"/>
      <c r="AE32" s="176">
        <f>MEDIAN(AE12:AE23)</f>
        <v>0.88283076542838779</v>
      </c>
      <c r="AF32" s="108"/>
      <c r="AG32" s="142">
        <f>MEDIAN(AG10:AG15)</f>
        <v>0.88283076542838779</v>
      </c>
      <c r="AH32" s="142"/>
      <c r="AI32" s="142"/>
      <c r="AJ32" s="108"/>
      <c r="AK32" s="108"/>
      <c r="AL32" s="108"/>
      <c r="AM32" s="108"/>
      <c r="AN32" s="108"/>
      <c r="AO32" s="108"/>
      <c r="AP32" s="108"/>
      <c r="AQ32" s="108"/>
      <c r="AR32" s="108" t="s">
        <v>800</v>
      </c>
      <c r="AS32" s="176">
        <f>MEDIAN(AS6:AS27)</f>
        <v>3.7163567132161776E-2</v>
      </c>
      <c r="AT32" s="108"/>
      <c r="AU32" s="108"/>
      <c r="AV32" s="142">
        <f>MEDIAN(AV6:AV15)</f>
        <v>0.15852079900369287</v>
      </c>
      <c r="AW32" s="142"/>
      <c r="AX32" s="142"/>
      <c r="AY32" s="108"/>
      <c r="AZ32" s="108"/>
      <c r="BA32" s="108"/>
      <c r="BB32" s="319" t="s">
        <v>800</v>
      </c>
      <c r="BC32" s="319"/>
      <c r="BD32" s="319"/>
      <c r="BE32" s="108"/>
      <c r="BF32" s="108"/>
    </row>
    <row r="33" spans="1:58" s="1" customFormat="1" x14ac:dyDescent="0.3">
      <c r="A33" s="558"/>
      <c r="B33" s="108"/>
      <c r="C33" s="108"/>
      <c r="D33" s="72"/>
      <c r="E33" s="108"/>
      <c r="F33" s="108"/>
      <c r="G33" s="108"/>
      <c r="H33" s="108"/>
      <c r="I33" s="108"/>
      <c r="J33" s="108"/>
      <c r="K33" s="108"/>
      <c r="L33" s="108"/>
      <c r="M33" s="207"/>
      <c r="N33" s="108" t="s">
        <v>789</v>
      </c>
      <c r="O33" s="108"/>
      <c r="P33" s="108"/>
      <c r="Q33" s="176">
        <f>COUNT(Q16:Q21)</f>
        <v>6</v>
      </c>
      <c r="R33" s="108"/>
      <c r="S33" s="108"/>
      <c r="T33" s="108">
        <v>1</v>
      </c>
      <c r="U33" s="108"/>
      <c r="V33" s="108"/>
      <c r="W33" s="72"/>
      <c r="X33" s="72"/>
      <c r="Y33" s="72"/>
      <c r="Z33" s="108"/>
      <c r="AA33" s="108"/>
      <c r="AB33" s="108"/>
      <c r="AC33" s="108" t="s">
        <v>789</v>
      </c>
      <c r="AD33" s="108"/>
      <c r="AE33" s="176">
        <f>COUNT(AE12:AE23)</f>
        <v>4</v>
      </c>
      <c r="AF33" s="108"/>
      <c r="AG33" s="144">
        <f>COUNT(AG10:AG15)</f>
        <v>2</v>
      </c>
      <c r="AH33" s="142"/>
      <c r="AI33" s="142"/>
      <c r="AJ33" s="108"/>
      <c r="AK33" s="108"/>
      <c r="AL33" s="108"/>
      <c r="AM33" s="108"/>
      <c r="AN33" s="108"/>
      <c r="AO33" s="108"/>
      <c r="AP33" s="108"/>
      <c r="AQ33" s="108"/>
      <c r="AR33" s="108" t="s">
        <v>789</v>
      </c>
      <c r="AS33" s="176">
        <f>COUNT(AS6:AS27)</f>
        <v>8</v>
      </c>
      <c r="AT33" s="108"/>
      <c r="AU33" s="108"/>
      <c r="AV33" s="144">
        <f>COUNT(AV6:AV15)</f>
        <v>4</v>
      </c>
      <c r="AW33" s="142"/>
      <c r="AX33" s="142"/>
      <c r="AY33" s="108"/>
      <c r="AZ33" s="108"/>
      <c r="BA33" s="108"/>
      <c r="BB33" s="319" t="s">
        <v>789</v>
      </c>
      <c r="BC33" s="319"/>
      <c r="BD33" s="319"/>
      <c r="BE33" s="108"/>
      <c r="BF33" s="108"/>
    </row>
    <row r="34" spans="1:58" s="1" customFormat="1" x14ac:dyDescent="0.3">
      <c r="A34" s="558"/>
      <c r="B34" s="108"/>
      <c r="C34" s="108"/>
      <c r="D34" s="72"/>
      <c r="E34" s="108"/>
      <c r="F34" s="108"/>
      <c r="G34" s="108"/>
      <c r="H34" s="108"/>
      <c r="I34" s="108"/>
      <c r="J34" s="108"/>
      <c r="K34" s="108"/>
      <c r="L34" s="108"/>
      <c r="M34" s="207"/>
      <c r="N34" s="108" t="s">
        <v>803</v>
      </c>
      <c r="O34" s="108"/>
      <c r="P34" s="108"/>
      <c r="Q34" s="176">
        <f>MIN(Q16:Q21)</f>
        <v>7.0254796099788602E-2</v>
      </c>
      <c r="R34" s="108"/>
      <c r="S34" s="108"/>
      <c r="T34" s="108"/>
      <c r="U34" s="108"/>
      <c r="V34" s="108"/>
      <c r="W34" s="72"/>
      <c r="X34" s="72"/>
      <c r="Y34" s="72"/>
      <c r="Z34" s="108"/>
      <c r="AA34" s="108"/>
      <c r="AB34" s="108"/>
      <c r="AC34" s="108" t="s">
        <v>803</v>
      </c>
      <c r="AD34" s="108"/>
      <c r="AE34" s="176">
        <f>MIN(AE11:AE24)</f>
        <v>0.80225368120364049</v>
      </c>
      <c r="AF34" s="108"/>
      <c r="AG34" s="142">
        <f>MIN(AG10:AG15)</f>
        <v>0.80225368120364049</v>
      </c>
      <c r="AH34" s="142"/>
      <c r="AI34" s="142"/>
      <c r="AJ34" s="108"/>
      <c r="AK34" s="108"/>
      <c r="AL34" s="108"/>
      <c r="AM34" s="108"/>
      <c r="AN34" s="108"/>
      <c r="AO34" s="108"/>
      <c r="AP34" s="108"/>
      <c r="AQ34" s="108"/>
      <c r="AR34" s="108" t="s">
        <v>803</v>
      </c>
      <c r="AS34" s="176">
        <f>MIN(AS6:AS27)</f>
        <v>1.4586430567338911E-2</v>
      </c>
      <c r="AT34" s="108"/>
      <c r="AU34" s="108"/>
      <c r="AV34" s="240">
        <f>MIN(AV6:AV16)</f>
        <v>1.4586430567338911E-2</v>
      </c>
      <c r="AW34" s="142"/>
      <c r="AX34" s="142"/>
      <c r="AY34" s="108"/>
      <c r="AZ34" s="108"/>
      <c r="BA34" s="108"/>
      <c r="BB34" s="319" t="s">
        <v>803</v>
      </c>
      <c r="BC34" s="319"/>
      <c r="BD34" s="319"/>
      <c r="BE34" s="108"/>
      <c r="BF34" s="108"/>
    </row>
    <row r="35" spans="1:58" s="1" customFormat="1" x14ac:dyDescent="0.3">
      <c r="A35" s="558"/>
      <c r="B35" s="108"/>
      <c r="C35" s="108"/>
      <c r="D35" s="72"/>
      <c r="E35" s="108"/>
      <c r="F35" s="108"/>
      <c r="G35" s="108"/>
      <c r="H35" s="108"/>
      <c r="I35" s="108"/>
      <c r="J35" s="108"/>
      <c r="K35" s="108"/>
      <c r="L35" s="108"/>
      <c r="M35" s="207"/>
      <c r="N35" s="108" t="s">
        <v>804</v>
      </c>
      <c r="O35" s="108"/>
      <c r="P35" s="108"/>
      <c r="Q35" s="176">
        <f>MAX(Q16:Q21)</f>
        <v>254.67363586173374</v>
      </c>
      <c r="R35" s="108"/>
      <c r="S35" s="108"/>
      <c r="T35" s="108"/>
      <c r="U35" s="108"/>
      <c r="V35" s="108"/>
      <c r="W35" s="72"/>
      <c r="X35" s="72"/>
      <c r="Y35" s="72"/>
      <c r="Z35" s="108"/>
      <c r="AA35" s="108"/>
      <c r="AB35" s="108"/>
      <c r="AC35" s="108" t="s">
        <v>804</v>
      </c>
      <c r="AD35" s="108"/>
      <c r="AE35" s="176">
        <f>MAX(AE12:AE23)</f>
        <v>0.96340784965313508</v>
      </c>
      <c r="AF35" s="108"/>
      <c r="AG35" s="142">
        <f>MAX(AG10:AG15)</f>
        <v>0.96340784965313508</v>
      </c>
      <c r="AH35" s="142"/>
      <c r="AI35" s="142"/>
      <c r="AJ35" s="108"/>
      <c r="AK35" s="108"/>
      <c r="AL35" s="108"/>
      <c r="AM35" s="108"/>
      <c r="AN35" s="108"/>
      <c r="AO35" s="108"/>
      <c r="AP35" s="108"/>
      <c r="AQ35" s="108"/>
      <c r="AR35" s="108" t="s">
        <v>804</v>
      </c>
      <c r="AS35" s="176">
        <f>MAX(AS6:AS28)</f>
        <v>0.93642107464692381</v>
      </c>
      <c r="AT35" s="108"/>
      <c r="AU35" s="108"/>
      <c r="AV35" s="142">
        <f>MAX(AV6:AV15)</f>
        <v>0.93642107464692381</v>
      </c>
      <c r="AW35" s="142"/>
      <c r="AX35" s="142"/>
      <c r="AY35" s="108"/>
      <c r="AZ35" s="108"/>
      <c r="BA35" s="108"/>
      <c r="BB35" s="319" t="s">
        <v>804</v>
      </c>
      <c r="BC35" s="319"/>
      <c r="BD35" s="319"/>
      <c r="BE35" s="108"/>
      <c r="BF35" s="108"/>
    </row>
    <row r="36" spans="1:58" x14ac:dyDescent="0.3">
      <c r="A36" s="33"/>
      <c r="Q36" s="175"/>
      <c r="AE36" s="173"/>
      <c r="AS36" s="175"/>
      <c r="AU36" s="843" t="s">
        <v>1276</v>
      </c>
      <c r="AV36" s="157">
        <f>QUARTILE(AV$6:AV28,3)-QUARTILE(AV$6:AV28,1)</f>
        <v>0.4224858368712977</v>
      </c>
      <c r="AW36" s="119"/>
    </row>
    <row r="37" spans="1:58" x14ac:dyDescent="0.3">
      <c r="A37" s="33"/>
      <c r="Q37" s="175"/>
      <c r="AE37" s="175"/>
      <c r="AS37" s="175"/>
      <c r="AU37" s="843" t="s">
        <v>1277</v>
      </c>
      <c r="AV37" s="157">
        <f>MAX(AV32-2*AV36,0)</f>
        <v>0</v>
      </c>
      <c r="AW37" s="844" t="str">
        <f>IF(AV34&lt;AV37,"Outlier Flag","")</f>
        <v/>
      </c>
    </row>
    <row r="38" spans="1:58" x14ac:dyDescent="0.3">
      <c r="Q38" s="175"/>
      <c r="AE38" s="175"/>
      <c r="AS38" s="175"/>
      <c r="AU38" s="843" t="s">
        <v>1278</v>
      </c>
      <c r="AV38" s="157">
        <f>AV32+2.2*AV36</f>
        <v>1.087989640120548</v>
      </c>
      <c r="AW38" s="844" t="str">
        <f>IF(AV35&gt;AV38,"Outlier Flag","")</f>
        <v/>
      </c>
    </row>
    <row r="39" spans="1:58" x14ac:dyDescent="0.3">
      <c r="Q39" s="175"/>
      <c r="AE39" s="175"/>
      <c r="AS39" s="175"/>
    </row>
    <row r="40" spans="1:58" x14ac:dyDescent="0.3">
      <c r="Q40" s="175"/>
      <c r="AE40" s="175"/>
      <c r="AS40" s="175"/>
    </row>
  </sheetData>
  <sheetProtection formatCells="0" formatColumns="0" formatRows="0" insertColumns="0" insertRows="0" insertHyperlinks="0" deleteColumns="0" deleteRows="0" sort="0"/>
  <mergeCells count="1">
    <mergeCell ref="A1:B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0"/>
  <sheetViews>
    <sheetView workbookViewId="0">
      <selection sqref="A1:B1"/>
    </sheetView>
  </sheetViews>
  <sheetFormatPr defaultRowHeight="14.4" x14ac:dyDescent="0.3"/>
  <cols>
    <col min="1" max="1" width="5.6640625" style="31" customWidth="1"/>
    <col min="2" max="2" width="30" style="31" customWidth="1"/>
    <col min="3" max="3" width="21.6640625" style="31" customWidth="1"/>
    <col min="4" max="4" width="27" style="40" customWidth="1"/>
    <col min="5" max="5" width="30.6640625" style="31" customWidth="1"/>
    <col min="6" max="6" width="27" style="31" customWidth="1"/>
    <col min="7" max="8" width="12.33203125" style="31" customWidth="1"/>
    <col min="9" max="9" width="8.88671875" style="31" customWidth="1"/>
    <col min="10" max="10" width="9.33203125" style="31" bestFit="1" customWidth="1"/>
    <col min="11" max="12" width="10.109375" style="31" customWidth="1"/>
    <col min="13" max="13" width="11.5546875" style="31" customWidth="1"/>
    <col min="14" max="15" width="10.33203125" style="31" customWidth="1"/>
    <col min="16" max="16" width="12.44140625" style="31" bestFit="1" customWidth="1"/>
    <col min="17" max="18" width="10.33203125" style="31" customWidth="1"/>
    <col min="19" max="19" width="12.33203125" style="31" bestFit="1" customWidth="1"/>
    <col min="20" max="22" width="10.109375" style="29" customWidth="1"/>
    <col min="23" max="23" width="14.88671875" style="40" bestFit="1" customWidth="1"/>
    <col min="24" max="24" width="14.44140625" style="40" bestFit="1" customWidth="1"/>
    <col min="25" max="25" width="14.6640625" style="40" customWidth="1"/>
    <col min="26" max="26" width="6.6640625" style="31" customWidth="1"/>
    <col min="27" max="27" width="9.6640625" style="31" customWidth="1"/>
    <col min="28" max="28" width="11.44140625" style="31" customWidth="1"/>
    <col min="29" max="29" width="10.33203125" style="31" customWidth="1"/>
    <col min="30" max="30" width="14.88671875" style="31" bestFit="1" customWidth="1"/>
    <col min="31" max="32" width="10.33203125" style="31" customWidth="1"/>
    <col min="33" max="35" width="10.33203125" style="29" customWidth="1"/>
    <col min="36" max="38" width="14.6640625" style="40" customWidth="1"/>
    <col min="39" max="40" width="10.109375" style="31" customWidth="1"/>
    <col min="41" max="41" width="11.44140625" style="31" customWidth="1"/>
    <col min="42" max="43" width="10.33203125" style="31" customWidth="1"/>
    <col min="44" max="44" width="14.5546875" style="31" bestFit="1" customWidth="1"/>
    <col min="45" max="46" width="10.33203125" style="31" customWidth="1"/>
    <col min="47" max="47" width="12.33203125" style="31" bestFit="1" customWidth="1"/>
    <col min="48" max="50" width="10.33203125" style="129" customWidth="1"/>
    <col min="51" max="53" width="14.6640625" style="31" customWidth="1"/>
    <col min="54" max="54" width="16.33203125" style="185" bestFit="1" customWidth="1"/>
    <col min="55" max="55" width="16.5546875" style="185" bestFit="1" customWidth="1"/>
    <col min="56" max="56" width="9.109375" style="185"/>
    <col min="57" max="58" width="8.88671875" style="31"/>
  </cols>
  <sheetData>
    <row r="1" spans="1:58" x14ac:dyDescent="0.3">
      <c r="A1" s="899" t="s">
        <v>1190</v>
      </c>
      <c r="B1" s="899"/>
      <c r="D1" s="32"/>
      <c r="I1" s="583"/>
      <c r="J1" s="92"/>
      <c r="K1" s="108" t="s">
        <v>626</v>
      </c>
      <c r="O1" s="86" t="s">
        <v>601</v>
      </c>
      <c r="P1" s="87"/>
      <c r="Q1" s="583" t="s">
        <v>602</v>
      </c>
      <c r="R1" s="586"/>
      <c r="S1" s="586"/>
      <c r="T1" s="118"/>
      <c r="U1" s="118"/>
      <c r="V1" s="118"/>
      <c r="W1" s="587"/>
      <c r="X1" s="587"/>
      <c r="Y1" s="587"/>
      <c r="Z1" s="108" t="s">
        <v>89</v>
      </c>
      <c r="AD1" s="87" t="s">
        <v>601</v>
      </c>
      <c r="AE1" s="583" t="s">
        <v>602</v>
      </c>
      <c r="AF1" s="586"/>
      <c r="AG1" s="156"/>
      <c r="AH1" s="156"/>
      <c r="AI1" s="156"/>
      <c r="AJ1" s="587"/>
      <c r="AK1" s="587"/>
      <c r="AL1" s="587"/>
      <c r="AM1" s="108" t="s">
        <v>627</v>
      </c>
      <c r="AQ1" s="86" t="s">
        <v>601</v>
      </c>
      <c r="AR1" s="86"/>
      <c r="AS1" s="583" t="s">
        <v>602</v>
      </c>
      <c r="AT1" s="586"/>
      <c r="AU1" s="586"/>
      <c r="AV1" s="118"/>
      <c r="AW1" s="118"/>
      <c r="AX1" s="118"/>
      <c r="AY1" s="587"/>
      <c r="AZ1" s="587"/>
      <c r="BA1" s="587"/>
    </row>
    <row r="2" spans="1:58" x14ac:dyDescent="0.3">
      <c r="D2" s="32"/>
      <c r="G2" s="584"/>
      <c r="H2" s="584"/>
      <c r="I2" s="583"/>
      <c r="J2" s="92"/>
      <c r="K2" s="108"/>
      <c r="O2" s="588" t="s">
        <v>603</v>
      </c>
      <c r="P2" s="589"/>
      <c r="Q2" s="590" t="s">
        <v>603</v>
      </c>
      <c r="R2" s="590" t="s">
        <v>603</v>
      </c>
      <c r="S2" s="590"/>
      <c r="T2" s="591" t="s">
        <v>801</v>
      </c>
      <c r="U2" s="591"/>
      <c r="V2" s="591"/>
      <c r="W2" s="592"/>
      <c r="X2" s="592"/>
      <c r="Y2" s="592"/>
      <c r="AD2" s="589"/>
      <c r="AE2" s="583"/>
      <c r="AF2" s="590"/>
      <c r="AG2" s="593" t="s">
        <v>801</v>
      </c>
      <c r="AH2" s="593"/>
      <c r="AI2" s="593"/>
      <c r="AJ2" s="592"/>
      <c r="AK2" s="592"/>
      <c r="AL2" s="592"/>
      <c r="AM2" s="108"/>
      <c r="AQ2" s="588" t="s">
        <v>604</v>
      </c>
      <c r="AR2" s="588"/>
      <c r="AS2" s="590" t="s">
        <v>604</v>
      </c>
      <c r="AT2" s="590" t="s">
        <v>604</v>
      </c>
      <c r="AU2" s="590"/>
      <c r="AV2" s="591" t="s">
        <v>801</v>
      </c>
      <c r="AW2" s="591"/>
      <c r="AX2" s="591"/>
      <c r="AY2" s="592"/>
      <c r="AZ2" s="592"/>
      <c r="BA2" s="592"/>
    </row>
    <row r="3" spans="1:58" ht="43.2" x14ac:dyDescent="0.3">
      <c r="B3" s="108" t="s">
        <v>1</v>
      </c>
      <c r="C3" s="108" t="s">
        <v>2</v>
      </c>
      <c r="D3" s="378" t="s">
        <v>930</v>
      </c>
      <c r="E3" s="108" t="s">
        <v>5</v>
      </c>
      <c r="F3" s="108" t="s">
        <v>7</v>
      </c>
      <c r="G3" s="594" t="s">
        <v>1176</v>
      </c>
      <c r="H3" s="594" t="s">
        <v>1176</v>
      </c>
      <c r="I3" s="595" t="s">
        <v>593</v>
      </c>
      <c r="J3" s="533"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row>
    <row r="4" spans="1:58" x14ac:dyDescent="0.3">
      <c r="D4" s="32"/>
      <c r="G4" s="33" t="s">
        <v>85</v>
      </c>
      <c r="H4" s="33" t="s">
        <v>522</v>
      </c>
      <c r="I4" s="595"/>
      <c r="J4" s="601" t="s">
        <v>595</v>
      </c>
      <c r="L4" s="31" t="s">
        <v>88</v>
      </c>
      <c r="O4" s="86" t="s">
        <v>596</v>
      </c>
      <c r="P4" s="87" t="s">
        <v>597</v>
      </c>
      <c r="Q4" s="583" t="s">
        <v>88</v>
      </c>
      <c r="R4" s="586" t="s">
        <v>596</v>
      </c>
      <c r="S4" s="586" t="s">
        <v>597</v>
      </c>
      <c r="T4" s="117" t="s">
        <v>88</v>
      </c>
      <c r="U4" s="117" t="s">
        <v>88</v>
      </c>
      <c r="V4" s="117" t="s">
        <v>88</v>
      </c>
      <c r="W4" s="592"/>
      <c r="X4" s="592"/>
      <c r="Y4" s="592"/>
      <c r="AA4" s="31" t="s">
        <v>88</v>
      </c>
      <c r="AD4" s="87" t="s">
        <v>596</v>
      </c>
      <c r="AE4" s="583" t="s">
        <v>88</v>
      </c>
      <c r="AF4" s="586" t="s">
        <v>596</v>
      </c>
      <c r="AG4" s="292" t="s">
        <v>88</v>
      </c>
      <c r="AH4" s="292" t="s">
        <v>88</v>
      </c>
      <c r="AI4" s="292" t="s">
        <v>88</v>
      </c>
      <c r="AJ4" s="602"/>
      <c r="AK4" s="602"/>
      <c r="AL4" s="602"/>
      <c r="AN4" s="31" t="s">
        <v>88</v>
      </c>
      <c r="AQ4" s="86" t="s">
        <v>596</v>
      </c>
      <c r="AR4" s="86" t="s">
        <v>597</v>
      </c>
      <c r="AS4" s="583" t="s">
        <v>88</v>
      </c>
      <c r="AT4" s="586" t="s">
        <v>596</v>
      </c>
      <c r="AU4" s="586" t="s">
        <v>597</v>
      </c>
      <c r="AV4" s="302" t="s">
        <v>88</v>
      </c>
      <c r="AW4" s="302" t="s">
        <v>88</v>
      </c>
      <c r="AX4" s="302" t="s">
        <v>88</v>
      </c>
      <c r="AY4" s="602"/>
      <c r="AZ4" s="602"/>
      <c r="BA4" s="648"/>
      <c r="BB4" s="319"/>
      <c r="BC4" s="192"/>
      <c r="BD4" s="603"/>
    </row>
    <row r="5" spans="1:58" x14ac:dyDescent="0.3">
      <c r="D5" s="32"/>
      <c r="H5" s="33"/>
      <c r="I5" s="585"/>
      <c r="J5" s="773"/>
      <c r="O5" s="85"/>
      <c r="P5" s="85"/>
      <c r="Q5" s="583"/>
      <c r="R5" s="583"/>
      <c r="S5" s="583"/>
      <c r="AD5" s="85"/>
      <c r="AE5" s="583"/>
      <c r="AF5" s="583"/>
      <c r="AQ5" s="85"/>
      <c r="AR5" s="85"/>
      <c r="AS5" s="583"/>
      <c r="AT5" s="583"/>
      <c r="AU5" s="583"/>
      <c r="AV5" s="412"/>
      <c r="AW5" s="412"/>
      <c r="AX5" s="412"/>
      <c r="BB5" s="319"/>
      <c r="BC5" s="319"/>
    </row>
    <row r="6" spans="1:58" x14ac:dyDescent="0.3">
      <c r="A6" s="31">
        <v>1</v>
      </c>
      <c r="B6" s="31" t="s">
        <v>478</v>
      </c>
      <c r="C6" s="31" t="s">
        <v>477</v>
      </c>
      <c r="D6" s="32" t="s">
        <v>934</v>
      </c>
      <c r="E6" s="31" t="s">
        <v>628</v>
      </c>
      <c r="F6" s="31" t="s">
        <v>629</v>
      </c>
      <c r="G6" s="31">
        <f>H6-273</f>
        <v>40.149999999999977</v>
      </c>
      <c r="H6" s="31">
        <f>40+273.15</f>
        <v>313.14999999999998</v>
      </c>
      <c r="I6" s="219">
        <f>-LOG10(EXP(LN(10^-14)+13.36*(1/298.15-1/H6)/0.0019872))</f>
        <v>13.530913191237214</v>
      </c>
      <c r="J6" s="129">
        <v>21.12</v>
      </c>
      <c r="O6" s="85"/>
      <c r="P6" s="85"/>
      <c r="Q6" s="653"/>
      <c r="R6" s="208"/>
      <c r="S6" s="208"/>
      <c r="AD6" s="85"/>
      <c r="AE6" s="653"/>
      <c r="AF6" s="208"/>
      <c r="AM6" s="31">
        <v>7.54</v>
      </c>
      <c r="AO6" s="103">
        <v>4.0000000000000003E-5</v>
      </c>
      <c r="AP6" s="40" t="s">
        <v>625</v>
      </c>
      <c r="AQ6" s="262">
        <f>AR6*10^(9-$I6)</f>
        <v>1.1780040948220391E-9</v>
      </c>
      <c r="AR6" s="262">
        <f>AO6</f>
        <v>4.0000000000000003E-5</v>
      </c>
      <c r="AS6" s="653">
        <f>LN(2)/(AT6*60*60*24)</f>
        <v>110611.97110216424</v>
      </c>
      <c r="AT6" s="209">
        <f>AU6*10^(9-14)</f>
        <v>7.252864886230596E-11</v>
      </c>
      <c r="AU6" s="209">
        <f>EXP(LN(AR6)+$J6*(1/$H6-1/298.15)/0.0019872)</f>
        <v>7.2528648862305958E-6</v>
      </c>
      <c r="AV6" s="412">
        <f>AVERAGE(AS6:AS7)</f>
        <v>107637.5358885384</v>
      </c>
      <c r="AW6" s="412">
        <f>MEDIAN(AS6:AS7)</f>
        <v>107637.5358885384</v>
      </c>
      <c r="AX6" s="412">
        <f>STDEV(AS6:AS7)</f>
        <v>4206.4866195097857</v>
      </c>
      <c r="BB6" s="565"/>
    </row>
    <row r="7" spans="1:58" x14ac:dyDescent="0.3">
      <c r="D7" s="32"/>
      <c r="E7" s="31" t="s">
        <v>630</v>
      </c>
      <c r="F7" s="31" t="s">
        <v>629</v>
      </c>
      <c r="G7" s="31">
        <f t="shared" ref="G7:G30" si="0">H7-273</f>
        <v>25.75</v>
      </c>
      <c r="H7" s="31">
        <f>25.6+273.15</f>
        <v>298.75</v>
      </c>
      <c r="I7" s="219">
        <f>-LOG10(EXP(LN(10^-14)+13.36*(1/298.15-1/H7)/0.0019872))</f>
        <v>13.980332112580543</v>
      </c>
      <c r="J7" s="129">
        <v>19.899999999999999</v>
      </c>
      <c r="O7" s="85"/>
      <c r="P7" s="85"/>
      <c r="Q7" s="653"/>
      <c r="R7" s="208"/>
      <c r="S7" s="208"/>
      <c r="AD7" s="85"/>
      <c r="AE7" s="653"/>
      <c r="AF7" s="208"/>
      <c r="AO7" s="175">
        <v>8.1999999999999994E-6</v>
      </c>
      <c r="AP7" s="40" t="s">
        <v>625</v>
      </c>
      <c r="AQ7" s="262">
        <f>AR7*10^(9-$I7)</f>
        <v>8.5798903925133813E-11</v>
      </c>
      <c r="AR7" s="262">
        <f>AO7</f>
        <v>8.1999999999999994E-6</v>
      </c>
      <c r="AS7" s="653">
        <f>LN(2)/(AT7*60*60*24)</f>
        <v>104663.10067491255</v>
      </c>
      <c r="AT7" s="209">
        <f>AU7*10^(9-14)</f>
        <v>7.6651052379526752E-11</v>
      </c>
      <c r="AU7" s="209">
        <f>EXP(LN(AR7)+$J7*(1/$H7-1/298.15)/0.0019872)</f>
        <v>7.665105237952674E-6</v>
      </c>
      <c r="AV7" s="412"/>
      <c r="AW7" s="412"/>
      <c r="AX7" s="412"/>
    </row>
    <row r="8" spans="1:58" x14ac:dyDescent="0.3">
      <c r="D8" s="32"/>
      <c r="G8" s="243"/>
      <c r="I8" s="208"/>
      <c r="J8" s="129"/>
      <c r="O8" s="85"/>
      <c r="P8" s="85"/>
      <c r="Q8" s="653"/>
      <c r="R8" s="208"/>
      <c r="S8" s="208"/>
      <c r="AD8" s="85"/>
      <c r="AE8" s="653"/>
      <c r="AF8" s="208"/>
      <c r="AQ8" s="262"/>
      <c r="AR8" s="85"/>
      <c r="AS8" s="653"/>
      <c r="AT8" s="208"/>
      <c r="AU8" s="208"/>
      <c r="AV8" s="412"/>
      <c r="AW8" s="412"/>
      <c r="AX8" s="412"/>
    </row>
    <row r="9" spans="1:58" s="9" customFormat="1" x14ac:dyDescent="0.3">
      <c r="A9" s="42">
        <v>2</v>
      </c>
      <c r="B9" s="42" t="s">
        <v>483</v>
      </c>
      <c r="C9" s="42" t="s">
        <v>484</v>
      </c>
      <c r="D9" s="43" t="s">
        <v>935</v>
      </c>
      <c r="E9" s="42" t="s">
        <v>628</v>
      </c>
      <c r="F9" s="42" t="s">
        <v>629</v>
      </c>
      <c r="G9" s="31">
        <f t="shared" si="0"/>
        <v>40.149999999999977</v>
      </c>
      <c r="H9" s="42">
        <f>40+273.15</f>
        <v>313.14999999999998</v>
      </c>
      <c r="I9" s="688">
        <f>-LOG10(EXP(LN(10^-14)+13.36*(1/298.15-1/H9)/0.0019872))</f>
        <v>13.530913191237214</v>
      </c>
      <c r="J9" s="478">
        <v>18.62</v>
      </c>
      <c r="K9" s="42"/>
      <c r="L9" s="42"/>
      <c r="M9" s="42"/>
      <c r="N9" s="42"/>
      <c r="O9" s="464"/>
      <c r="P9" s="464"/>
      <c r="Q9" s="749"/>
      <c r="R9" s="216"/>
      <c r="S9" s="216"/>
      <c r="T9" s="470"/>
      <c r="U9" s="470"/>
      <c r="V9" s="470"/>
      <c r="W9" s="44"/>
      <c r="X9" s="44"/>
      <c r="Y9" s="44"/>
      <c r="Z9" s="42"/>
      <c r="AA9" s="42"/>
      <c r="AB9" s="42"/>
      <c r="AC9" s="42"/>
      <c r="AD9" s="464"/>
      <c r="AE9" s="749"/>
      <c r="AF9" s="216"/>
      <c r="AG9" s="470"/>
      <c r="AH9" s="470"/>
      <c r="AI9" s="470"/>
      <c r="AJ9" s="44"/>
      <c r="AK9" s="44"/>
      <c r="AL9" s="44"/>
      <c r="AM9" s="42">
        <v>7.54</v>
      </c>
      <c r="AN9" s="42"/>
      <c r="AO9" s="126">
        <v>2.8899999999999998E-4</v>
      </c>
      <c r="AP9" s="44" t="s">
        <v>625</v>
      </c>
      <c r="AQ9" s="455">
        <f>AR9*10^(9-$I9)</f>
        <v>8.5110795850892322E-9</v>
      </c>
      <c r="AR9" s="455">
        <f>AO9</f>
        <v>2.8899999999999998E-4</v>
      </c>
      <c r="AS9" s="749">
        <f>LN(2)/(AT9*60*60*24)</f>
        <v>12507.947793245154</v>
      </c>
      <c r="AT9" s="217">
        <f>AU9*10^(9-14)</f>
        <v>6.4139513089181019E-10</v>
      </c>
      <c r="AU9" s="217">
        <f>EXP(LN(AR9)+$J9*(1/$H9-1/298.15)/0.0019872)</f>
        <v>6.4139513089181009E-5</v>
      </c>
      <c r="AV9" s="475">
        <f>AVERAGE(AS9:AS11)</f>
        <v>65350.858764591707</v>
      </c>
      <c r="AW9" s="475">
        <f>MEDIAN(AS9:AS11)</f>
        <v>65350.858764591707</v>
      </c>
      <c r="AX9" s="475">
        <f>STDEV(AS9:AS10)</f>
        <v>74731.161370952308</v>
      </c>
      <c r="AY9" s="42"/>
      <c r="AZ9" s="42"/>
      <c r="BA9" s="42"/>
      <c r="BB9" s="187"/>
      <c r="BC9" s="187"/>
      <c r="BD9" s="187"/>
      <c r="BE9" s="42"/>
      <c r="BF9" s="42"/>
    </row>
    <row r="10" spans="1:58" x14ac:dyDescent="0.3">
      <c r="D10" s="32"/>
      <c r="E10" s="131" t="s">
        <v>740</v>
      </c>
      <c r="F10" s="31" t="s">
        <v>629</v>
      </c>
      <c r="G10" s="31">
        <f t="shared" si="0"/>
        <v>25.75</v>
      </c>
      <c r="H10" s="31">
        <f>25.6+273.15</f>
        <v>298.75</v>
      </c>
      <c r="I10" s="219">
        <f>-LOG10(EXP(LN(10^-14)+13.36*(1/298.15-1/H10)/0.0019872))</f>
        <v>13.980332112580543</v>
      </c>
      <c r="J10" s="129">
        <v>17.399999999999999</v>
      </c>
      <c r="O10" s="85"/>
      <c r="P10" s="85"/>
      <c r="Q10" s="653"/>
      <c r="R10" s="208"/>
      <c r="S10" s="208"/>
      <c r="AD10" s="85"/>
      <c r="AE10" s="653"/>
      <c r="AF10" s="208"/>
      <c r="AO10" s="131">
        <f>0.0000072</f>
        <v>7.1999999999999997E-6</v>
      </c>
      <c r="AP10" s="562" t="s">
        <v>625</v>
      </c>
      <c r="AQ10" s="563">
        <f>AR10*10^(9-$I10)</f>
        <v>7.533562295865407E-11</v>
      </c>
      <c r="AR10" s="563">
        <f>AO10</f>
        <v>7.1999999999999997E-6</v>
      </c>
      <c r="AS10" s="682">
        <f>LN(2)/(AT10*60*60*24)</f>
        <v>118193.76973593826</v>
      </c>
      <c r="AT10" s="775">
        <f>AU10*10^(9-14)</f>
        <v>6.7876139579606402E-11</v>
      </c>
      <c r="AU10" s="775">
        <f>EXP(LN(AR10)+$J10*(1/$H10-1/298.15)/0.0019872)</f>
        <v>6.7876139579606393E-6</v>
      </c>
      <c r="AV10" s="566"/>
      <c r="AW10" s="566"/>
      <c r="AX10" s="566"/>
    </row>
    <row r="11" spans="1:58" x14ac:dyDescent="0.3">
      <c r="D11" s="32"/>
      <c r="I11" s="208"/>
      <c r="J11" s="129"/>
      <c r="O11" s="85"/>
      <c r="P11" s="85"/>
      <c r="Q11" s="653"/>
      <c r="R11" s="208"/>
      <c r="S11" s="208"/>
      <c r="AD11" s="85"/>
      <c r="AE11" s="653"/>
      <c r="AF11" s="208"/>
      <c r="AQ11" s="262"/>
      <c r="AR11" s="85"/>
      <c r="AS11" s="653"/>
      <c r="AT11" s="208"/>
      <c r="AU11" s="208"/>
      <c r="AV11" s="412"/>
      <c r="AW11" s="412"/>
      <c r="AX11" s="412"/>
    </row>
    <row r="12" spans="1:58" s="9" customFormat="1" x14ac:dyDescent="0.3">
      <c r="A12" s="42">
        <v>3</v>
      </c>
      <c r="B12" s="42" t="s">
        <v>480</v>
      </c>
      <c r="C12" s="42" t="s">
        <v>479</v>
      </c>
      <c r="D12" s="43" t="s">
        <v>934</v>
      </c>
      <c r="E12" s="42" t="s">
        <v>485</v>
      </c>
      <c r="F12" s="42"/>
      <c r="G12" s="42">
        <f t="shared" si="0"/>
        <v>25.149999999999977</v>
      </c>
      <c r="H12" s="42">
        <f>25+273.15</f>
        <v>298.14999999999998</v>
      </c>
      <c r="I12" s="688">
        <f>-LOG10(EXP(LN(10^-14)+13.36*(1/298.15-1/H12)/0.0019872))</f>
        <v>14</v>
      </c>
      <c r="J12" s="478">
        <v>15.1</v>
      </c>
      <c r="K12" s="44"/>
      <c r="L12" s="42"/>
      <c r="M12" s="42"/>
      <c r="N12" s="42"/>
      <c r="O12" s="464"/>
      <c r="P12" s="464"/>
      <c r="Q12" s="749"/>
      <c r="R12" s="216"/>
      <c r="S12" s="216"/>
      <c r="T12" s="470"/>
      <c r="U12" s="470"/>
      <c r="V12" s="470"/>
      <c r="W12" s="44"/>
      <c r="X12" s="44"/>
      <c r="Y12" s="44"/>
      <c r="Z12" s="42"/>
      <c r="AA12" s="42"/>
      <c r="AB12" s="42"/>
      <c r="AC12" s="42"/>
      <c r="AD12" s="464"/>
      <c r="AE12" s="749"/>
      <c r="AF12" s="216"/>
      <c r="AG12" s="470"/>
      <c r="AH12" s="470"/>
      <c r="AI12" s="470"/>
      <c r="AJ12" s="44"/>
      <c r="AK12" s="44"/>
      <c r="AL12" s="44"/>
      <c r="AM12" s="42"/>
      <c r="AN12" s="42"/>
      <c r="AO12" s="42">
        <v>0.154</v>
      </c>
      <c r="AP12" s="44" t="s">
        <v>631</v>
      </c>
      <c r="AQ12" s="455">
        <f>AR12*10^(9-$I12)</f>
        <v>2.5666666666666668E-8</v>
      </c>
      <c r="AR12" s="455">
        <f>AO12/60</f>
        <v>2.5666666666666667E-3</v>
      </c>
      <c r="AS12" s="749">
        <f>LN(2)/(AT12*60*60*24)</f>
        <v>312.56636930011962</v>
      </c>
      <c r="AT12" s="217">
        <f>AU12*10^(9-14)</f>
        <v>2.5666666666666668E-8</v>
      </c>
      <c r="AU12" s="217">
        <f>EXP(LN(AR12)+$J12*(1/$H12-1/298.15)/0.0019872)</f>
        <v>2.5666666666666667E-3</v>
      </c>
      <c r="AV12" s="475">
        <f>AS12</f>
        <v>312.56636930011962</v>
      </c>
      <c r="AW12" s="475"/>
      <c r="AX12" s="475"/>
      <c r="AY12" s="42"/>
      <c r="AZ12" s="42"/>
      <c r="BA12" s="42"/>
      <c r="BB12" s="187"/>
      <c r="BC12" s="187"/>
      <c r="BD12" s="187"/>
      <c r="BE12" s="42"/>
      <c r="BF12" s="42"/>
    </row>
    <row r="13" spans="1:58" x14ac:dyDescent="0.3">
      <c r="D13" s="32"/>
      <c r="G13" s="243"/>
      <c r="I13" s="208"/>
      <c r="O13" s="85"/>
      <c r="P13" s="85"/>
      <c r="Q13" s="653"/>
      <c r="R13" s="208"/>
      <c r="S13" s="208"/>
      <c r="AD13" s="85"/>
      <c r="AE13" s="653"/>
      <c r="AF13" s="208"/>
      <c r="AQ13" s="262"/>
      <c r="AR13" s="85"/>
      <c r="AS13" s="653"/>
      <c r="AT13" s="208"/>
      <c r="AU13" s="208"/>
      <c r="AV13" s="412"/>
      <c r="AW13" s="412"/>
      <c r="AX13" s="412"/>
    </row>
    <row r="14" spans="1:58" s="9" customFormat="1" x14ac:dyDescent="0.3">
      <c r="A14" s="42">
        <v>4</v>
      </c>
      <c r="B14" s="42" t="s">
        <v>482</v>
      </c>
      <c r="C14" s="42" t="s">
        <v>481</v>
      </c>
      <c r="D14" s="43" t="s">
        <v>934</v>
      </c>
      <c r="E14" s="42" t="s">
        <v>632</v>
      </c>
      <c r="F14" s="42"/>
      <c r="G14" s="31">
        <f t="shared" si="0"/>
        <v>25.149999999999977</v>
      </c>
      <c r="H14" s="42">
        <f>25+273.15</f>
        <v>298.14999999999998</v>
      </c>
      <c r="I14" s="688">
        <f>-LOG10(EXP(LN(10^-14)+13.36*(1/298.15-1/H14)/0.0019872))</f>
        <v>14</v>
      </c>
      <c r="J14" s="93">
        <v>19.97</v>
      </c>
      <c r="K14" s="42"/>
      <c r="L14" s="42"/>
      <c r="M14" s="42"/>
      <c r="N14" s="42"/>
      <c r="O14" s="464"/>
      <c r="P14" s="464"/>
      <c r="Q14" s="749"/>
      <c r="R14" s="216"/>
      <c r="S14" s="216"/>
      <c r="T14" s="470"/>
      <c r="U14" s="470"/>
      <c r="V14" s="470"/>
      <c r="W14" s="44"/>
      <c r="X14" s="44"/>
      <c r="Y14" s="44"/>
      <c r="Z14" s="42"/>
      <c r="AA14" s="42"/>
      <c r="AB14" s="42"/>
      <c r="AC14" s="42"/>
      <c r="AD14" s="464"/>
      <c r="AE14" s="749"/>
      <c r="AF14" s="216"/>
      <c r="AG14" s="470"/>
      <c r="AH14" s="470"/>
      <c r="AI14" s="470"/>
      <c r="AJ14" s="44"/>
      <c r="AK14" s="44"/>
      <c r="AL14" s="44"/>
      <c r="AM14" s="42"/>
      <c r="AN14" s="42"/>
      <c r="AO14" s="42">
        <f>0.0000016</f>
        <v>1.5999999999999999E-6</v>
      </c>
      <c r="AP14" s="44" t="s">
        <v>625</v>
      </c>
      <c r="AQ14" s="455">
        <f>AR14*10^(9-$I14)</f>
        <v>1.6E-11</v>
      </c>
      <c r="AR14" s="455">
        <f>AO14</f>
        <v>1.5999999999999999E-6</v>
      </c>
      <c r="AS14" s="749">
        <f>LN(2)/(AT14*60*60*24)</f>
        <v>501408.55075227533</v>
      </c>
      <c r="AT14" s="217">
        <f>AU14*10^(9-14)</f>
        <v>1.5999999999999996E-11</v>
      </c>
      <c r="AU14" s="217">
        <f>EXP(LN(AR14)+$J14*(1/$H14-1/298.15)/0.0019872)</f>
        <v>1.5999999999999995E-6</v>
      </c>
      <c r="AV14" s="884">
        <f>AVERAGE(AS14:AS17)</f>
        <v>1385922.965043064</v>
      </c>
      <c r="AW14" s="480">
        <f>MEDIAN(AS14:AS17)</f>
        <v>509367.416637232</v>
      </c>
      <c r="AX14" s="480">
        <f>STDEV(AS14:AS17)</f>
        <v>1525136.5171750204</v>
      </c>
      <c r="AY14" s="42"/>
      <c r="AZ14" s="42"/>
      <c r="BA14" s="42"/>
      <c r="BB14" s="187"/>
      <c r="BC14" s="187"/>
      <c r="BD14" s="187"/>
      <c r="BE14" s="42"/>
      <c r="BF14" s="42"/>
    </row>
    <row r="15" spans="1:58" x14ac:dyDescent="0.3">
      <c r="D15" s="32"/>
      <c r="E15" s="31" t="s">
        <v>633</v>
      </c>
      <c r="G15" s="31">
        <f t="shared" si="0"/>
        <v>25.149999999999977</v>
      </c>
      <c r="H15" s="31">
        <f>25+273.15</f>
        <v>298.14999999999998</v>
      </c>
      <c r="I15" s="219">
        <f>-LOG10(EXP(LN(10^-14)+13.36*(1/298.15-1/H15)/0.0019872))</f>
        <v>14</v>
      </c>
      <c r="J15" s="92">
        <v>19.97</v>
      </c>
      <c r="O15" s="85"/>
      <c r="P15" s="85"/>
      <c r="Q15" s="653"/>
      <c r="R15" s="208"/>
      <c r="S15" s="208"/>
      <c r="AD15" s="85"/>
      <c r="AE15" s="653"/>
      <c r="AF15" s="208"/>
      <c r="AO15" s="103">
        <v>5.6699999999999997E-3</v>
      </c>
      <c r="AP15" s="40" t="s">
        <v>634</v>
      </c>
      <c r="AQ15" s="262">
        <f>AR15*10^(9-$I15)</f>
        <v>1.5750000000000001E-11</v>
      </c>
      <c r="AR15" s="262">
        <f>AO15/(60*60)</f>
        <v>1.575E-6</v>
      </c>
      <c r="AS15" s="653">
        <f>LN(2)/(AT15*60*60*24)</f>
        <v>509367.416637232</v>
      </c>
      <c r="AT15" s="209">
        <f>AU15*10^(9-14)</f>
        <v>1.5750000000000001E-11</v>
      </c>
      <c r="AU15" s="209">
        <f>EXP(LN(AR15)+$J15*(1/$H15-1/298.15)/0.0019872)</f>
        <v>1.575E-6</v>
      </c>
      <c r="AV15" s="412"/>
      <c r="AW15" s="412"/>
      <c r="AX15" s="412"/>
    </row>
    <row r="16" spans="1:58" x14ac:dyDescent="0.3">
      <c r="D16" s="32"/>
      <c r="E16" s="31" t="s">
        <v>635</v>
      </c>
      <c r="G16" s="31">
        <f t="shared" si="0"/>
        <v>66.149999999999977</v>
      </c>
      <c r="H16" s="31">
        <f>273.15+66</f>
        <v>339.15</v>
      </c>
      <c r="I16" s="219">
        <f>-LOG10(EXP(LN(10^-14)+13.36*(1/298.15-1/H16)/0.0019872))</f>
        <v>12.816123465383713</v>
      </c>
      <c r="J16" s="129">
        <v>27.7</v>
      </c>
      <c r="O16" s="85"/>
      <c r="P16" s="85"/>
      <c r="Q16" s="653"/>
      <c r="R16" s="208"/>
      <c r="S16" s="208"/>
      <c r="AD16" s="85"/>
      <c r="AE16" s="653"/>
      <c r="AF16" s="208"/>
      <c r="AM16" s="31">
        <v>10.42</v>
      </c>
      <c r="AN16" s="31">
        <f>AVERAGE(0.0012,0.0009)</f>
        <v>1.0499999999999999E-3</v>
      </c>
      <c r="AO16" s="31">
        <f>AN16*10^($I16-AM16)</f>
        <v>0.26140432237494055</v>
      </c>
      <c r="AP16" s="40" t="s">
        <v>634</v>
      </c>
      <c r="AQ16" s="262">
        <f>AR16*10^(9-$I16)</f>
        <v>1.1088857392683028E-8</v>
      </c>
      <c r="AR16" s="262">
        <f>AO16/(60*60)</f>
        <v>7.261231177081682E-5</v>
      </c>
      <c r="AS16" s="768">
        <f>LN(2)/(AT16*60*60*24)</f>
        <v>3146992.9277396849</v>
      </c>
      <c r="AT16" s="209">
        <f>AU16*10^(9-14)</f>
        <v>2.5492706835533178E-12</v>
      </c>
      <c r="AU16" s="209">
        <f>EXP(LN(AR16)+$J16*(1/$H16-1/298.15)/0.0019872)</f>
        <v>2.5492706835533178E-7</v>
      </c>
      <c r="AV16" s="412"/>
      <c r="AW16" s="412"/>
      <c r="AX16" s="412"/>
    </row>
    <row r="17" spans="1:58" ht="15" thickBot="1" x14ac:dyDescent="0.35">
      <c r="D17" s="32"/>
      <c r="I17" s="208"/>
      <c r="O17" s="85"/>
      <c r="P17" s="85"/>
      <c r="Q17" s="653"/>
      <c r="R17" s="208"/>
      <c r="S17" s="208"/>
      <c r="AD17" s="85"/>
      <c r="AE17" s="653"/>
      <c r="AF17" s="208"/>
      <c r="AQ17" s="85"/>
      <c r="AR17" s="85"/>
      <c r="AS17" s="653"/>
      <c r="AT17" s="208"/>
      <c r="AU17" s="208"/>
      <c r="AV17" s="412"/>
      <c r="AW17" s="412"/>
      <c r="AX17" s="412"/>
    </row>
    <row r="18" spans="1:58" s="8" customFormat="1" x14ac:dyDescent="0.3">
      <c r="A18" s="37">
        <v>5</v>
      </c>
      <c r="B18" s="37" t="s">
        <v>488</v>
      </c>
      <c r="C18" s="37" t="s">
        <v>489</v>
      </c>
      <c r="D18" s="38" t="s">
        <v>935</v>
      </c>
      <c r="E18" s="37" t="s">
        <v>487</v>
      </c>
      <c r="F18" s="37" t="s">
        <v>496</v>
      </c>
      <c r="G18" s="37">
        <f t="shared" si="0"/>
        <v>20</v>
      </c>
      <c r="H18" s="37">
        <v>293</v>
      </c>
      <c r="I18" s="218">
        <f>-LOG10(EXP(LN(10^-14)+13.36*(1/298.15-1/H18)/0.0019872))</f>
        <v>14.172128976324219</v>
      </c>
      <c r="J18" s="96">
        <v>19.97</v>
      </c>
      <c r="K18" s="37">
        <v>5.4</v>
      </c>
      <c r="L18" s="469"/>
      <c r="M18" s="122">
        <v>1.9999999999999999E-6</v>
      </c>
      <c r="N18" s="122" t="s">
        <v>600</v>
      </c>
      <c r="O18" s="260">
        <f>M18*10^(K18-5)</f>
        <v>5.0237728630191645E-6</v>
      </c>
      <c r="P18" s="839">
        <f>M18*10^K18</f>
        <v>0.5023772863019168</v>
      </c>
      <c r="Q18" s="654">
        <f>(LN(2)/R18)/(60*60*24)</f>
        <v>0.88305983496769591</v>
      </c>
      <c r="R18" s="215">
        <f>S18*10^-5</f>
        <v>9.0849300289259384E-6</v>
      </c>
      <c r="S18" s="215">
        <f>EXP(LN(P18)+$J18*(1/$H18-1/298.15)/0.0019872)</f>
        <v>0.90849300289259383</v>
      </c>
      <c r="T18" s="345">
        <f>Q18</f>
        <v>0.88305983496769591</v>
      </c>
      <c r="U18" s="345"/>
      <c r="V18" s="345"/>
      <c r="W18" s="121"/>
      <c r="X18" s="121"/>
      <c r="Y18" s="121"/>
      <c r="Z18" s="37">
        <v>7.2</v>
      </c>
      <c r="AA18" s="469"/>
      <c r="AB18" s="122">
        <v>1.4999999999999999E-4</v>
      </c>
      <c r="AC18" s="122" t="s">
        <v>600</v>
      </c>
      <c r="AD18" s="260">
        <f>AB18</f>
        <v>1.4999999999999999E-4</v>
      </c>
      <c r="AE18" s="654">
        <f>(LN(2)/AF18)/(60*60*24)</f>
        <v>2.9575280235552621E-2</v>
      </c>
      <c r="AF18" s="215">
        <f>EXP(LN(AD18)+$J18*(1/$H18-1/298.15)/0.0019872)</f>
        <v>2.7125818413691527E-4</v>
      </c>
      <c r="AG18" s="345">
        <f>AE18</f>
        <v>2.9575280235552621E-2</v>
      </c>
      <c r="AH18" s="345"/>
      <c r="AI18" s="345"/>
      <c r="AJ18" s="121"/>
      <c r="AK18" s="121"/>
      <c r="AL18" s="121"/>
      <c r="AM18" s="37">
        <v>8.6999999999999993</v>
      </c>
      <c r="AN18" s="469"/>
      <c r="AO18" s="122">
        <v>3.8999999999999999E-4</v>
      </c>
      <c r="AP18" s="122" t="s">
        <v>600</v>
      </c>
      <c r="AQ18" s="260">
        <f>AO18*10^(9-AM18)</f>
        <v>7.7815230283786443E-4</v>
      </c>
      <c r="AR18" s="260">
        <f>AQ18*10^($I18-9)</f>
        <v>115.66276850030147</v>
      </c>
      <c r="AS18" s="654">
        <f>(LN(2)/AT18)/(60*60*24)</f>
        <v>3.835540245884163E-3</v>
      </c>
      <c r="AT18" s="215">
        <f>AU18*10^(9-14)</f>
        <v>2.0916315037093455E-3</v>
      </c>
      <c r="AU18" s="215">
        <f>EXP(LN(AR18)+$J18*(1/$H18-1/298.15)/0.0019872)</f>
        <v>209.16315037093452</v>
      </c>
      <c r="AV18" s="458">
        <f>AS18</f>
        <v>3.835540245884163E-3</v>
      </c>
      <c r="AW18" s="410"/>
      <c r="AX18" s="410"/>
      <c r="AY18" s="37"/>
      <c r="AZ18" s="37"/>
      <c r="BA18" s="37"/>
      <c r="BB18" s="186"/>
      <c r="BC18" s="567"/>
      <c r="BD18" s="186"/>
      <c r="BE18" s="37"/>
      <c r="BF18" s="37"/>
    </row>
    <row r="19" spans="1:58" ht="15" thickBot="1" x14ac:dyDescent="0.35">
      <c r="D19" s="32"/>
      <c r="G19" s="60"/>
      <c r="I19" s="219"/>
      <c r="J19" s="92"/>
      <c r="O19" s="85"/>
      <c r="P19" s="840"/>
      <c r="Q19" s="653"/>
      <c r="R19" s="208"/>
      <c r="S19" s="208"/>
      <c r="AD19" s="85"/>
      <c r="AE19" s="653"/>
      <c r="AF19" s="208"/>
      <c r="AQ19" s="85"/>
      <c r="AR19" s="85"/>
      <c r="AS19" s="653"/>
      <c r="AT19" s="208"/>
      <c r="AU19" s="208"/>
      <c r="AV19" s="412"/>
      <c r="AW19" s="412"/>
      <c r="AX19" s="412"/>
      <c r="BC19" s="565"/>
    </row>
    <row r="20" spans="1:58" s="8" customFormat="1" x14ac:dyDescent="0.3">
      <c r="A20" s="37">
        <v>6</v>
      </c>
      <c r="B20" s="37" t="s">
        <v>490</v>
      </c>
      <c r="C20" s="37" t="s">
        <v>491</v>
      </c>
      <c r="D20" s="38" t="s">
        <v>936</v>
      </c>
      <c r="E20" s="37" t="s">
        <v>487</v>
      </c>
      <c r="F20" s="37" t="s">
        <v>486</v>
      </c>
      <c r="G20" s="31">
        <f t="shared" si="0"/>
        <v>20</v>
      </c>
      <c r="H20" s="37">
        <v>293</v>
      </c>
      <c r="I20" s="218">
        <f>-LOG10(EXP(LN(10^-14)+13.36*(1/298.15-1/H20)/0.0019872))</f>
        <v>14.172128976324219</v>
      </c>
      <c r="J20" s="96">
        <v>19.97</v>
      </c>
      <c r="K20" s="37">
        <v>5.4</v>
      </c>
      <c r="L20" s="469"/>
      <c r="M20" s="122">
        <v>1.3E-6</v>
      </c>
      <c r="N20" s="122" t="s">
        <v>600</v>
      </c>
      <c r="O20" s="260">
        <f>M20*10^(K20-5)</f>
        <v>3.2654523609624572E-6</v>
      </c>
      <c r="P20" s="839">
        <f>M20*10^K20</f>
        <v>0.32654523609624597</v>
      </c>
      <c r="Q20" s="654">
        <f>(LN(2)/R20)/(60*60*24)</f>
        <v>1.3585535922579934</v>
      </c>
      <c r="R20" s="215">
        <f>S20*10^-5</f>
        <v>5.905204518801861E-6</v>
      </c>
      <c r="S20" s="215">
        <f>EXP(LN(P20)+$J20*(1/$H20-1/298.15)/0.0019872)</f>
        <v>0.59052045188018609</v>
      </c>
      <c r="T20" s="345">
        <f>Q20</f>
        <v>1.3585535922579934</v>
      </c>
      <c r="U20" s="345"/>
      <c r="V20" s="345"/>
      <c r="W20" s="121"/>
      <c r="X20" s="121"/>
      <c r="Y20" s="121"/>
      <c r="Z20" s="37">
        <v>7.2</v>
      </c>
      <c r="AA20" s="469"/>
      <c r="AB20" s="122">
        <v>1.2E-5</v>
      </c>
      <c r="AC20" s="122" t="s">
        <v>600</v>
      </c>
      <c r="AD20" s="260">
        <f>AB20</f>
        <v>1.2E-5</v>
      </c>
      <c r="AE20" s="654">
        <f>(LN(2)/AF20)/(60*60*24)</f>
        <v>0.36969100294440788</v>
      </c>
      <c r="AF20" s="215">
        <f>EXP(LN(AD20)+$J20*(1/$H20-1/298.15)/0.0019872)</f>
        <v>2.1700654730953216E-5</v>
      </c>
      <c r="AG20" s="345">
        <f>AE20</f>
        <v>0.36969100294440788</v>
      </c>
      <c r="AH20" s="345"/>
      <c r="AI20" s="345"/>
      <c r="AJ20" s="121"/>
      <c r="AK20" s="121"/>
      <c r="AL20" s="121"/>
      <c r="AM20" s="37">
        <v>8.6999999999999993</v>
      </c>
      <c r="AN20" s="469"/>
      <c r="AO20" s="122">
        <v>2.2000000000000001E-4</v>
      </c>
      <c r="AP20" s="122" t="s">
        <v>600</v>
      </c>
      <c r="AQ20" s="260">
        <f>AO20*10^(9-AM20)</f>
        <v>4.3895770929315429E-4</v>
      </c>
      <c r="AR20" s="260">
        <f>AQ20*10^($I20-9)</f>
        <v>65.245664282221341</v>
      </c>
      <c r="AS20" s="654">
        <f>(LN(2)/AT20)/(60*60*24)</f>
        <v>6.799366799521929E-3</v>
      </c>
      <c r="AT20" s="215">
        <f>AU20*10^(9-14)</f>
        <v>1.1798946944001428E-3</v>
      </c>
      <c r="AU20" s="215">
        <f>EXP(LN(AR20)+$J20*(1/$H20-1/298.15)/0.0019872)</f>
        <v>117.98946944001428</v>
      </c>
      <c r="AV20" s="458">
        <f>AS20</f>
        <v>6.799366799521929E-3</v>
      </c>
      <c r="AW20" s="410"/>
      <c r="AX20" s="410"/>
      <c r="AY20" s="37"/>
      <c r="AZ20" s="37"/>
      <c r="BA20" s="37"/>
      <c r="BB20" s="186"/>
      <c r="BC20" s="567"/>
      <c r="BD20" s="186"/>
      <c r="BE20" s="37"/>
      <c r="BF20" s="37"/>
    </row>
    <row r="21" spans="1:58" ht="15" thickBot="1" x14ac:dyDescent="0.35">
      <c r="D21" s="32"/>
      <c r="G21" s="60"/>
      <c r="I21" s="208"/>
      <c r="J21" s="92"/>
      <c r="O21" s="85"/>
      <c r="P21" s="840"/>
      <c r="Q21" s="653"/>
      <c r="R21" s="208"/>
      <c r="S21" s="208"/>
      <c r="AD21" s="85"/>
      <c r="AE21" s="653"/>
      <c r="AF21" s="208"/>
      <c r="AQ21" s="85"/>
      <c r="AR21" s="85"/>
      <c r="AS21" s="653"/>
      <c r="AT21" s="208"/>
      <c r="AU21" s="208"/>
      <c r="AV21" s="412"/>
      <c r="AW21" s="412"/>
      <c r="AX21" s="412"/>
      <c r="BC21" s="565"/>
    </row>
    <row r="22" spans="1:58" s="8" customFormat="1" x14ac:dyDescent="0.3">
      <c r="A22" s="37">
        <v>7</v>
      </c>
      <c r="B22" s="37" t="s">
        <v>492</v>
      </c>
      <c r="C22" s="37" t="s">
        <v>493</v>
      </c>
      <c r="D22" s="38" t="s">
        <v>936</v>
      </c>
      <c r="E22" s="37" t="s">
        <v>487</v>
      </c>
      <c r="F22" s="37" t="s">
        <v>486</v>
      </c>
      <c r="G22" s="31">
        <f t="shared" si="0"/>
        <v>20</v>
      </c>
      <c r="H22" s="37">
        <v>293</v>
      </c>
      <c r="I22" s="218">
        <f>-LOG10(EXP(LN(10^-14)+13.36*(1/298.15-1/H22)/0.0019872))</f>
        <v>14.172128976324219</v>
      </c>
      <c r="J22" s="96">
        <v>19.97</v>
      </c>
      <c r="K22" s="37">
        <v>5.4</v>
      </c>
      <c r="L22" s="469"/>
      <c r="M22" s="122">
        <v>9.9999999999999995E-7</v>
      </c>
      <c r="N22" s="122" t="s">
        <v>600</v>
      </c>
      <c r="O22" s="260">
        <f>M22*10^(K22-5)</f>
        <v>2.5118864315095823E-6</v>
      </c>
      <c r="P22" s="839">
        <f>M22*10^K22</f>
        <v>0.2511886431509584</v>
      </c>
      <c r="Q22" s="654">
        <f>(LN(2)/R22)/(60*60*24)</f>
        <v>1.7661196699353918</v>
      </c>
      <c r="R22" s="215">
        <f>S22*10^-5</f>
        <v>4.5424650144629692E-6</v>
      </c>
      <c r="S22" s="215">
        <f>EXP(LN(P22)+$J22*(1/$H22-1/298.15)/0.0019872)</f>
        <v>0.45424650144629691</v>
      </c>
      <c r="T22" s="345">
        <f>Q22</f>
        <v>1.7661196699353918</v>
      </c>
      <c r="U22" s="345"/>
      <c r="V22" s="345"/>
      <c r="W22" s="121"/>
      <c r="X22" s="121"/>
      <c r="Y22" s="121"/>
      <c r="Z22" s="37">
        <v>7.2</v>
      </c>
      <c r="AA22" s="469"/>
      <c r="AB22" s="122">
        <v>9.0000000000000002E-6</v>
      </c>
      <c r="AC22" s="122" t="s">
        <v>600</v>
      </c>
      <c r="AD22" s="260">
        <f>AB22</f>
        <v>9.0000000000000002E-6</v>
      </c>
      <c r="AE22" s="654">
        <f>(LN(2)/AF22)/(60*60*24)</f>
        <v>0.49292133725921083</v>
      </c>
      <c r="AF22" s="215">
        <f>EXP(LN(AD22)+$J22*(1/$H22-1/298.15)/0.0019872)</f>
        <v>1.62754910482149E-5</v>
      </c>
      <c r="AG22" s="345">
        <f>AE22</f>
        <v>0.49292133725921083</v>
      </c>
      <c r="AH22" s="345"/>
      <c r="AI22" s="345"/>
      <c r="AJ22" s="121"/>
      <c r="AK22" s="121"/>
      <c r="AL22" s="121"/>
      <c r="AM22" s="37">
        <v>8.6999999999999993</v>
      </c>
      <c r="AN22" s="469"/>
      <c r="AO22" s="122">
        <v>8.0000000000000007E-5</v>
      </c>
      <c r="AP22" s="122" t="s">
        <v>600</v>
      </c>
      <c r="AQ22" s="260">
        <f>AO22*10^(9-AM22)</f>
        <v>1.5962098519751067E-4</v>
      </c>
      <c r="AR22" s="260">
        <f>AQ22*10^($I22-9)</f>
        <v>23.725696102625946</v>
      </c>
      <c r="AS22" s="654">
        <f>(LN(2)/AT22)/(60*60*24)</f>
        <v>1.8698258698685303E-2</v>
      </c>
      <c r="AT22" s="215">
        <f>AU22*10^(9-14)</f>
        <v>4.2905261614550655E-4</v>
      </c>
      <c r="AU22" s="215">
        <f>EXP(LN(AR22)+$J22*(1/$H22-1/298.15)/0.0019872)</f>
        <v>42.905261614550653</v>
      </c>
      <c r="AV22" s="458">
        <f>AS22</f>
        <v>1.8698258698685303E-2</v>
      </c>
      <c r="AW22" s="410"/>
      <c r="AX22" s="410"/>
      <c r="AY22" s="37"/>
      <c r="AZ22" s="37"/>
      <c r="BA22" s="37"/>
      <c r="BB22" s="186"/>
      <c r="BC22" s="567"/>
      <c r="BD22" s="186"/>
      <c r="BE22" s="37"/>
      <c r="BF22" s="37"/>
    </row>
    <row r="23" spans="1:58" ht="15" thickBot="1" x14ac:dyDescent="0.35">
      <c r="D23" s="32"/>
      <c r="G23" s="60"/>
      <c r="I23" s="208"/>
      <c r="J23" s="92"/>
      <c r="O23" s="85"/>
      <c r="P23" s="563"/>
      <c r="Q23" s="653"/>
      <c r="R23" s="208"/>
      <c r="S23" s="208"/>
      <c r="AD23" s="85"/>
      <c r="AE23" s="653"/>
      <c r="AF23" s="208"/>
      <c r="AQ23" s="85"/>
      <c r="AR23" s="85"/>
      <c r="AS23" s="653"/>
      <c r="AT23" s="208"/>
      <c r="AU23" s="208"/>
      <c r="AV23" s="412"/>
      <c r="AW23" s="412"/>
      <c r="AX23" s="412"/>
      <c r="BC23" s="565"/>
    </row>
    <row r="24" spans="1:58" s="8" customFormat="1" x14ac:dyDescent="0.3">
      <c r="A24" s="37">
        <v>8</v>
      </c>
      <c r="B24" s="37" t="s">
        <v>494</v>
      </c>
      <c r="C24" s="37" t="s">
        <v>495</v>
      </c>
      <c r="D24" s="38" t="s">
        <v>937</v>
      </c>
      <c r="E24" s="37" t="s">
        <v>487</v>
      </c>
      <c r="F24" s="37" t="s">
        <v>486</v>
      </c>
      <c r="G24" s="31">
        <f t="shared" si="0"/>
        <v>20</v>
      </c>
      <c r="H24" s="37">
        <v>293</v>
      </c>
      <c r="I24" s="218">
        <f>-LOG10(EXP(LN(10^-14)+13.36*(1/298.15-1/H24)/0.0019872))</f>
        <v>14.172128976324219</v>
      </c>
      <c r="J24" s="96">
        <v>19.97</v>
      </c>
      <c r="K24" s="37">
        <v>5.4</v>
      </c>
      <c r="L24" s="469"/>
      <c r="M24" s="122">
        <v>6.9999999999999997E-7</v>
      </c>
      <c r="N24" s="122" t="s">
        <v>600</v>
      </c>
      <c r="O24" s="260">
        <f>M24*10^(K24-5)</f>
        <v>1.7583205020567076E-6</v>
      </c>
      <c r="P24" s="839">
        <f>M24*10^K24</f>
        <v>0.17583205020567089</v>
      </c>
      <c r="Q24" s="654">
        <f>(LN(2)/R24)/(60*60*24)</f>
        <v>2.5230280999077022</v>
      </c>
      <c r="R24" s="215">
        <f>S24*10^-5</f>
        <v>3.1797255101240791E-6</v>
      </c>
      <c r="S24" s="215">
        <f>EXP(LN(P24)+$J24*(1/$H24-1/298.15)/0.0019872)</f>
        <v>0.3179725510124079</v>
      </c>
      <c r="T24" s="345">
        <f>Q24</f>
        <v>2.5230280999077022</v>
      </c>
      <c r="U24" s="345"/>
      <c r="V24" s="345"/>
      <c r="W24" s="121"/>
      <c r="X24" s="121"/>
      <c r="Y24" s="121"/>
      <c r="Z24" s="37">
        <v>7.2</v>
      </c>
      <c r="AA24" s="469"/>
      <c r="AB24" s="122">
        <v>1.5999999999999999E-5</v>
      </c>
      <c r="AC24" s="122" t="s">
        <v>600</v>
      </c>
      <c r="AD24" s="260">
        <f>AB24</f>
        <v>1.5999999999999999E-5</v>
      </c>
      <c r="AE24" s="654">
        <f>(LN(2)/AF24)/(60*60*24)</f>
        <v>0.2772682522083057</v>
      </c>
      <c r="AF24" s="215">
        <f>EXP(LN(AD24)+$J24*(1/$H24-1/298.15)/0.0019872)</f>
        <v>2.8934206307937643E-5</v>
      </c>
      <c r="AG24" s="345">
        <f>AE24</f>
        <v>0.2772682522083057</v>
      </c>
      <c r="AH24" s="345"/>
      <c r="AI24" s="345"/>
      <c r="AJ24" s="121"/>
      <c r="AK24" s="121"/>
      <c r="AL24" s="121"/>
      <c r="AM24" s="37">
        <v>8.6999999999999993</v>
      </c>
      <c r="AN24" s="469"/>
      <c r="AO24" s="122">
        <v>4.0000000000000003E-5</v>
      </c>
      <c r="AP24" s="122" t="s">
        <v>600</v>
      </c>
      <c r="AQ24" s="260">
        <f>AO24*10^(9-AM24)</f>
        <v>7.9810492598755335E-5</v>
      </c>
      <c r="AR24" s="260">
        <f>AQ24*10^($I24-9)</f>
        <v>11.862848051312973</v>
      </c>
      <c r="AS24" s="654">
        <f>(LN(2)/AT24)/(60*60*24)</f>
        <v>3.7396517397370613E-2</v>
      </c>
      <c r="AT24" s="215">
        <f>AU24*10^(9-14)</f>
        <v>2.1452630807275325E-4</v>
      </c>
      <c r="AU24" s="215">
        <f>EXP(LN(AR24)+$J24*(1/$H24-1/298.15)/0.0019872)</f>
        <v>21.452630807275323</v>
      </c>
      <c r="AV24" s="458">
        <f>AS24</f>
        <v>3.7396517397370613E-2</v>
      </c>
      <c r="AW24" s="410"/>
      <c r="AX24" s="410"/>
      <c r="AY24" s="37"/>
      <c r="AZ24" s="37"/>
      <c r="BA24" s="37"/>
      <c r="BB24" s="186"/>
      <c r="BC24" s="567"/>
      <c r="BD24" s="186"/>
      <c r="BE24" s="37"/>
      <c r="BF24" s="37"/>
    </row>
    <row r="25" spans="1:58" ht="15" thickBot="1" x14ac:dyDescent="0.35">
      <c r="D25" s="32"/>
      <c r="G25" s="60"/>
      <c r="I25" s="208"/>
      <c r="J25" s="92"/>
      <c r="O25" s="85"/>
      <c r="P25" s="262"/>
      <c r="Q25" s="653"/>
      <c r="R25" s="208"/>
      <c r="S25" s="208"/>
      <c r="AD25" s="85"/>
      <c r="AE25" s="653"/>
      <c r="AF25" s="208"/>
      <c r="AQ25" s="85"/>
      <c r="AR25" s="85"/>
      <c r="AS25" s="653"/>
      <c r="AT25" s="208"/>
      <c r="AU25" s="208"/>
      <c r="AV25" s="412"/>
      <c r="AW25" s="412"/>
      <c r="AX25" s="412"/>
    </row>
    <row r="26" spans="1:58" s="8" customFormat="1" x14ac:dyDescent="0.3">
      <c r="A26" s="37">
        <v>9</v>
      </c>
      <c r="B26" s="37" t="s">
        <v>636</v>
      </c>
      <c r="C26" s="37" t="s">
        <v>637</v>
      </c>
      <c r="D26" s="38" t="s">
        <v>935</v>
      </c>
      <c r="E26" s="37" t="s">
        <v>638</v>
      </c>
      <c r="F26" s="37" t="s">
        <v>639</v>
      </c>
      <c r="G26" s="31">
        <f t="shared" si="0"/>
        <v>20.149999999999977</v>
      </c>
      <c r="H26" s="37">
        <f>20+273.15</f>
        <v>293.14999999999998</v>
      </c>
      <c r="I26" s="218">
        <f>-LOG10(EXP(LN(10^-14)+13.36*(1/298.15-1/H26)/0.0019872))</f>
        <v>14.167030000755094</v>
      </c>
      <c r="J26" s="96">
        <v>19.97</v>
      </c>
      <c r="K26" s="37"/>
      <c r="L26" s="37"/>
      <c r="M26" s="37"/>
      <c r="N26" s="37"/>
      <c r="O26" s="465"/>
      <c r="P26" s="465"/>
      <c r="Q26" s="654"/>
      <c r="R26" s="214"/>
      <c r="S26" s="214"/>
      <c r="T26" s="472"/>
      <c r="U26" s="472"/>
      <c r="V26" s="472"/>
      <c r="W26" s="39"/>
      <c r="X26" s="39"/>
      <c r="Y26" s="39"/>
      <c r="Z26" s="37"/>
      <c r="AA26" s="37"/>
      <c r="AB26" s="122">
        <v>1.7800000000000001E-7</v>
      </c>
      <c r="AC26" s="122" t="s">
        <v>600</v>
      </c>
      <c r="AD26" s="260">
        <f>AB26</f>
        <v>1.7800000000000001E-7</v>
      </c>
      <c r="AE26" s="767">
        <f>(LN(2)/AF26)/(60*60*24)</f>
        <v>25.364241076056011</v>
      </c>
      <c r="AF26" s="215">
        <f>EXP(LN(AD26)+$J26*(1/$H26-1/298.15)/0.0019872)</f>
        <v>3.1629319355467431E-7</v>
      </c>
      <c r="AG26" s="883">
        <f>AE26</f>
        <v>25.364241076056011</v>
      </c>
      <c r="AH26" s="345"/>
      <c r="AI26" s="345"/>
      <c r="AJ26" s="121"/>
      <c r="AK26" s="121"/>
      <c r="AL26" s="121"/>
      <c r="AM26" s="37"/>
      <c r="AN26" s="37"/>
      <c r="AO26" s="37">
        <v>3.42</v>
      </c>
      <c r="AP26" s="39" t="s">
        <v>625</v>
      </c>
      <c r="AQ26" s="260">
        <f>AR26*10^(9-$I26)</f>
        <v>2.3280703797254505E-5</v>
      </c>
      <c r="AR26" s="260">
        <f>AO26</f>
        <v>3.42</v>
      </c>
      <c r="AS26" s="654">
        <f>LN(2)/(AT26*60*60*24)</f>
        <v>0.13201271671163667</v>
      </c>
      <c r="AT26" s="215">
        <f>AU26*10^(9-14)</f>
        <v>6.0770939435785683E-5</v>
      </c>
      <c r="AU26" s="215">
        <f>EXP(LN(AR26)+$J26*(1/$H26-1/298.15)/0.0019872)</f>
        <v>6.0770939435785678</v>
      </c>
      <c r="AV26" s="458">
        <f>AS26</f>
        <v>0.13201271671163667</v>
      </c>
      <c r="AW26" s="410"/>
      <c r="AX26" s="410"/>
      <c r="AY26" s="37"/>
      <c r="AZ26" s="37"/>
      <c r="BA26" s="37"/>
      <c r="BB26" s="186"/>
      <c r="BC26" s="186"/>
      <c r="BD26" s="186"/>
      <c r="BE26" s="37"/>
      <c r="BF26" s="37"/>
    </row>
    <row r="27" spans="1:58" ht="15" thickBot="1" x14ac:dyDescent="0.35">
      <c r="D27" s="32"/>
      <c r="E27" s="561" t="s">
        <v>640</v>
      </c>
      <c r="G27" s="60"/>
      <c r="I27" s="208"/>
      <c r="J27" s="92"/>
      <c r="O27" s="85"/>
      <c r="P27" s="85"/>
      <c r="Q27" s="653"/>
      <c r="R27" s="208"/>
      <c r="S27" s="208"/>
      <c r="AD27" s="85"/>
      <c r="AE27" s="653"/>
      <c r="AF27" s="208"/>
      <c r="AQ27" s="85"/>
      <c r="AR27" s="85"/>
      <c r="AS27" s="653"/>
      <c r="AT27" s="208"/>
      <c r="AU27" s="208"/>
      <c r="AV27" s="412"/>
      <c r="AW27" s="412"/>
      <c r="AX27" s="412"/>
    </row>
    <row r="28" spans="1:58" s="8" customFormat="1" ht="15" thickBot="1" x14ac:dyDescent="0.35">
      <c r="A28" s="37">
        <v>10</v>
      </c>
      <c r="B28" s="37" t="s">
        <v>641</v>
      </c>
      <c r="C28" s="37" t="s">
        <v>642</v>
      </c>
      <c r="D28" s="38" t="s">
        <v>938</v>
      </c>
      <c r="E28" s="37" t="s">
        <v>643</v>
      </c>
      <c r="F28" s="37"/>
      <c r="G28" s="31">
        <f t="shared" si="0"/>
        <v>25.149999999999977</v>
      </c>
      <c r="H28" s="37">
        <f>25+273.15</f>
        <v>298.14999999999998</v>
      </c>
      <c r="I28" s="218">
        <f>-LOG10(EXP(LN(10^-14)+13.36*(1/298.15-1/H28)/0.0019872))</f>
        <v>14</v>
      </c>
      <c r="J28" s="96">
        <v>19.97</v>
      </c>
      <c r="K28" s="37"/>
      <c r="L28" s="37"/>
      <c r="M28" s="37"/>
      <c r="N28" s="37"/>
      <c r="O28" s="465"/>
      <c r="P28" s="465"/>
      <c r="Q28" s="654"/>
      <c r="R28" s="215"/>
      <c r="S28" s="215"/>
      <c r="T28" s="345"/>
      <c r="U28" s="345"/>
      <c r="V28" s="345"/>
      <c r="W28" s="121"/>
      <c r="X28" s="121"/>
      <c r="Y28" s="121"/>
      <c r="Z28" s="37"/>
      <c r="AA28" s="37"/>
      <c r="AB28" s="37"/>
      <c r="AC28" s="37"/>
      <c r="AD28" s="465"/>
      <c r="AE28" s="654"/>
      <c r="AF28" s="215"/>
      <c r="AG28" s="345"/>
      <c r="AH28" s="345"/>
      <c r="AI28" s="345"/>
      <c r="AJ28" s="121"/>
      <c r="AK28" s="121"/>
      <c r="AL28" s="121"/>
      <c r="AM28" s="37">
        <v>9</v>
      </c>
      <c r="AN28" s="37">
        <v>204</v>
      </c>
      <c r="AO28" s="37"/>
      <c r="AP28" s="37" t="s">
        <v>605</v>
      </c>
      <c r="AQ28" s="260">
        <f>LN(2)/(AN28*24*60*60)</f>
        <v>3.9326160843315706E-8</v>
      </c>
      <c r="AR28" s="260">
        <f>AQ28*10^($I28-AM28)</f>
        <v>3.9326160843315703E-3</v>
      </c>
      <c r="AS28" s="654">
        <f>LN(2)/(AT28*60*60*24)</f>
        <v>204.00000000000011</v>
      </c>
      <c r="AT28" s="215">
        <f>AU28*10^(9-14)</f>
        <v>3.9326160843315686E-8</v>
      </c>
      <c r="AU28" s="215">
        <f>EXP(LN(AR28)+$J28*(1/$H28-1/298.15)/0.0019872)</f>
        <v>3.9326160843315685E-3</v>
      </c>
      <c r="AV28" s="410">
        <f>AVERAGE(AS28:AS30)</f>
        <v>385.27397339077305</v>
      </c>
      <c r="AW28" s="410"/>
      <c r="AX28" s="410"/>
      <c r="AY28" s="39" t="s">
        <v>1024</v>
      </c>
      <c r="AZ28" s="39" t="s">
        <v>1023</v>
      </c>
      <c r="BA28" s="39" t="s">
        <v>1025</v>
      </c>
      <c r="BB28" s="39"/>
      <c r="BC28" s="186"/>
      <c r="BD28" s="186"/>
      <c r="BE28" s="37"/>
      <c r="BF28" s="37"/>
    </row>
    <row r="29" spans="1:58" ht="15" thickBot="1" x14ac:dyDescent="0.35">
      <c r="D29" s="32"/>
      <c r="G29" s="31">
        <f t="shared" si="0"/>
        <v>40.149999999999977</v>
      </c>
      <c r="H29" s="31">
        <f>273.15+40</f>
        <v>313.14999999999998</v>
      </c>
      <c r="I29" s="690">
        <f t="shared" ref="I29:I30" si="1">-LOG10(EXP(LN(10^-14)+13.36*(1/298.15-1/H29)/0.0019872))</f>
        <v>13.530913191237214</v>
      </c>
      <c r="J29" s="110">
        <v>19.97</v>
      </c>
      <c r="O29" s="85"/>
      <c r="P29" s="85"/>
      <c r="Q29" s="653"/>
      <c r="R29" s="209"/>
      <c r="S29" s="209"/>
      <c r="T29" s="253"/>
      <c r="U29" s="253"/>
      <c r="V29" s="253"/>
      <c r="W29" s="119"/>
      <c r="X29" s="119"/>
      <c r="Y29" s="119"/>
      <c r="AD29" s="85"/>
      <c r="AE29" s="653"/>
      <c r="AF29" s="209"/>
      <c r="AG29" s="253"/>
      <c r="AH29" s="253"/>
      <c r="AI29" s="253"/>
      <c r="AJ29" s="119"/>
      <c r="AK29" s="119"/>
      <c r="AL29" s="119"/>
      <c r="AM29" s="31">
        <v>9</v>
      </c>
      <c r="AN29" s="31">
        <v>17.100000000000001</v>
      </c>
      <c r="AP29" s="37" t="s">
        <v>605</v>
      </c>
      <c r="AQ29" s="260">
        <f t="shared" ref="AQ29" si="2">LN(2)/(AN29*24*60*60)</f>
        <v>4.6915419953429253E-7</v>
      </c>
      <c r="AR29" s="260">
        <f t="shared" ref="AR29" si="3">AQ29*10^($I29-AM29)</f>
        <v>1.5930477715535192E-2</v>
      </c>
      <c r="AS29" s="654">
        <f t="shared" ref="AS29" si="4">LN(2)/(AT29*60*60*24)</f>
        <v>253.07855268418373</v>
      </c>
      <c r="AT29" s="215">
        <f t="shared" ref="AT29:AT30" si="5">AU29*10^(9-14)</f>
        <v>3.1699789361636318E-8</v>
      </c>
      <c r="AU29" s="215">
        <f>EXP(LN(AR29)+$J29*(1/$H29-1/298.15)/0.0019872)</f>
        <v>3.1699789361636314E-3</v>
      </c>
      <c r="AV29" s="412"/>
      <c r="AW29" s="412"/>
      <c r="AX29" s="412"/>
    </row>
    <row r="30" spans="1:58" ht="15" thickBot="1" x14ac:dyDescent="0.35">
      <c r="D30" s="32"/>
      <c r="G30" s="31">
        <f t="shared" si="0"/>
        <v>50.149999999999977</v>
      </c>
      <c r="H30" s="31">
        <f>50+273.15</f>
        <v>323.14999999999998</v>
      </c>
      <c r="I30" s="690">
        <f t="shared" si="1"/>
        <v>13.242382102408241</v>
      </c>
      <c r="J30" s="110">
        <v>19.97</v>
      </c>
      <c r="Q30" s="699"/>
      <c r="R30" s="237"/>
      <c r="S30" s="238"/>
      <c r="AE30" s="774"/>
      <c r="AF30" s="237"/>
      <c r="AG30" s="253"/>
      <c r="AH30" s="253"/>
      <c r="AI30" s="253"/>
      <c r="AJ30" s="119"/>
      <c r="AK30" s="119"/>
      <c r="AL30" s="119"/>
      <c r="AM30" s="31">
        <v>9</v>
      </c>
      <c r="AN30" s="31">
        <v>9</v>
      </c>
      <c r="AP30" s="37" t="s">
        <v>605</v>
      </c>
      <c r="AQ30" s="260">
        <f>LN(2)/(AN30*24*60*60)</f>
        <v>8.9139297911515593E-7</v>
      </c>
      <c r="AR30" s="260">
        <f>AQ30*10^($I30-AM30)</f>
        <v>1.5575834054057934E-2</v>
      </c>
      <c r="AS30" s="654">
        <f>LN(2)/(AT30*60*60*24)</f>
        <v>698.74336748813539</v>
      </c>
      <c r="AT30" s="215">
        <f t="shared" si="5"/>
        <v>1.1481378121521312E-8</v>
      </c>
      <c r="AU30" s="215">
        <f t="shared" ref="AU30" si="6">EXP(LN(AR30)+$J30*(1/$H30-1/298.15)/0.0019872)</f>
        <v>1.1481378121521312E-3</v>
      </c>
    </row>
    <row r="31" spans="1:58" s="8" customFormat="1" x14ac:dyDescent="0.3">
      <c r="A31" s="37"/>
      <c r="B31" s="37"/>
      <c r="C31" s="37"/>
      <c r="D31" s="39"/>
      <c r="E31" s="37"/>
      <c r="F31" s="37"/>
      <c r="G31" s="37"/>
      <c r="H31" s="37"/>
      <c r="I31" s="37"/>
      <c r="J31" s="37"/>
      <c r="K31" s="37"/>
      <c r="L31" s="37"/>
      <c r="M31" s="37"/>
      <c r="N31" s="37"/>
      <c r="O31" s="37"/>
      <c r="P31" s="37"/>
      <c r="Q31" s="469"/>
      <c r="R31" s="37"/>
      <c r="S31" s="37"/>
      <c r="T31" s="472"/>
      <c r="U31" s="472"/>
      <c r="V31" s="472"/>
      <c r="W31" s="39"/>
      <c r="X31" s="39"/>
      <c r="Y31" s="39"/>
      <c r="Z31" s="37"/>
      <c r="AA31" s="37"/>
      <c r="AB31" s="37"/>
      <c r="AC31" s="37"/>
      <c r="AD31" s="37"/>
      <c r="AE31" s="469"/>
      <c r="AF31" s="37"/>
      <c r="AG31" s="472"/>
      <c r="AH31" s="472"/>
      <c r="AI31" s="472"/>
      <c r="AJ31" s="39"/>
      <c r="AK31" s="39"/>
      <c r="AL31" s="39"/>
      <c r="AM31" s="37"/>
      <c r="AN31" s="37"/>
      <c r="AO31" s="37"/>
      <c r="AP31" s="37"/>
      <c r="AQ31" s="37"/>
      <c r="AR31" s="37"/>
      <c r="AS31" s="469"/>
      <c r="AT31" s="37"/>
      <c r="AU31" s="37"/>
      <c r="AV31" s="109"/>
      <c r="AW31" s="109"/>
      <c r="AX31" s="109"/>
      <c r="AY31" s="37"/>
      <c r="AZ31" s="37"/>
      <c r="BA31" s="37"/>
      <c r="BB31" s="186"/>
      <c r="BC31" s="186"/>
      <c r="BD31" s="186"/>
      <c r="BE31" s="37"/>
      <c r="BF31" s="37"/>
    </row>
    <row r="32" spans="1:58" x14ac:dyDescent="0.3">
      <c r="Q32" s="175"/>
      <c r="R32" s="103"/>
      <c r="AE32" s="157"/>
      <c r="AF32" s="103"/>
      <c r="AG32" s="253"/>
      <c r="AH32" s="253"/>
      <c r="AI32" s="253"/>
      <c r="AJ32" s="119"/>
      <c r="AK32" s="119"/>
      <c r="AL32" s="119"/>
      <c r="AS32" s="175"/>
    </row>
    <row r="33" spans="1:58" s="1" customFormat="1" x14ac:dyDescent="0.3">
      <c r="A33" s="108"/>
      <c r="B33" s="108"/>
      <c r="C33" s="108"/>
      <c r="D33" s="72"/>
      <c r="E33" s="108"/>
      <c r="F33" s="108"/>
      <c r="G33" s="108"/>
      <c r="H33" s="108"/>
      <c r="I33" s="108"/>
      <c r="J33" s="108"/>
      <c r="K33" s="108"/>
      <c r="L33" s="108"/>
      <c r="M33" s="108"/>
      <c r="N33" s="108" t="s">
        <v>790</v>
      </c>
      <c r="O33" s="108"/>
      <c r="P33" s="108"/>
      <c r="Q33" s="176">
        <f>AVERAGE(Q18:Q25)</f>
        <v>1.6326902992671957</v>
      </c>
      <c r="R33" s="108"/>
      <c r="S33" s="108"/>
      <c r="T33" s="484">
        <f>AVERAGE(T18:T25)</f>
        <v>1.6326902992671957</v>
      </c>
      <c r="U33" s="30" t="s">
        <v>790</v>
      </c>
      <c r="V33" s="30"/>
      <c r="W33" s="72"/>
      <c r="X33" s="72"/>
      <c r="Y33" s="72"/>
      <c r="Z33" s="108"/>
      <c r="AA33" s="108"/>
      <c r="AB33" s="108"/>
      <c r="AC33" s="108" t="s">
        <v>790</v>
      </c>
      <c r="AD33" s="108"/>
      <c r="AE33" s="176">
        <f>AVERAGE(AE18:AE26)</f>
        <v>5.3067393897406969</v>
      </c>
      <c r="AF33" s="108"/>
      <c r="AG33" s="484">
        <f>AVERAGE(AG18:AG26)</f>
        <v>5.3067393897406969</v>
      </c>
      <c r="AH33" s="30" t="s">
        <v>790</v>
      </c>
      <c r="AI33" s="30"/>
      <c r="AJ33" s="72"/>
      <c r="AK33" s="72"/>
      <c r="AL33" s="72"/>
      <c r="AM33" s="108"/>
      <c r="AN33" s="108"/>
      <c r="AO33" s="108"/>
      <c r="AP33" s="108" t="s">
        <v>790</v>
      </c>
      <c r="AQ33" s="108"/>
      <c r="AR33" s="108"/>
      <c r="AS33" s="176">
        <f>AVERAGE(AS6:AS28)</f>
        <v>321733.03211051086</v>
      </c>
      <c r="AT33" s="108"/>
      <c r="AU33" s="108"/>
      <c r="AV33" s="142">
        <f>AVERAGE(AV5:AV29)</f>
        <v>155960.9398781285</v>
      </c>
      <c r="AW33" s="142"/>
      <c r="AX33" s="142"/>
      <c r="AY33" s="108"/>
      <c r="AZ33" s="108"/>
      <c r="BA33" s="108"/>
      <c r="BB33" s="319" t="s">
        <v>790</v>
      </c>
      <c r="BC33" s="319"/>
      <c r="BD33" s="319"/>
      <c r="BE33" s="108"/>
      <c r="BF33" s="108"/>
    </row>
    <row r="34" spans="1:58" s="1" customFormat="1" x14ac:dyDescent="0.3">
      <c r="A34" s="108"/>
      <c r="B34" s="108"/>
      <c r="C34" s="108"/>
      <c r="D34" s="72"/>
      <c r="E34" s="108"/>
      <c r="F34" s="108"/>
      <c r="G34" s="108"/>
      <c r="H34" s="108"/>
      <c r="I34" s="108"/>
      <c r="J34" s="108"/>
      <c r="K34" s="108"/>
      <c r="L34" s="108"/>
      <c r="M34" s="108"/>
      <c r="N34" s="108" t="s">
        <v>791</v>
      </c>
      <c r="O34" s="108"/>
      <c r="P34" s="108"/>
      <c r="Q34" s="176">
        <f>STDEV(Q18:Q24)</f>
        <v>0.69464656800947322</v>
      </c>
      <c r="R34" s="207"/>
      <c r="S34" s="108"/>
      <c r="T34" s="484">
        <f>STDEV(T18:T24)</f>
        <v>0.69464656800947322</v>
      </c>
      <c r="U34" s="30" t="s">
        <v>791</v>
      </c>
      <c r="V34" s="30"/>
      <c r="W34" s="72"/>
      <c r="X34" s="72"/>
      <c r="Y34" s="72"/>
      <c r="Z34" s="108"/>
      <c r="AA34" s="108"/>
      <c r="AB34" s="108"/>
      <c r="AC34" s="108" t="s">
        <v>791</v>
      </c>
      <c r="AD34" s="108"/>
      <c r="AE34" s="425">
        <f>STDEV(AE18:AE26)</f>
        <v>11.213771732499584</v>
      </c>
      <c r="AF34" s="207"/>
      <c r="AG34" s="484">
        <f>STDEV(AG18:AG26)</f>
        <v>11.213771732499584</v>
      </c>
      <c r="AH34" s="30" t="s">
        <v>791</v>
      </c>
      <c r="AI34" s="564"/>
      <c r="AJ34" s="339"/>
      <c r="AK34" s="339"/>
      <c r="AL34" s="339"/>
      <c r="AM34" s="108"/>
      <c r="AN34" s="108"/>
      <c r="AO34" s="108"/>
      <c r="AP34" s="108" t="s">
        <v>791</v>
      </c>
      <c r="AQ34" s="108"/>
      <c r="AR34" s="108"/>
      <c r="AS34" s="176">
        <f>STDEV(AS6:AS28)</f>
        <v>832169.35683413513</v>
      </c>
      <c r="AT34" s="108"/>
      <c r="AU34" s="108"/>
      <c r="AV34" s="142">
        <f>STDEV(AV6:AV29)</f>
        <v>433769.15742058528</v>
      </c>
      <c r="AW34" s="142"/>
      <c r="AX34" s="142"/>
      <c r="AY34" s="108"/>
      <c r="AZ34" s="108"/>
      <c r="BA34" s="108"/>
      <c r="BB34" s="319" t="s">
        <v>791</v>
      </c>
      <c r="BC34" s="319"/>
      <c r="BD34" s="319"/>
      <c r="BE34" s="108"/>
      <c r="BF34" s="108"/>
    </row>
    <row r="35" spans="1:58" s="1" customFormat="1" x14ac:dyDescent="0.3">
      <c r="A35" s="108"/>
      <c r="B35" s="108"/>
      <c r="C35" s="108"/>
      <c r="D35" s="72"/>
      <c r="E35" s="108"/>
      <c r="F35" s="108"/>
      <c r="G35" s="108"/>
      <c r="H35" s="108"/>
      <c r="I35" s="108"/>
      <c r="J35" s="108"/>
      <c r="K35" s="108"/>
      <c r="L35" s="108"/>
      <c r="M35" s="108"/>
      <c r="N35" s="108" t="s">
        <v>800</v>
      </c>
      <c r="O35" s="108"/>
      <c r="P35" s="108"/>
      <c r="Q35" s="176">
        <f>MEDIAN(Q18:Q25)</f>
        <v>1.5623366310966926</v>
      </c>
      <c r="R35" s="108"/>
      <c r="S35" s="108"/>
      <c r="T35" s="484">
        <f>MEDIAN(T18:T25)</f>
        <v>1.5623366310966926</v>
      </c>
      <c r="U35" s="30" t="s">
        <v>800</v>
      </c>
      <c r="V35" s="30"/>
      <c r="W35" s="72"/>
      <c r="X35" s="72"/>
      <c r="Y35" s="72"/>
      <c r="Z35" s="108"/>
      <c r="AA35" s="108"/>
      <c r="AB35" s="108"/>
      <c r="AC35" s="108" t="s">
        <v>800</v>
      </c>
      <c r="AD35" s="108"/>
      <c r="AE35" s="176">
        <f>MEDIAN(AE18:AE26)</f>
        <v>0.36969100294440788</v>
      </c>
      <c r="AF35" s="108"/>
      <c r="AG35" s="484">
        <f>MEDIAN(AG18:AG26)</f>
        <v>0.36969100294440788</v>
      </c>
      <c r="AH35" s="30" t="s">
        <v>800</v>
      </c>
      <c r="AI35" s="30"/>
      <c r="AJ35" s="72"/>
      <c r="AK35" s="72"/>
      <c r="AL35" s="72"/>
      <c r="AM35" s="108"/>
      <c r="AN35" s="108"/>
      <c r="AO35" s="108"/>
      <c r="AP35" s="108" t="s">
        <v>800</v>
      </c>
      <c r="AQ35" s="108"/>
      <c r="AR35" s="108"/>
      <c r="AS35" s="176">
        <f>MEDIAN(AS6:AS29)</f>
        <v>312.56636930011962</v>
      </c>
      <c r="AT35" s="108"/>
      <c r="AU35" s="108"/>
      <c r="AV35" s="142">
        <f>MEDIAN(AV6:AV29)</f>
        <v>156.34919100841563</v>
      </c>
      <c r="AW35" s="142"/>
      <c r="AX35" s="142"/>
      <c r="AY35" s="108"/>
      <c r="AZ35" s="108"/>
      <c r="BA35" s="108"/>
      <c r="BB35" s="319" t="s">
        <v>800</v>
      </c>
      <c r="BC35" s="319"/>
      <c r="BD35" s="319"/>
      <c r="BE35" s="108"/>
      <c r="BF35" s="108"/>
    </row>
    <row r="36" spans="1:58" s="1" customFormat="1" x14ac:dyDescent="0.3">
      <c r="A36" s="108"/>
      <c r="B36" s="108"/>
      <c r="C36" s="108"/>
      <c r="D36" s="72"/>
      <c r="E36" s="108"/>
      <c r="F36" s="108"/>
      <c r="G36" s="108"/>
      <c r="H36" s="108"/>
      <c r="I36" s="108"/>
      <c r="J36" s="108"/>
      <c r="K36" s="108"/>
      <c r="L36" s="108"/>
      <c r="M36" s="108"/>
      <c r="N36" s="108" t="s">
        <v>789</v>
      </c>
      <c r="O36" s="108"/>
      <c r="P36" s="108"/>
      <c r="Q36" s="176">
        <f>COUNT(Q18:Q25)</f>
        <v>4</v>
      </c>
      <c r="R36" s="108"/>
      <c r="S36" s="108"/>
      <c r="T36" s="30">
        <f>COUNT(T18:T25)</f>
        <v>4</v>
      </c>
      <c r="U36" s="30" t="s">
        <v>789</v>
      </c>
      <c r="V36" s="30"/>
      <c r="W36" s="72"/>
      <c r="X36" s="72"/>
      <c r="Y36" s="72"/>
      <c r="Z36" s="108"/>
      <c r="AA36" s="108"/>
      <c r="AB36" s="108"/>
      <c r="AC36" s="108" t="s">
        <v>789</v>
      </c>
      <c r="AD36" s="108"/>
      <c r="AE36" s="176">
        <f>COUNT(AE18:AE26)</f>
        <v>5</v>
      </c>
      <c r="AF36" s="108"/>
      <c r="AG36" s="484">
        <f>COUNT(AG18:AG26)</f>
        <v>5</v>
      </c>
      <c r="AH36" s="30" t="s">
        <v>789</v>
      </c>
      <c r="AI36" s="30"/>
      <c r="AJ36" s="72"/>
      <c r="AK36" s="72"/>
      <c r="AL36" s="72"/>
      <c r="AM36" s="108"/>
      <c r="AN36" s="108"/>
      <c r="AO36" s="108"/>
      <c r="AP36" s="108" t="s">
        <v>789</v>
      </c>
      <c r="AQ36" s="108"/>
      <c r="AR36" s="108"/>
      <c r="AS36" s="176">
        <f>COUNT(AS6:AS29)</f>
        <v>15</v>
      </c>
      <c r="AT36" s="108"/>
      <c r="AU36" s="108"/>
      <c r="AV36" s="144">
        <f>COUNT(AV6:AV29)</f>
        <v>10</v>
      </c>
      <c r="AW36" s="142"/>
      <c r="AX36" s="142"/>
      <c r="AY36" s="108"/>
      <c r="AZ36" s="108"/>
      <c r="BA36" s="108"/>
      <c r="BB36" s="319" t="s">
        <v>789</v>
      </c>
      <c r="BC36" s="319"/>
      <c r="BD36" s="319"/>
      <c r="BE36" s="108"/>
      <c r="BF36" s="108"/>
    </row>
    <row r="37" spans="1:58" s="1" customFormat="1" x14ac:dyDescent="0.3">
      <c r="A37" s="108"/>
      <c r="B37" s="108"/>
      <c r="C37" s="108"/>
      <c r="D37" s="72"/>
      <c r="E37" s="108"/>
      <c r="F37" s="108"/>
      <c r="G37" s="108"/>
      <c r="H37" s="108"/>
      <c r="I37" s="108"/>
      <c r="J37" s="108"/>
      <c r="K37" s="108"/>
      <c r="L37" s="108"/>
      <c r="M37" s="108"/>
      <c r="N37" s="108" t="s">
        <v>803</v>
      </c>
      <c r="O37" s="108"/>
      <c r="P37" s="108"/>
      <c r="Q37" s="176">
        <f>MIN(Q18:Q25)</f>
        <v>0.88305983496769591</v>
      </c>
      <c r="R37" s="108"/>
      <c r="S37" s="108"/>
      <c r="T37" s="484">
        <f>MIN(T18:T25)</f>
        <v>0.88305983496769591</v>
      </c>
      <c r="U37" s="30" t="s">
        <v>803</v>
      </c>
      <c r="V37" s="30"/>
      <c r="W37" s="72"/>
      <c r="X37" s="72"/>
      <c r="Y37" s="72"/>
      <c r="Z37" s="108"/>
      <c r="AA37" s="108"/>
      <c r="AB37" s="108"/>
      <c r="AC37" s="108" t="s">
        <v>803</v>
      </c>
      <c r="AD37" s="108"/>
      <c r="AE37" s="176">
        <f>MIN(AE18:AE26)</f>
        <v>2.9575280235552621E-2</v>
      </c>
      <c r="AF37" s="108"/>
      <c r="AG37" s="484">
        <f>MIN(AG18:AG26)</f>
        <v>2.9575280235552621E-2</v>
      </c>
      <c r="AH37" s="30" t="s">
        <v>803</v>
      </c>
      <c r="AI37" s="30"/>
      <c r="AJ37" s="72"/>
      <c r="AK37" s="72"/>
      <c r="AL37" s="72"/>
      <c r="AM37" s="108"/>
      <c r="AN37" s="108"/>
      <c r="AO37" s="108"/>
      <c r="AP37" s="108" t="s">
        <v>803</v>
      </c>
      <c r="AQ37" s="108"/>
      <c r="AR37" s="108"/>
      <c r="AS37" s="176">
        <f>MIN(AS6:AS29)</f>
        <v>3.835540245884163E-3</v>
      </c>
      <c r="AT37" s="108"/>
      <c r="AU37" s="108"/>
      <c r="AV37" s="177">
        <f>MIN(AV6:AV28)</f>
        <v>3.835540245884163E-3</v>
      </c>
      <c r="AW37" s="142"/>
      <c r="AX37" s="142"/>
      <c r="AY37" s="108"/>
      <c r="AZ37" s="108"/>
      <c r="BA37" s="108"/>
      <c r="BB37" s="319" t="s">
        <v>803</v>
      </c>
      <c r="BC37" s="319"/>
      <c r="BD37" s="319"/>
      <c r="BE37" s="108"/>
      <c r="BF37" s="108"/>
    </row>
    <row r="38" spans="1:58" s="1" customFormat="1" x14ac:dyDescent="0.3">
      <c r="A38" s="108"/>
      <c r="B38" s="108"/>
      <c r="C38" s="108"/>
      <c r="D38" s="72"/>
      <c r="E38" s="108"/>
      <c r="F38" s="108"/>
      <c r="G38" s="108"/>
      <c r="H38" s="108"/>
      <c r="I38" s="108"/>
      <c r="J38" s="108"/>
      <c r="K38" s="108"/>
      <c r="L38" s="108"/>
      <c r="M38" s="108"/>
      <c r="N38" s="108" t="s">
        <v>804</v>
      </c>
      <c r="O38" s="108"/>
      <c r="P38" s="108"/>
      <c r="Q38" s="176">
        <f>MAX(Q18:Q24)</f>
        <v>2.5230280999077022</v>
      </c>
      <c r="R38" s="108"/>
      <c r="S38" s="108"/>
      <c r="T38" s="484">
        <f>MAX(T18:T24)</f>
        <v>2.5230280999077022</v>
      </c>
      <c r="U38" s="30" t="s">
        <v>804</v>
      </c>
      <c r="V38" s="30"/>
      <c r="W38" s="72"/>
      <c r="X38" s="72"/>
      <c r="Y38" s="72"/>
      <c r="Z38" s="108"/>
      <c r="AA38" s="108"/>
      <c r="AB38" s="108"/>
      <c r="AC38" s="108" t="s">
        <v>804</v>
      </c>
      <c r="AD38" s="108"/>
      <c r="AE38" s="176">
        <f>MAX(AE18:AE26)</f>
        <v>25.364241076056011</v>
      </c>
      <c r="AF38" s="108"/>
      <c r="AG38" s="484">
        <f>MAX(AG18:AG26)</f>
        <v>25.364241076056011</v>
      </c>
      <c r="AH38" s="30" t="s">
        <v>804</v>
      </c>
      <c r="AI38" s="30"/>
      <c r="AJ38" s="72"/>
      <c r="AK38" s="72"/>
      <c r="AL38" s="72"/>
      <c r="AM38" s="108"/>
      <c r="AN38" s="108"/>
      <c r="AO38" s="108"/>
      <c r="AP38" s="108" t="s">
        <v>804</v>
      </c>
      <c r="AQ38" s="108"/>
      <c r="AR38" s="108"/>
      <c r="AS38" s="176">
        <f>MAX(AS6:AS29)</f>
        <v>3146992.9277396849</v>
      </c>
      <c r="AT38" s="176"/>
      <c r="AU38" s="176"/>
      <c r="AV38" s="176">
        <f>MAX(AV6:AV29)</f>
        <v>1385922.965043064</v>
      </c>
      <c r="AW38" s="142"/>
      <c r="AX38" s="142"/>
      <c r="AY38" s="108"/>
      <c r="AZ38" s="108"/>
      <c r="BA38" s="108"/>
      <c r="BB38" s="319" t="s">
        <v>804</v>
      </c>
      <c r="BC38" s="319"/>
      <c r="BD38" s="319"/>
      <c r="BE38" s="108"/>
      <c r="BF38" s="108"/>
    </row>
    <row r="39" spans="1:58" x14ac:dyDescent="0.3">
      <c r="Q39" s="175"/>
      <c r="S39" s="843" t="s">
        <v>1276</v>
      </c>
      <c r="T39" s="157">
        <f>QUARTILE(T$6:T31,3)-QUARTILE(T$6:T31,1)</f>
        <v>0.7156666244930503</v>
      </c>
      <c r="U39" s="119"/>
      <c r="AE39" s="175"/>
      <c r="AF39" s="843" t="s">
        <v>1276</v>
      </c>
      <c r="AG39" s="157">
        <f>QUARTILE(AG$6:AG31,3)-QUARTILE(AG$6:AG31,1)</f>
        <v>0.21565308505090514</v>
      </c>
      <c r="AH39" s="119"/>
      <c r="AS39" s="175"/>
      <c r="AU39" s="843" t="s">
        <v>1276</v>
      </c>
      <c r="AV39" s="157">
        <f>QUARTILE(AV$6:AV31,3)-QUARTILE(AV$6:AV31,1)</f>
        <v>49109.439193968101</v>
      </c>
      <c r="AW39" s="119"/>
    </row>
    <row r="40" spans="1:58" x14ac:dyDescent="0.3">
      <c r="Q40" s="175"/>
      <c r="S40" s="843" t="s">
        <v>1277</v>
      </c>
      <c r="T40" s="157">
        <f>MAX(T35-2*T39,0)</f>
        <v>0.13100338211059204</v>
      </c>
      <c r="U40" s="844" t="str">
        <f>IF(T37&lt;T40,"Outlier Flag","")</f>
        <v/>
      </c>
      <c r="AE40" s="175"/>
      <c r="AF40" s="843" t="s">
        <v>1277</v>
      </c>
      <c r="AG40" s="157">
        <f>MAX(AG35-2*AG39,0)</f>
        <v>0</v>
      </c>
      <c r="AH40" s="844" t="str">
        <f>IF(AG37&lt;AG40,"Outlier Flag","")</f>
        <v/>
      </c>
      <c r="AS40" s="175"/>
      <c r="AU40" s="843" t="s">
        <v>1277</v>
      </c>
      <c r="AV40" s="157">
        <f>MAX(AV35-2*AV39,0)</f>
        <v>0</v>
      </c>
      <c r="AW40" s="844" t="str">
        <f>IF(AV37&lt;AV40,"Outlier Flag","")</f>
        <v/>
      </c>
    </row>
    <row r="41" spans="1:58" x14ac:dyDescent="0.3">
      <c r="S41" s="843" t="s">
        <v>1278</v>
      </c>
      <c r="T41" s="157">
        <f>T35+2.2*T39</f>
        <v>3.1368032049814034</v>
      </c>
      <c r="U41" s="844" t="str">
        <f>IF(T38&gt;T41,"Outlier Flag","")</f>
        <v/>
      </c>
      <c r="AF41" s="843" t="s">
        <v>1278</v>
      </c>
      <c r="AG41" s="157">
        <f>AG35+2.2*AG39</f>
        <v>0.84412779005639926</v>
      </c>
      <c r="AH41" s="844" t="str">
        <f>IF(AG38&gt;AG41,"Outlier Flag","")</f>
        <v>Outlier Flag</v>
      </c>
      <c r="AU41" s="843" t="s">
        <v>1278</v>
      </c>
      <c r="AV41" s="157">
        <f>AV35+2.2*AV39</f>
        <v>108197.11541773824</v>
      </c>
      <c r="AW41" s="844" t="str">
        <f>IF(AV38&gt;AV41,"Outlier Flag","")</f>
        <v>Outlier Flag</v>
      </c>
    </row>
    <row r="43" spans="1:58" x14ac:dyDescent="0.3">
      <c r="AC43" s="31" t="s">
        <v>790</v>
      </c>
      <c r="AG43" s="29">
        <v>0.29236396816186927</v>
      </c>
      <c r="AH43" s="29" t="s">
        <v>790</v>
      </c>
    </row>
    <row r="44" spans="1:58" x14ac:dyDescent="0.3">
      <c r="AC44" s="31" t="s">
        <v>791</v>
      </c>
      <c r="AG44" s="29">
        <v>0.19620440340768169</v>
      </c>
      <c r="AH44" s="29" t="s">
        <v>791</v>
      </c>
    </row>
    <row r="45" spans="1:58" x14ac:dyDescent="0.3">
      <c r="AC45" s="31" t="s">
        <v>800</v>
      </c>
      <c r="AG45" s="29">
        <v>0.32347962757635679</v>
      </c>
      <c r="AH45" s="29" t="s">
        <v>800</v>
      </c>
      <c r="AQ45" s="568" t="s">
        <v>805</v>
      </c>
      <c r="AR45" s="31" t="s">
        <v>793</v>
      </c>
      <c r="AS45" s="129">
        <f>AVERAGE(AS6:AS15,AS28)</f>
        <v>169658.66538313346</v>
      </c>
      <c r="AU45" s="31" t="s">
        <v>790</v>
      </c>
      <c r="AV45" s="31">
        <v>161330.20698808294</v>
      </c>
    </row>
    <row r="46" spans="1:58" x14ac:dyDescent="0.3">
      <c r="AC46" s="31" t="s">
        <v>789</v>
      </c>
      <c r="AG46" s="29">
        <v>4</v>
      </c>
      <c r="AH46" s="29" t="s">
        <v>789</v>
      </c>
      <c r="AR46" s="31" t="s">
        <v>794</v>
      </c>
      <c r="AS46" s="129">
        <f>STDEV(AS6:AS15,AS28)</f>
        <v>213109.26977646764</v>
      </c>
      <c r="AU46" s="31" t="s">
        <v>791</v>
      </c>
      <c r="AV46" s="31">
        <v>459729.06759409088</v>
      </c>
    </row>
    <row r="47" spans="1:58" x14ac:dyDescent="0.3">
      <c r="AC47" s="31" t="s">
        <v>803</v>
      </c>
      <c r="AG47" s="29">
        <v>2.9575280235552621E-2</v>
      </c>
      <c r="AH47" s="29" t="s">
        <v>803</v>
      </c>
      <c r="AU47" s="31" t="s">
        <v>800</v>
      </c>
      <c r="AV47" s="31">
        <v>0.13201271671163667</v>
      </c>
    </row>
    <row r="48" spans="1:58" x14ac:dyDescent="0.3">
      <c r="AC48" s="31" t="s">
        <v>804</v>
      </c>
      <c r="AG48" s="29">
        <v>0.49292133725921083</v>
      </c>
      <c r="AH48" s="29" t="s">
        <v>804</v>
      </c>
      <c r="AQ48" s="31" t="s">
        <v>806</v>
      </c>
      <c r="AR48" s="31" t="s">
        <v>795</v>
      </c>
      <c r="AS48" s="559">
        <f>AVERAGE(AS18:AS26)</f>
        <v>3.9748479970619734E-2</v>
      </c>
      <c r="AU48" s="31" t="s">
        <v>789</v>
      </c>
      <c r="AV48" s="31">
        <v>9</v>
      </c>
    </row>
    <row r="49" spans="44:48" x14ac:dyDescent="0.3">
      <c r="AR49" s="31" t="s">
        <v>796</v>
      </c>
      <c r="AS49" s="335">
        <f>STDEV(AS18:AS26)</f>
        <v>5.323700832921608E-2</v>
      </c>
      <c r="AU49" s="31" t="s">
        <v>803</v>
      </c>
      <c r="AV49" s="31">
        <v>3.835540245884163E-3</v>
      </c>
    </row>
    <row r="50" spans="44:48" x14ac:dyDescent="0.3">
      <c r="AU50" s="31" t="s">
        <v>804</v>
      </c>
      <c r="AV50" s="31">
        <v>1385922.965043064</v>
      </c>
    </row>
  </sheetData>
  <sheetProtection formatCells="0" formatColumns="0" formatRows="0" insertColumns="0" insertRows="0" insertHyperlinks="0" deleteColumns="0" deleteRows="0" sort="0"/>
  <mergeCells count="1">
    <mergeCell ref="A1:B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0"/>
  <sheetViews>
    <sheetView workbookViewId="0">
      <selection sqref="A1:B1"/>
    </sheetView>
  </sheetViews>
  <sheetFormatPr defaultRowHeight="14.4" x14ac:dyDescent="0.3"/>
  <cols>
    <col min="1" max="1" width="5" style="31" customWidth="1"/>
    <col min="2" max="2" width="20.6640625" style="31" customWidth="1"/>
    <col min="3" max="3" width="22" style="31" customWidth="1"/>
    <col min="4" max="4" width="16.6640625" style="40" customWidth="1"/>
    <col min="5" max="5" width="36.44140625" style="31" customWidth="1"/>
    <col min="6" max="6" width="29.6640625" style="31" customWidth="1"/>
    <col min="7" max="8" width="12.33203125" style="31" customWidth="1"/>
    <col min="9" max="9" width="8.88671875" style="31" customWidth="1"/>
    <col min="10" max="10" width="9.33203125" style="31" bestFit="1" customWidth="1"/>
    <col min="11" max="12" width="10.109375" style="31" customWidth="1"/>
    <col min="13" max="13" width="11.44140625" style="31" customWidth="1"/>
    <col min="14" max="15" width="10.33203125" style="31" customWidth="1"/>
    <col min="16" max="16" width="12.33203125" style="31" bestFit="1" customWidth="1"/>
    <col min="17" max="18" width="10.109375" style="31" customWidth="1"/>
    <col min="19" max="19" width="12.33203125" style="31" bestFit="1" customWidth="1"/>
    <col min="20" max="22" width="10.109375" style="117" customWidth="1"/>
    <col min="23" max="25" width="14.6640625" style="40" customWidth="1"/>
    <col min="26" max="27" width="10.109375" style="31" customWidth="1"/>
    <col min="28" max="28" width="11.44140625" style="31" customWidth="1"/>
    <col min="29" max="29" width="10.33203125" style="31" customWidth="1"/>
    <col min="30" max="30" width="14.88671875" style="31" bestFit="1" customWidth="1"/>
    <col min="31" max="31" width="10.109375" style="31" customWidth="1"/>
    <col min="32" max="32" width="13.109375" style="31" bestFit="1" customWidth="1"/>
    <col min="33" max="35" width="10.109375" style="117" customWidth="1"/>
    <col min="36" max="36" width="14.88671875" style="40" bestFit="1" customWidth="1"/>
    <col min="37" max="37" width="14.44140625" style="40" bestFit="1" customWidth="1"/>
    <col min="38" max="38" width="14.88671875" style="40" customWidth="1"/>
    <col min="39" max="40" width="10.109375" style="31" customWidth="1"/>
    <col min="41" max="41" width="11.44140625" style="31" customWidth="1"/>
    <col min="42" max="43" width="10.33203125" style="31" customWidth="1"/>
    <col min="44" max="44" width="12.33203125" style="31" bestFit="1" customWidth="1"/>
    <col min="45" max="46" width="10.33203125" style="31" customWidth="1"/>
    <col min="47" max="47" width="12.33203125" style="31" bestFit="1" customWidth="1"/>
    <col min="48" max="50" width="10.109375" style="31" customWidth="1"/>
    <col min="51" max="53" width="14.6640625" style="31" customWidth="1"/>
    <col min="54" max="54" width="16.33203125" style="185" bestFit="1" customWidth="1"/>
    <col min="55" max="55" width="16.5546875" style="185" bestFit="1" customWidth="1"/>
    <col min="56" max="56" width="9.109375" style="185"/>
    <col min="57" max="58" width="8.88671875" style="31"/>
  </cols>
  <sheetData>
    <row r="1" spans="1:58" x14ac:dyDescent="0.3">
      <c r="A1" s="899" t="s">
        <v>535</v>
      </c>
      <c r="B1" s="899"/>
      <c r="D1" s="32"/>
      <c r="I1" s="583"/>
      <c r="J1" s="92"/>
      <c r="K1" s="108" t="s">
        <v>626</v>
      </c>
      <c r="O1" s="86" t="s">
        <v>601</v>
      </c>
      <c r="P1" s="87"/>
      <c r="Q1" s="583" t="s">
        <v>602</v>
      </c>
      <c r="R1" s="586"/>
      <c r="S1" s="586"/>
      <c r="T1" s="118"/>
      <c r="U1" s="118"/>
      <c r="V1" s="118"/>
      <c r="W1" s="587"/>
      <c r="X1" s="587"/>
      <c r="Y1" s="587"/>
      <c r="Z1" s="108" t="s">
        <v>89</v>
      </c>
      <c r="AD1" s="87" t="s">
        <v>601</v>
      </c>
      <c r="AE1" s="583" t="s">
        <v>602</v>
      </c>
      <c r="AF1" s="586"/>
      <c r="AG1" s="156"/>
      <c r="AH1" s="156"/>
      <c r="AI1" s="156"/>
      <c r="AJ1" s="587"/>
      <c r="AK1" s="587"/>
      <c r="AL1" s="587"/>
      <c r="AM1" s="108" t="s">
        <v>627</v>
      </c>
      <c r="AQ1" s="86" t="s">
        <v>601</v>
      </c>
      <c r="AR1" s="86"/>
      <c r="AS1" s="583" t="s">
        <v>602</v>
      </c>
      <c r="AT1" s="586"/>
      <c r="AU1" s="586"/>
      <c r="AV1" s="118"/>
      <c r="AW1" s="118"/>
      <c r="AX1" s="118"/>
      <c r="AY1" s="587"/>
      <c r="AZ1" s="587"/>
      <c r="BA1" s="587"/>
    </row>
    <row r="2" spans="1:58" x14ac:dyDescent="0.3">
      <c r="D2" s="32"/>
      <c r="G2" s="584"/>
      <c r="H2" s="584"/>
      <c r="I2" s="583"/>
      <c r="J2" s="92"/>
      <c r="K2" s="108"/>
      <c r="O2" s="588" t="s">
        <v>603</v>
      </c>
      <c r="P2" s="589"/>
      <c r="Q2" s="590" t="s">
        <v>603</v>
      </c>
      <c r="R2" s="590" t="s">
        <v>603</v>
      </c>
      <c r="S2" s="590"/>
      <c r="T2" s="591" t="s">
        <v>801</v>
      </c>
      <c r="U2" s="591"/>
      <c r="V2" s="591"/>
      <c r="W2" s="592"/>
      <c r="X2" s="592"/>
      <c r="Y2" s="592"/>
      <c r="AD2" s="589"/>
      <c r="AE2" s="583"/>
      <c r="AF2" s="590"/>
      <c r="AG2" s="593" t="s">
        <v>801</v>
      </c>
      <c r="AH2" s="593"/>
      <c r="AI2" s="593"/>
      <c r="AJ2" s="592"/>
      <c r="AK2" s="592"/>
      <c r="AL2" s="592"/>
      <c r="AM2" s="108"/>
      <c r="AQ2" s="588" t="s">
        <v>604</v>
      </c>
      <c r="AR2" s="588"/>
      <c r="AS2" s="590" t="s">
        <v>604</v>
      </c>
      <c r="AT2" s="590" t="s">
        <v>604</v>
      </c>
      <c r="AU2" s="590"/>
      <c r="AV2" s="591" t="s">
        <v>801</v>
      </c>
      <c r="AW2" s="591"/>
      <c r="AX2" s="591"/>
      <c r="AY2" s="592"/>
      <c r="AZ2" s="592"/>
      <c r="BA2" s="592"/>
    </row>
    <row r="3" spans="1:58" ht="43.2" x14ac:dyDescent="0.3">
      <c r="B3" s="108" t="s">
        <v>1</v>
      </c>
      <c r="C3" s="108" t="s">
        <v>2</v>
      </c>
      <c r="D3" s="378" t="s">
        <v>930</v>
      </c>
      <c r="E3" s="108" t="s">
        <v>5</v>
      </c>
      <c r="F3" s="108" t="s">
        <v>7</v>
      </c>
      <c r="G3" s="594" t="s">
        <v>1176</v>
      </c>
      <c r="H3" s="594" t="s">
        <v>1176</v>
      </c>
      <c r="I3" s="595" t="s">
        <v>593</v>
      </c>
      <c r="J3" s="533"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row>
    <row r="4" spans="1:58" x14ac:dyDescent="0.3">
      <c r="D4" s="32"/>
      <c r="G4" s="33" t="s">
        <v>85</v>
      </c>
      <c r="H4" s="33" t="s">
        <v>522</v>
      </c>
      <c r="I4" s="595"/>
      <c r="J4" s="601" t="s">
        <v>595</v>
      </c>
      <c r="L4" s="31" t="s">
        <v>88</v>
      </c>
      <c r="O4" s="86" t="s">
        <v>596</v>
      </c>
      <c r="P4" s="87" t="s">
        <v>597</v>
      </c>
      <c r="Q4" s="583" t="s">
        <v>88</v>
      </c>
      <c r="R4" s="586" t="s">
        <v>596</v>
      </c>
      <c r="S4" s="586" t="s">
        <v>597</v>
      </c>
      <c r="T4" s="117" t="s">
        <v>88</v>
      </c>
      <c r="U4" s="117" t="s">
        <v>88</v>
      </c>
      <c r="V4" s="117" t="s">
        <v>88</v>
      </c>
      <c r="W4" s="592"/>
      <c r="X4" s="592"/>
      <c r="Y4" s="592"/>
      <c r="AA4" s="31" t="s">
        <v>88</v>
      </c>
      <c r="AD4" s="87" t="s">
        <v>596</v>
      </c>
      <c r="AE4" s="583" t="s">
        <v>88</v>
      </c>
      <c r="AF4" s="586" t="s">
        <v>596</v>
      </c>
      <c r="AG4" s="292" t="s">
        <v>88</v>
      </c>
      <c r="AH4" s="292" t="s">
        <v>88</v>
      </c>
      <c r="AI4" s="292" t="s">
        <v>88</v>
      </c>
      <c r="AJ4" s="602"/>
      <c r="AK4" s="602"/>
      <c r="AL4" s="602"/>
      <c r="AN4" s="31" t="s">
        <v>88</v>
      </c>
      <c r="AQ4" s="86" t="s">
        <v>596</v>
      </c>
      <c r="AR4" s="86" t="s">
        <v>597</v>
      </c>
      <c r="AS4" s="583" t="s">
        <v>88</v>
      </c>
      <c r="AT4" s="586" t="s">
        <v>596</v>
      </c>
      <c r="AU4" s="586" t="s">
        <v>597</v>
      </c>
      <c r="AV4" s="302" t="s">
        <v>88</v>
      </c>
      <c r="AW4" s="302" t="s">
        <v>88</v>
      </c>
      <c r="AX4" s="302" t="s">
        <v>88</v>
      </c>
      <c r="AY4" s="602"/>
      <c r="AZ4" s="602"/>
      <c r="BA4" s="648"/>
      <c r="BB4" s="319"/>
      <c r="BC4" s="192"/>
      <c r="BD4" s="603"/>
    </row>
    <row r="5" spans="1:58" ht="15" thickBot="1" x14ac:dyDescent="0.35">
      <c r="B5" s="108"/>
      <c r="C5" s="108"/>
      <c r="D5" s="378"/>
      <c r="E5" s="108"/>
      <c r="F5" s="108"/>
      <c r="G5" s="33"/>
      <c r="H5" s="33"/>
      <c r="I5" s="595"/>
      <c r="J5" s="601"/>
      <c r="O5" s="85"/>
      <c r="P5" s="85"/>
      <c r="Q5" s="583"/>
      <c r="R5" s="583"/>
      <c r="S5" s="583"/>
      <c r="AD5" s="344"/>
      <c r="AE5" s="659"/>
      <c r="AF5" s="659"/>
      <c r="AG5" s="306"/>
      <c r="AH5" s="306"/>
      <c r="AI5" s="306"/>
      <c r="AJ5" s="307"/>
      <c r="AK5" s="307"/>
      <c r="AL5" s="307"/>
      <c r="AO5" s="103"/>
      <c r="AQ5" s="250"/>
      <c r="AR5" s="250"/>
      <c r="AS5" s="583"/>
      <c r="AT5" s="586"/>
      <c r="AU5" s="586"/>
      <c r="AV5" s="184"/>
      <c r="AW5" s="184"/>
      <c r="AX5" s="184"/>
      <c r="BB5" s="319"/>
      <c r="BC5" s="319"/>
    </row>
    <row r="6" spans="1:58" s="8" customFormat="1" x14ac:dyDescent="0.3">
      <c r="A6" s="37">
        <v>1</v>
      </c>
      <c r="B6" s="37" t="s">
        <v>536</v>
      </c>
      <c r="C6" s="37" t="s">
        <v>537</v>
      </c>
      <c r="D6" s="38" t="s">
        <v>939</v>
      </c>
      <c r="E6" s="37" t="s">
        <v>543</v>
      </c>
      <c r="F6" s="37" t="s">
        <v>544</v>
      </c>
      <c r="G6" s="37">
        <v>25</v>
      </c>
      <c r="H6" s="37">
        <f>G6+273.15</f>
        <v>298.14999999999998</v>
      </c>
      <c r="I6" s="780">
        <f>-LOG10(EXP(LN(10^-14)+13.36*(1/298.15-1/H6)/0.0019872))</f>
        <v>14</v>
      </c>
      <c r="J6" s="96">
        <v>17.5</v>
      </c>
      <c r="K6" s="37"/>
      <c r="L6" s="37"/>
      <c r="M6" s="37"/>
      <c r="N6" s="37"/>
      <c r="O6" s="37"/>
      <c r="P6" s="37"/>
      <c r="Q6" s="214"/>
      <c r="R6" s="214"/>
      <c r="S6" s="214"/>
      <c r="T6" s="254"/>
      <c r="U6" s="254"/>
      <c r="V6" s="254"/>
      <c r="W6" s="39"/>
      <c r="X6" s="39"/>
      <c r="Y6" s="39"/>
      <c r="Z6" s="37">
        <v>7</v>
      </c>
      <c r="AA6" s="37"/>
      <c r="AB6" s="122">
        <v>1.1199999999999999E-3</v>
      </c>
      <c r="AC6" s="122" t="s">
        <v>600</v>
      </c>
      <c r="AD6" s="260">
        <f>AB6</f>
        <v>1.1199999999999999E-3</v>
      </c>
      <c r="AE6" s="654">
        <f>(LN(2)/AF6)/(60*60*24)</f>
        <v>7.1629792964610726E-3</v>
      </c>
      <c r="AF6" s="215">
        <f>EXP(LN(AD6)+$J6*(1/$H6-1/298.15)/0.0019872)</f>
        <v>1.1200000000000003E-3</v>
      </c>
      <c r="AG6" s="120">
        <f>AE6</f>
        <v>7.1629792964610726E-3</v>
      </c>
      <c r="AH6" s="120"/>
      <c r="AI6" s="120"/>
      <c r="AJ6" s="121"/>
      <c r="AK6" s="121"/>
      <c r="AL6" s="121"/>
      <c r="AM6" s="37"/>
      <c r="AN6" s="37"/>
      <c r="AO6" s="37"/>
      <c r="AP6" s="37"/>
      <c r="AQ6" s="37"/>
      <c r="AR6" s="37"/>
      <c r="AS6" s="214"/>
      <c r="AT6" s="214"/>
      <c r="AU6" s="214"/>
      <c r="AV6" s="37"/>
      <c r="AW6" s="37"/>
      <c r="AX6" s="37"/>
      <c r="AY6" s="37"/>
      <c r="AZ6" s="37"/>
      <c r="BA6" s="37"/>
      <c r="BB6" s="186"/>
      <c r="BC6" s="186"/>
      <c r="BD6" s="186"/>
      <c r="BE6" s="37"/>
      <c r="BF6" s="37"/>
    </row>
    <row r="7" spans="1:58" ht="15" thickBot="1" x14ac:dyDescent="0.35">
      <c r="D7" s="32"/>
      <c r="I7" s="781"/>
      <c r="J7" s="92"/>
      <c r="Q7" s="208"/>
      <c r="R7" s="208"/>
      <c r="S7" s="208"/>
      <c r="AB7" s="103"/>
      <c r="AC7" s="103"/>
      <c r="AD7" s="262"/>
      <c r="AE7" s="653"/>
      <c r="AF7" s="209"/>
      <c r="AG7" s="118"/>
      <c r="AH7" s="118"/>
      <c r="AI7" s="118"/>
      <c r="AJ7" s="119"/>
      <c r="AK7" s="119"/>
      <c r="AL7" s="119"/>
      <c r="AS7" s="208"/>
      <c r="AT7" s="208"/>
      <c r="AU7" s="208"/>
    </row>
    <row r="8" spans="1:58" s="8" customFormat="1" x14ac:dyDescent="0.3">
      <c r="A8" s="37">
        <v>2</v>
      </c>
      <c r="B8" s="37" t="s">
        <v>1264</v>
      </c>
      <c r="C8" s="37" t="s">
        <v>538</v>
      </c>
      <c r="D8" s="38" t="s">
        <v>939</v>
      </c>
      <c r="E8" s="37" t="s">
        <v>543</v>
      </c>
      <c r="F8" s="37"/>
      <c r="G8" s="37">
        <v>25</v>
      </c>
      <c r="H8" s="37">
        <f>G8+273.15</f>
        <v>298.14999999999998</v>
      </c>
      <c r="I8" s="780">
        <f>-LOG10(EXP(LN(10^-14)+13.36*(1/298.15-1/H8)/0.0019872))</f>
        <v>14</v>
      </c>
      <c r="J8" s="96">
        <v>17.5</v>
      </c>
      <c r="K8" s="37"/>
      <c r="L8" s="37"/>
      <c r="M8" s="37"/>
      <c r="N8" s="37"/>
      <c r="O8" s="37"/>
      <c r="P8" s="37"/>
      <c r="Q8" s="214"/>
      <c r="R8" s="214"/>
      <c r="S8" s="214"/>
      <c r="T8" s="254"/>
      <c r="U8" s="254"/>
      <c r="V8" s="254"/>
      <c r="W8" s="39"/>
      <c r="X8" s="39"/>
      <c r="Y8" s="39"/>
      <c r="Z8" s="37">
        <v>7</v>
      </c>
      <c r="AA8" s="37"/>
      <c r="AB8" s="122">
        <v>3.98E-6</v>
      </c>
      <c r="AC8" s="122" t="s">
        <v>600</v>
      </c>
      <c r="AD8" s="260">
        <f>AB8</f>
        <v>3.98E-6</v>
      </c>
      <c r="AE8" s="654">
        <f>(LN(2)/AF8)/(60*60*24)</f>
        <v>2.0157127668433175</v>
      </c>
      <c r="AF8" s="215">
        <f>EXP(LN(AD8)+$J8*(1/$H8-1/298.15)/0.0019872)</f>
        <v>3.98E-6</v>
      </c>
      <c r="AG8" s="120">
        <f>AE8</f>
        <v>2.0157127668433175</v>
      </c>
      <c r="AH8" s="120"/>
      <c r="AI8" s="120"/>
      <c r="AJ8" s="121"/>
      <c r="AK8" s="121"/>
      <c r="AL8" s="121"/>
      <c r="AM8" s="37"/>
      <c r="AN8" s="37"/>
      <c r="AO8" s="37"/>
      <c r="AP8" s="37"/>
      <c r="AQ8" s="37"/>
      <c r="AR8" s="37"/>
      <c r="AS8" s="214"/>
      <c r="AT8" s="214"/>
      <c r="AU8" s="214"/>
      <c r="AV8" s="37"/>
      <c r="AW8" s="37"/>
      <c r="AX8" s="37"/>
      <c r="AY8" s="37"/>
      <c r="AZ8" s="37"/>
      <c r="BA8" s="37"/>
      <c r="BB8" s="186"/>
      <c r="BC8" s="186"/>
      <c r="BD8" s="186"/>
      <c r="BE8" s="37"/>
      <c r="BF8" s="37"/>
    </row>
    <row r="9" spans="1:58" ht="15" thickBot="1" x14ac:dyDescent="0.35">
      <c r="D9" s="32"/>
      <c r="I9" s="781"/>
      <c r="J9" s="92"/>
      <c r="Q9" s="208"/>
      <c r="R9" s="208"/>
      <c r="S9" s="208"/>
      <c r="AB9" s="103"/>
      <c r="AC9" s="103"/>
      <c r="AD9" s="262"/>
      <c r="AE9" s="653"/>
      <c r="AF9" s="209"/>
      <c r="AG9" s="118"/>
      <c r="AH9" s="118"/>
      <c r="AI9" s="118"/>
      <c r="AJ9" s="119"/>
      <c r="AK9" s="119"/>
      <c r="AL9" s="119"/>
      <c r="AS9" s="208"/>
      <c r="AT9" s="208"/>
      <c r="AU9" s="208"/>
    </row>
    <row r="10" spans="1:58" s="8" customFormat="1" x14ac:dyDescent="0.3">
      <c r="A10" s="37">
        <v>3</v>
      </c>
      <c r="B10" s="37" t="s">
        <v>539</v>
      </c>
      <c r="C10" s="37" t="s">
        <v>540</v>
      </c>
      <c r="D10" s="38" t="s">
        <v>939</v>
      </c>
      <c r="E10" s="37" t="s">
        <v>543</v>
      </c>
      <c r="F10" s="37"/>
      <c r="G10" s="37">
        <v>25</v>
      </c>
      <c r="H10" s="37">
        <f>G10+273.15</f>
        <v>298.14999999999998</v>
      </c>
      <c r="I10" s="780">
        <f>-LOG10(EXP(LN(10^-14)+13.36*(1/298.15-1/H10)/0.0019872))</f>
        <v>14</v>
      </c>
      <c r="J10" s="96">
        <v>17.5</v>
      </c>
      <c r="K10" s="37"/>
      <c r="L10" s="37"/>
      <c r="M10" s="37"/>
      <c r="N10" s="37"/>
      <c r="O10" s="37"/>
      <c r="P10" s="37"/>
      <c r="Q10" s="214"/>
      <c r="R10" s="214"/>
      <c r="S10" s="214"/>
      <c r="T10" s="254"/>
      <c r="U10" s="254"/>
      <c r="V10" s="254"/>
      <c r="W10" s="39"/>
      <c r="X10" s="39"/>
      <c r="Y10" s="39"/>
      <c r="Z10" s="37">
        <v>7</v>
      </c>
      <c r="AA10" s="37"/>
      <c r="AB10" s="122">
        <v>1.26E-6</v>
      </c>
      <c r="AC10" s="122" t="s">
        <v>600</v>
      </c>
      <c r="AD10" s="260">
        <f>AB10</f>
        <v>1.26E-6</v>
      </c>
      <c r="AE10" s="654">
        <f>(LN(2)/AF10)/(60*60*24)</f>
        <v>6.3670927079654049</v>
      </c>
      <c r="AF10" s="215">
        <f>EXP(LN(AD10)+$J10*(1/$H10-1/298.15)/0.0019872)</f>
        <v>1.2599999999999989E-6</v>
      </c>
      <c r="AG10" s="120">
        <f>AE10</f>
        <v>6.3670927079654049</v>
      </c>
      <c r="AH10" s="120"/>
      <c r="AI10" s="120"/>
      <c r="AJ10" s="121"/>
      <c r="AK10" s="121"/>
      <c r="AL10" s="121"/>
      <c r="AM10" s="37"/>
      <c r="AN10" s="37"/>
      <c r="AO10" s="37"/>
      <c r="AP10" s="37"/>
      <c r="AQ10" s="37"/>
      <c r="AR10" s="37"/>
      <c r="AS10" s="214"/>
      <c r="AT10" s="214"/>
      <c r="AU10" s="214"/>
      <c r="AV10" s="37"/>
      <c r="AW10" s="37"/>
      <c r="AX10" s="37"/>
      <c r="AY10" s="37"/>
      <c r="AZ10" s="37"/>
      <c r="BA10" s="37"/>
      <c r="BB10" s="186"/>
      <c r="BC10" s="186"/>
      <c r="BD10" s="186"/>
      <c r="BE10" s="37"/>
      <c r="BF10" s="37"/>
    </row>
    <row r="11" spans="1:58" ht="15" thickBot="1" x14ac:dyDescent="0.35">
      <c r="D11" s="32"/>
      <c r="I11" s="781"/>
      <c r="J11" s="92"/>
      <c r="Q11" s="208"/>
      <c r="R11" s="208"/>
      <c r="S11" s="208"/>
      <c r="AB11" s="103"/>
      <c r="AC11" s="103"/>
      <c r="AD11" s="262"/>
      <c r="AE11" s="653"/>
      <c r="AF11" s="209"/>
      <c r="AG11" s="118"/>
      <c r="AH11" s="118"/>
      <c r="AI11" s="118"/>
      <c r="AJ11" s="119"/>
      <c r="AK11" s="119"/>
      <c r="AL11" s="119"/>
      <c r="AS11" s="208"/>
      <c r="AT11" s="208"/>
      <c r="AU11" s="208"/>
    </row>
    <row r="12" spans="1:58" s="8" customFormat="1" x14ac:dyDescent="0.3">
      <c r="A12" s="37">
        <v>4</v>
      </c>
      <c r="B12" s="37" t="s">
        <v>541</v>
      </c>
      <c r="C12" s="37" t="s">
        <v>542</v>
      </c>
      <c r="D12" s="38" t="s">
        <v>939</v>
      </c>
      <c r="E12" s="37" t="s">
        <v>543</v>
      </c>
      <c r="F12" s="37"/>
      <c r="G12" s="37">
        <v>25</v>
      </c>
      <c r="H12" s="37">
        <f>G12+273.15</f>
        <v>298.14999999999998</v>
      </c>
      <c r="I12" s="780">
        <f>-LOG10(EXP(LN(10^-14)+13.36*(1/298.15-1/H12)/0.0019872))</f>
        <v>14</v>
      </c>
      <c r="J12" s="96">
        <v>17.5</v>
      </c>
      <c r="K12" s="37"/>
      <c r="L12" s="37"/>
      <c r="M12" s="37"/>
      <c r="N12" s="37"/>
      <c r="O12" s="37"/>
      <c r="P12" s="37"/>
      <c r="Q12" s="214"/>
      <c r="R12" s="214"/>
      <c r="S12" s="214"/>
      <c r="T12" s="254"/>
      <c r="U12" s="254"/>
      <c r="V12" s="254"/>
      <c r="W12" s="39"/>
      <c r="X12" s="39"/>
      <c r="Y12" s="39"/>
      <c r="Z12" s="37">
        <v>7</v>
      </c>
      <c r="AA12" s="37"/>
      <c r="AB12" s="122">
        <v>9.9999999999999995E-7</v>
      </c>
      <c r="AC12" s="122" t="s">
        <v>600</v>
      </c>
      <c r="AD12" s="260">
        <f>AB12</f>
        <v>9.9999999999999995E-7</v>
      </c>
      <c r="AE12" s="654">
        <f>(LN(2)/AF12)/(60*60*24)</f>
        <v>8.0225368120364013</v>
      </c>
      <c r="AF12" s="215">
        <f>EXP(LN(AD12)+$J12*(1/$H12-1/298.15)/0.0019872)</f>
        <v>1.0000000000000004E-6</v>
      </c>
      <c r="AG12" s="120">
        <f>AE12</f>
        <v>8.0225368120364013</v>
      </c>
      <c r="AH12" s="120"/>
      <c r="AI12" s="120"/>
      <c r="AJ12" s="121"/>
      <c r="AK12" s="121"/>
      <c r="AL12" s="121"/>
      <c r="AM12" s="37"/>
      <c r="AN12" s="37"/>
      <c r="AO12" s="37"/>
      <c r="AP12" s="37"/>
      <c r="AQ12" s="37"/>
      <c r="AR12" s="37"/>
      <c r="AS12" s="214"/>
      <c r="AT12" s="214"/>
      <c r="AU12" s="214"/>
      <c r="AV12" s="37"/>
      <c r="AW12" s="37"/>
      <c r="AX12" s="37"/>
      <c r="AY12" s="37"/>
      <c r="AZ12" s="37"/>
      <c r="BA12" s="37"/>
      <c r="BB12" s="186"/>
      <c r="BC12" s="186"/>
      <c r="BD12" s="186"/>
      <c r="BE12" s="37"/>
      <c r="BF12" s="37"/>
    </row>
    <row r="13" spans="1:58" x14ac:dyDescent="0.3">
      <c r="D13" s="32"/>
      <c r="I13" s="782"/>
      <c r="Q13" s="208"/>
      <c r="R13" s="208"/>
      <c r="S13" s="208"/>
      <c r="AE13" s="653"/>
      <c r="AF13" s="208"/>
      <c r="AS13" s="208"/>
      <c r="AT13" s="208"/>
      <c r="AU13" s="208"/>
    </row>
    <row r="14" spans="1:58" ht="15" thickBot="1" x14ac:dyDescent="0.35">
      <c r="D14" s="32"/>
      <c r="I14" s="782"/>
      <c r="Q14" s="208"/>
      <c r="R14" s="208"/>
      <c r="S14" s="208"/>
      <c r="AE14" s="653"/>
      <c r="AF14" s="208"/>
      <c r="AS14" s="208"/>
      <c r="AT14" s="208"/>
      <c r="AU14" s="208"/>
    </row>
    <row r="15" spans="1:58" s="25" customFormat="1" x14ac:dyDescent="0.3">
      <c r="A15" s="488"/>
      <c r="B15" s="488"/>
      <c r="C15" s="488"/>
      <c r="D15" s="514"/>
      <c r="E15" s="488"/>
      <c r="F15" s="488"/>
      <c r="G15" s="488"/>
      <c r="H15" s="488"/>
      <c r="I15" s="777"/>
      <c r="J15" s="488"/>
      <c r="K15" s="488"/>
      <c r="L15" s="488"/>
      <c r="M15" s="488"/>
      <c r="N15" s="488"/>
      <c r="O15" s="488"/>
      <c r="P15" s="488"/>
      <c r="Q15" s="488"/>
      <c r="R15" s="488"/>
      <c r="S15" s="488"/>
      <c r="T15" s="569"/>
      <c r="U15" s="569"/>
      <c r="V15" s="569"/>
      <c r="W15" s="514"/>
      <c r="X15" s="514"/>
      <c r="Y15" s="514"/>
      <c r="Z15" s="488"/>
      <c r="AA15" s="488"/>
      <c r="AB15" s="488"/>
      <c r="AC15" s="488" t="s">
        <v>790</v>
      </c>
      <c r="AD15" s="488"/>
      <c r="AE15" s="778">
        <f>AVERAGE(AE6:AE12)</f>
        <v>4.1031263165353966</v>
      </c>
      <c r="AF15" s="488"/>
      <c r="AG15" s="570">
        <f>AVERAGE(AG6:AG12)</f>
        <v>4.1031263165353966</v>
      </c>
      <c r="AH15" s="569"/>
      <c r="AI15" s="569" t="s">
        <v>790</v>
      </c>
      <c r="AJ15" s="514"/>
      <c r="AK15" s="514"/>
      <c r="AL15" s="514"/>
      <c r="AM15" s="488"/>
      <c r="AN15" s="488"/>
      <c r="AO15" s="488"/>
      <c r="AP15" s="488"/>
      <c r="AQ15" s="488"/>
      <c r="AR15" s="488"/>
      <c r="AS15" s="488"/>
      <c r="AT15" s="488"/>
      <c r="AU15" s="488"/>
      <c r="AV15" s="488"/>
      <c r="AW15" s="488"/>
      <c r="AX15" s="488"/>
      <c r="AY15" s="488"/>
      <c r="AZ15" s="488"/>
      <c r="BA15" s="488"/>
      <c r="BB15" s="510"/>
      <c r="BC15" s="510"/>
      <c r="BD15" s="510"/>
      <c r="BE15" s="488"/>
      <c r="BF15" s="488"/>
    </row>
    <row r="16" spans="1:58" s="1" customFormat="1" x14ac:dyDescent="0.3">
      <c r="A16" s="108"/>
      <c r="B16" s="108"/>
      <c r="C16" s="108"/>
      <c r="D16" s="72"/>
      <c r="E16" s="108"/>
      <c r="F16" s="108"/>
      <c r="G16" s="108"/>
      <c r="H16" s="108"/>
      <c r="I16" s="779"/>
      <c r="J16" s="108"/>
      <c r="K16" s="108"/>
      <c r="L16" s="108"/>
      <c r="M16" s="108"/>
      <c r="N16" s="108"/>
      <c r="O16" s="108"/>
      <c r="P16" s="108"/>
      <c r="Q16" s="108"/>
      <c r="R16" s="108"/>
      <c r="S16" s="108"/>
      <c r="T16" s="456"/>
      <c r="U16" s="456"/>
      <c r="V16" s="456"/>
      <c r="W16" s="72"/>
      <c r="X16" s="72"/>
      <c r="Y16" s="72"/>
      <c r="Z16" s="108"/>
      <c r="AA16" s="108"/>
      <c r="AB16" s="108"/>
      <c r="AC16" s="108" t="s">
        <v>791</v>
      </c>
      <c r="AD16" s="108"/>
      <c r="AE16" s="176">
        <f>STDEV(AE6:AE12)</f>
        <v>3.7247609964135786</v>
      </c>
      <c r="AF16" s="108"/>
      <c r="AG16" s="571">
        <f>STDEV(AG6:AG12)</f>
        <v>3.7247609964135786</v>
      </c>
      <c r="AH16" s="456"/>
      <c r="AI16" s="456" t="s">
        <v>791</v>
      </c>
      <c r="AJ16" s="72"/>
      <c r="AK16" s="72"/>
      <c r="AL16" s="72"/>
      <c r="AM16" s="108"/>
      <c r="AN16" s="108"/>
      <c r="AO16" s="108"/>
      <c r="AP16" s="108"/>
      <c r="AQ16" s="108"/>
      <c r="AR16" s="108"/>
      <c r="AS16" s="108"/>
      <c r="AT16" s="108"/>
      <c r="AU16" s="108"/>
      <c r="AV16" s="108"/>
      <c r="AW16" s="108"/>
      <c r="AX16" s="108"/>
      <c r="AY16" s="108"/>
      <c r="AZ16" s="108"/>
      <c r="BA16" s="108"/>
      <c r="BB16" s="319"/>
      <c r="BC16" s="319"/>
      <c r="BD16" s="319"/>
      <c r="BE16" s="108"/>
      <c r="BF16" s="108"/>
    </row>
    <row r="17" spans="1:58" s="1" customFormat="1" x14ac:dyDescent="0.3">
      <c r="A17" s="108"/>
      <c r="B17" s="108"/>
      <c r="C17" s="108"/>
      <c r="D17" s="72"/>
      <c r="E17" s="108"/>
      <c r="F17" s="108"/>
      <c r="G17" s="108"/>
      <c r="H17" s="108"/>
      <c r="I17" s="779"/>
      <c r="J17" s="108"/>
      <c r="K17" s="108"/>
      <c r="L17" s="108"/>
      <c r="M17" s="108"/>
      <c r="N17" s="108"/>
      <c r="O17" s="108"/>
      <c r="P17" s="108"/>
      <c r="Q17" s="108"/>
      <c r="R17" s="108"/>
      <c r="S17" s="108"/>
      <c r="T17" s="456"/>
      <c r="U17" s="456"/>
      <c r="V17" s="456"/>
      <c r="W17" s="72"/>
      <c r="X17" s="72"/>
      <c r="Y17" s="72"/>
      <c r="Z17" s="108"/>
      <c r="AA17" s="108"/>
      <c r="AB17" s="108"/>
      <c r="AC17" s="108" t="s">
        <v>800</v>
      </c>
      <c r="AD17" s="108"/>
      <c r="AE17" s="176">
        <f>MEDIAN(AE6:AE12)</f>
        <v>4.1914027374043616</v>
      </c>
      <c r="AF17" s="108"/>
      <c r="AG17" s="571">
        <f>MEDIAN(AG6:AG12)</f>
        <v>4.1914027374043616</v>
      </c>
      <c r="AH17" s="456"/>
      <c r="AI17" s="456" t="s">
        <v>800</v>
      </c>
      <c r="AJ17" s="72"/>
      <c r="AK17" s="72"/>
      <c r="AL17" s="72"/>
      <c r="AM17" s="108"/>
      <c r="AN17" s="108"/>
      <c r="AO17" s="108"/>
      <c r="AP17" s="108"/>
      <c r="AQ17" s="108"/>
      <c r="AR17" s="108"/>
      <c r="AS17" s="108"/>
      <c r="AT17" s="108"/>
      <c r="AU17" s="108"/>
      <c r="AV17" s="108"/>
      <c r="AW17" s="108"/>
      <c r="AX17" s="108"/>
      <c r="AY17" s="108"/>
      <c r="AZ17" s="108"/>
      <c r="BA17" s="108"/>
      <c r="BB17" s="319"/>
      <c r="BC17" s="319"/>
      <c r="BD17" s="319"/>
      <c r="BE17" s="108"/>
      <c r="BF17" s="108"/>
    </row>
    <row r="18" spans="1:58" s="1" customFormat="1" x14ac:dyDescent="0.3">
      <c r="A18" s="108"/>
      <c r="B18" s="108"/>
      <c r="C18" s="108"/>
      <c r="D18" s="72"/>
      <c r="E18" s="108"/>
      <c r="F18" s="108"/>
      <c r="G18" s="108"/>
      <c r="H18" s="108"/>
      <c r="I18" s="779"/>
      <c r="J18" s="108"/>
      <c r="K18" s="108"/>
      <c r="L18" s="108"/>
      <c r="M18" s="108"/>
      <c r="N18" s="108"/>
      <c r="O18" s="108"/>
      <c r="P18" s="108"/>
      <c r="Q18" s="108"/>
      <c r="R18" s="108"/>
      <c r="S18" s="108"/>
      <c r="T18" s="456"/>
      <c r="U18" s="456"/>
      <c r="V18" s="456"/>
      <c r="W18" s="72"/>
      <c r="X18" s="72"/>
      <c r="Y18" s="72"/>
      <c r="Z18" s="108"/>
      <c r="AA18" s="108"/>
      <c r="AB18" s="108"/>
      <c r="AC18" s="108" t="s">
        <v>789</v>
      </c>
      <c r="AD18" s="108"/>
      <c r="AE18" s="176">
        <f>COUNT(AE6:AE12)</f>
        <v>4</v>
      </c>
      <c r="AF18" s="108"/>
      <c r="AG18" s="456">
        <f>COUNT(AG6:AG12)</f>
        <v>4</v>
      </c>
      <c r="AH18" s="456"/>
      <c r="AI18" s="456" t="s">
        <v>789</v>
      </c>
      <c r="AJ18" s="72"/>
      <c r="AK18" s="72"/>
      <c r="AL18" s="72"/>
      <c r="AM18" s="108"/>
      <c r="AN18" s="108"/>
      <c r="AO18" s="108"/>
      <c r="AP18" s="108"/>
      <c r="AQ18" s="108"/>
      <c r="AR18" s="108"/>
      <c r="AS18" s="108"/>
      <c r="AT18" s="108"/>
      <c r="AU18" s="108"/>
      <c r="AV18" s="108"/>
      <c r="AW18" s="108"/>
      <c r="AX18" s="108"/>
      <c r="AY18" s="108"/>
      <c r="AZ18" s="108"/>
      <c r="BA18" s="108"/>
      <c r="BB18" s="319"/>
      <c r="BC18" s="319"/>
      <c r="BD18" s="319"/>
      <c r="BE18" s="108"/>
      <c r="BF18" s="108"/>
    </row>
    <row r="19" spans="1:58" s="1" customFormat="1" x14ac:dyDescent="0.3">
      <c r="A19" s="108"/>
      <c r="B19" s="108"/>
      <c r="C19" s="108"/>
      <c r="D19" s="72"/>
      <c r="E19" s="108"/>
      <c r="F19" s="108"/>
      <c r="G19" s="108"/>
      <c r="H19" s="108"/>
      <c r="I19" s="779"/>
      <c r="J19" s="108"/>
      <c r="K19" s="108"/>
      <c r="L19" s="108"/>
      <c r="M19" s="108"/>
      <c r="N19" s="108"/>
      <c r="O19" s="108"/>
      <c r="P19" s="108"/>
      <c r="Q19" s="108"/>
      <c r="R19" s="108"/>
      <c r="S19" s="108"/>
      <c r="T19" s="456"/>
      <c r="U19" s="456"/>
      <c r="V19" s="456"/>
      <c r="W19" s="72"/>
      <c r="X19" s="72"/>
      <c r="Y19" s="72"/>
      <c r="Z19" s="108"/>
      <c r="AA19" s="108"/>
      <c r="AB19" s="108"/>
      <c r="AC19" s="108" t="s">
        <v>803</v>
      </c>
      <c r="AD19" s="108"/>
      <c r="AE19" s="176">
        <f>MIN(AE6:AE12)</f>
        <v>7.1629792964610726E-3</v>
      </c>
      <c r="AF19" s="108"/>
      <c r="AG19" s="571">
        <f>MIN(AG6:AG12)</f>
        <v>7.1629792964610726E-3</v>
      </c>
      <c r="AH19" s="456"/>
      <c r="AI19" s="456" t="s">
        <v>803</v>
      </c>
      <c r="AJ19" s="72"/>
      <c r="AK19" s="72"/>
      <c r="AL19" s="72"/>
      <c r="AM19" s="108"/>
      <c r="AN19" s="108"/>
      <c r="AO19" s="108"/>
      <c r="AP19" s="108"/>
      <c r="AQ19" s="108"/>
      <c r="AR19" s="108"/>
      <c r="AS19" s="108"/>
      <c r="AT19" s="108"/>
      <c r="AU19" s="108"/>
      <c r="AV19" s="108"/>
      <c r="AW19" s="108"/>
      <c r="AX19" s="108"/>
      <c r="AY19" s="108"/>
      <c r="AZ19" s="108"/>
      <c r="BA19" s="108"/>
      <c r="BB19" s="319"/>
      <c r="BC19" s="319"/>
      <c r="BD19" s="319"/>
      <c r="BE19" s="108"/>
      <c r="BF19" s="108"/>
    </row>
    <row r="20" spans="1:58" s="1" customFormat="1" x14ac:dyDescent="0.3">
      <c r="A20" s="108"/>
      <c r="B20" s="108"/>
      <c r="C20" s="108"/>
      <c r="D20" s="72"/>
      <c r="E20" s="108"/>
      <c r="F20" s="108"/>
      <c r="G20" s="108"/>
      <c r="H20" s="108"/>
      <c r="I20" s="779"/>
      <c r="J20" s="108"/>
      <c r="K20" s="108"/>
      <c r="L20" s="108"/>
      <c r="M20" s="108"/>
      <c r="N20" s="108"/>
      <c r="O20" s="108"/>
      <c r="P20" s="108"/>
      <c r="Q20" s="108"/>
      <c r="R20" s="108"/>
      <c r="S20" s="108"/>
      <c r="T20" s="456"/>
      <c r="U20" s="456"/>
      <c r="V20" s="456"/>
      <c r="W20" s="72"/>
      <c r="X20" s="72"/>
      <c r="Y20" s="72"/>
      <c r="Z20" s="108"/>
      <c r="AA20" s="108"/>
      <c r="AB20" s="108"/>
      <c r="AC20" s="108" t="s">
        <v>804</v>
      </c>
      <c r="AD20" s="108"/>
      <c r="AE20" s="176">
        <f>MAX(AE6:AE12)</f>
        <v>8.0225368120364013</v>
      </c>
      <c r="AF20" s="108"/>
      <c r="AG20" s="571">
        <f>MAX(AG6:AG12)</f>
        <v>8.0225368120364013</v>
      </c>
      <c r="AH20" s="456"/>
      <c r="AI20" s="456" t="s">
        <v>804</v>
      </c>
      <c r="AJ20" s="72"/>
      <c r="AK20" s="72"/>
      <c r="AL20" s="72"/>
      <c r="AM20" s="108"/>
      <c r="AN20" s="108"/>
      <c r="AO20" s="108"/>
      <c r="AP20" s="108"/>
      <c r="AQ20" s="108"/>
      <c r="AR20" s="108"/>
      <c r="AS20" s="108"/>
      <c r="AT20" s="108"/>
      <c r="AU20" s="108"/>
      <c r="AV20" s="108"/>
      <c r="AW20" s="108"/>
      <c r="AX20" s="108"/>
      <c r="AY20" s="108"/>
      <c r="AZ20" s="108"/>
      <c r="BA20" s="108"/>
      <c r="BB20" s="319"/>
      <c r="BC20" s="319"/>
      <c r="BD20" s="319"/>
      <c r="BE20" s="108"/>
      <c r="BF20" s="108"/>
    </row>
    <row r="21" spans="1:58" x14ac:dyDescent="0.3">
      <c r="I21" s="776"/>
      <c r="AE21" s="175"/>
      <c r="AF21" s="843" t="s">
        <v>1276</v>
      </c>
      <c r="AG21" s="157">
        <f>QUARTILE(AG$6:AG13,3)-QUARTILE(AG$6:AG13,1)</f>
        <v>5.2673784140265498</v>
      </c>
      <c r="AH21" s="119"/>
    </row>
    <row r="22" spans="1:58" x14ac:dyDescent="0.3">
      <c r="I22" s="776"/>
      <c r="AE22" s="175"/>
      <c r="AF22" s="843" t="s">
        <v>1277</v>
      </c>
      <c r="AG22" s="157">
        <f>MAX(AG17-2*AG21,0)</f>
        <v>0</v>
      </c>
      <c r="AH22" s="844" t="str">
        <f>IF(AG19&lt;AG22,"Outlier Flag","")</f>
        <v/>
      </c>
    </row>
    <row r="23" spans="1:58" x14ac:dyDescent="0.3">
      <c r="I23" s="776"/>
      <c r="AE23" s="175"/>
      <c r="AF23" s="843" t="s">
        <v>1278</v>
      </c>
      <c r="AG23" s="157">
        <f>AG17+2.2*AG21</f>
        <v>15.779635248262773</v>
      </c>
      <c r="AH23" s="844" t="str">
        <f>IF(AG20&gt;AG23,"Outlier Flag","")</f>
        <v/>
      </c>
    </row>
    <row r="24" spans="1:58" x14ac:dyDescent="0.3">
      <c r="I24" s="776"/>
      <c r="AE24" s="175"/>
    </row>
    <row r="25" spans="1:58" x14ac:dyDescent="0.3">
      <c r="I25" s="776"/>
      <c r="AE25" s="175"/>
    </row>
    <row r="26" spans="1:58" x14ac:dyDescent="0.3">
      <c r="I26" s="776"/>
    </row>
    <row r="27" spans="1:58" x14ac:dyDescent="0.3">
      <c r="I27" s="776"/>
    </row>
    <row r="28" spans="1:58" x14ac:dyDescent="0.3">
      <c r="I28" s="776"/>
    </row>
    <row r="29" spans="1:58" x14ac:dyDescent="0.3">
      <c r="I29" s="776"/>
    </row>
    <row r="30" spans="1:58" x14ac:dyDescent="0.3">
      <c r="I30" s="776"/>
    </row>
  </sheetData>
  <sheetProtection formatCells="0" formatColumns="0" formatRows="0" insertColumns="0" insertRows="0" insertHyperlinks="0" deleteColumns="0" deleteRows="0" sort="0"/>
  <mergeCells count="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94"/>
  <sheetViews>
    <sheetView zoomScaleNormal="100" workbookViewId="0">
      <selection sqref="A1:C1"/>
    </sheetView>
  </sheetViews>
  <sheetFormatPr defaultRowHeight="14.4" x14ac:dyDescent="0.3"/>
  <cols>
    <col min="1" max="1" width="5.6640625" style="31" customWidth="1"/>
    <col min="2" max="2" width="32.5546875" style="31" customWidth="1"/>
    <col min="3" max="3" width="19.109375" style="31" customWidth="1"/>
    <col min="4" max="4" width="19.109375" style="32" customWidth="1"/>
    <col min="5" max="5" width="46" style="31" customWidth="1"/>
    <col min="6" max="6" width="41.44140625" style="31" customWidth="1"/>
    <col min="7" max="7" width="12.33203125" style="31" bestFit="1" customWidth="1"/>
    <col min="8" max="8" width="12.33203125" style="31" customWidth="1"/>
    <col min="9" max="9" width="8.88671875" style="583"/>
    <col min="10" max="10" width="9.33203125" style="31" bestFit="1" customWidth="1"/>
    <col min="11" max="12" width="9.6640625" style="31" customWidth="1"/>
    <col min="13" max="13" width="11.5546875" style="31" customWidth="1"/>
    <col min="14" max="14" width="11.109375" style="31" customWidth="1"/>
    <col min="15" max="15" width="10" style="85" customWidth="1"/>
    <col min="16" max="16" width="12.44140625" style="85" customWidth="1"/>
    <col min="17" max="17" width="10.44140625" style="583" customWidth="1"/>
    <col min="18" max="18" width="10.109375" style="583" customWidth="1"/>
    <col min="19" max="19" width="12.44140625" style="583" customWidth="1"/>
    <col min="20" max="22" width="10" style="117" customWidth="1"/>
    <col min="23" max="25" width="18.6640625" style="40" customWidth="1"/>
    <col min="26" max="27" width="8.88671875" style="31"/>
    <col min="28" max="28" width="11.5546875" style="31" customWidth="1"/>
    <col min="29" max="29" width="8.88671875" style="31"/>
    <col min="30" max="30" width="14.88671875" style="85" bestFit="1" customWidth="1"/>
    <col min="31" max="31" width="13" style="583" customWidth="1"/>
    <col min="32" max="32" width="11.44140625" style="583" customWidth="1"/>
    <col min="33" max="35" width="10" style="156" customWidth="1"/>
    <col min="36" max="38" width="18.6640625" style="157" customWidth="1"/>
    <col min="39" max="40" width="8.88671875" style="31"/>
    <col min="41" max="41" width="11.5546875" style="31" customWidth="1"/>
    <col min="42" max="42" width="8.88671875" style="31" customWidth="1"/>
    <col min="43" max="43" width="10" style="85" customWidth="1"/>
    <col min="44" max="44" width="12.44140625" style="85" customWidth="1"/>
    <col min="45" max="45" width="10" style="583" customWidth="1"/>
    <col min="46" max="46" width="10.109375" style="583" customWidth="1"/>
    <col min="47" max="47" width="12.44140625" style="583" customWidth="1"/>
    <col min="48" max="50" width="10" style="117" customWidth="1"/>
    <col min="51" max="53" width="18.6640625" style="31" customWidth="1"/>
    <col min="54" max="54" width="17.6640625" style="185" customWidth="1"/>
    <col min="55" max="55" width="23.5546875" style="185" customWidth="1"/>
    <col min="56" max="56" width="9.109375" style="185"/>
    <col min="57" max="58" width="8.88671875" style="31"/>
  </cols>
  <sheetData>
    <row r="1" spans="1:58" x14ac:dyDescent="0.3">
      <c r="A1" s="899" t="s">
        <v>0</v>
      </c>
      <c r="B1" s="899"/>
      <c r="C1" s="899"/>
      <c r="D1" s="582"/>
      <c r="J1" s="92"/>
      <c r="K1" s="108" t="s">
        <v>626</v>
      </c>
      <c r="O1" s="86" t="s">
        <v>601</v>
      </c>
      <c r="P1" s="87"/>
      <c r="Q1" s="583" t="s">
        <v>602</v>
      </c>
      <c r="R1" s="586"/>
      <c r="S1" s="586"/>
      <c r="T1" s="118"/>
      <c r="U1" s="118"/>
      <c r="V1" s="118"/>
      <c r="W1" s="587"/>
      <c r="X1" s="587"/>
      <c r="Y1" s="587"/>
      <c r="Z1" s="108" t="s">
        <v>89</v>
      </c>
      <c r="AD1" s="87" t="s">
        <v>601</v>
      </c>
      <c r="AE1" s="583" t="s">
        <v>602</v>
      </c>
      <c r="AF1" s="586"/>
      <c r="AJ1" s="587"/>
      <c r="AK1" s="587"/>
      <c r="AL1" s="587"/>
      <c r="AM1" s="108" t="s">
        <v>627</v>
      </c>
      <c r="AQ1" s="86" t="s">
        <v>601</v>
      </c>
      <c r="AR1" s="86"/>
      <c r="AS1" s="583" t="s">
        <v>602</v>
      </c>
      <c r="AT1" s="586"/>
      <c r="AU1" s="586"/>
      <c r="AV1" s="118"/>
      <c r="AW1" s="118"/>
      <c r="AX1" s="118"/>
      <c r="AY1" s="587"/>
      <c r="AZ1" s="587"/>
      <c r="BA1" s="587"/>
    </row>
    <row r="2" spans="1:58" x14ac:dyDescent="0.3">
      <c r="G2" s="584"/>
      <c r="H2" s="584"/>
      <c r="J2" s="92"/>
      <c r="K2" s="108"/>
      <c r="O2" s="588" t="s">
        <v>603</v>
      </c>
      <c r="P2" s="589"/>
      <c r="Q2" s="590" t="s">
        <v>603</v>
      </c>
      <c r="R2" s="590" t="s">
        <v>603</v>
      </c>
      <c r="S2" s="590"/>
      <c r="T2" s="591" t="s">
        <v>801</v>
      </c>
      <c r="U2" s="591"/>
      <c r="V2" s="591"/>
      <c r="W2" s="592"/>
      <c r="X2" s="592"/>
      <c r="Y2" s="592"/>
      <c r="AD2" s="589"/>
      <c r="AF2" s="590"/>
      <c r="AG2" s="593" t="s">
        <v>801</v>
      </c>
      <c r="AH2" s="593"/>
      <c r="AI2" s="593"/>
      <c r="AJ2" s="592"/>
      <c r="AK2" s="592"/>
      <c r="AL2" s="592"/>
      <c r="AM2" s="108"/>
      <c r="AQ2" s="588" t="s">
        <v>604</v>
      </c>
      <c r="AR2" s="588"/>
      <c r="AS2" s="590" t="s">
        <v>604</v>
      </c>
      <c r="AT2" s="590" t="s">
        <v>604</v>
      </c>
      <c r="AU2" s="590"/>
      <c r="AV2" s="591" t="s">
        <v>801</v>
      </c>
      <c r="AW2" s="591"/>
      <c r="AX2" s="591"/>
      <c r="AY2" s="592"/>
      <c r="AZ2" s="592"/>
      <c r="BA2" s="592"/>
    </row>
    <row r="3" spans="1:58" ht="43.2" x14ac:dyDescent="0.3">
      <c r="B3" s="108" t="s">
        <v>1</v>
      </c>
      <c r="C3" s="108" t="s">
        <v>2</v>
      </c>
      <c r="D3" s="378" t="s">
        <v>930</v>
      </c>
      <c r="E3" s="108" t="s">
        <v>5</v>
      </c>
      <c r="F3" s="108" t="s">
        <v>7</v>
      </c>
      <c r="G3" s="594" t="s">
        <v>1176</v>
      </c>
      <c r="H3" s="594" t="s">
        <v>1176</v>
      </c>
      <c r="I3" s="595" t="s">
        <v>593</v>
      </c>
      <c r="J3" s="533"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row>
    <row r="4" spans="1:58" x14ac:dyDescent="0.3">
      <c r="G4" s="33" t="s">
        <v>85</v>
      </c>
      <c r="H4" s="33" t="s">
        <v>522</v>
      </c>
      <c r="I4" s="595"/>
      <c r="J4" s="601" t="s">
        <v>595</v>
      </c>
      <c r="L4" s="31" t="s">
        <v>88</v>
      </c>
      <c r="O4" s="86" t="s">
        <v>596</v>
      </c>
      <c r="P4" s="87" t="s">
        <v>597</v>
      </c>
      <c r="Q4" s="583" t="s">
        <v>88</v>
      </c>
      <c r="R4" s="586" t="s">
        <v>596</v>
      </c>
      <c r="S4" s="586" t="s">
        <v>597</v>
      </c>
      <c r="T4" s="117" t="s">
        <v>88</v>
      </c>
      <c r="U4" s="117" t="s">
        <v>88</v>
      </c>
      <c r="V4" s="117" t="s">
        <v>88</v>
      </c>
      <c r="W4" s="592"/>
      <c r="X4" s="592"/>
      <c r="Y4" s="592"/>
      <c r="AA4" s="31" t="s">
        <v>88</v>
      </c>
      <c r="AD4" s="87" t="s">
        <v>596</v>
      </c>
      <c r="AE4" s="583" t="s">
        <v>88</v>
      </c>
      <c r="AF4" s="586" t="s">
        <v>596</v>
      </c>
      <c r="AG4" s="292" t="s">
        <v>88</v>
      </c>
      <c r="AH4" s="292" t="s">
        <v>88</v>
      </c>
      <c r="AI4" s="292" t="s">
        <v>88</v>
      </c>
      <c r="AJ4" s="602"/>
      <c r="AK4" s="602"/>
      <c r="AL4" s="602"/>
      <c r="AN4" s="31" t="s">
        <v>88</v>
      </c>
      <c r="AQ4" s="86" t="s">
        <v>596</v>
      </c>
      <c r="AR4" s="86" t="s">
        <v>597</v>
      </c>
      <c r="AS4" s="583" t="s">
        <v>88</v>
      </c>
      <c r="AT4" s="586" t="s">
        <v>596</v>
      </c>
      <c r="AU4" s="586" t="s">
        <v>597</v>
      </c>
      <c r="AV4" s="302" t="s">
        <v>88</v>
      </c>
      <c r="AW4" s="302" t="s">
        <v>88</v>
      </c>
      <c r="AX4" s="302" t="s">
        <v>88</v>
      </c>
      <c r="AY4" s="602"/>
      <c r="AZ4" s="602"/>
      <c r="BA4" s="648"/>
      <c r="BB4" s="319"/>
      <c r="BC4" s="192"/>
      <c r="BD4" s="603"/>
    </row>
    <row r="6" spans="1:58" s="13" customFormat="1" x14ac:dyDescent="0.3">
      <c r="A6" s="29"/>
      <c r="B6" s="30" t="s">
        <v>1107</v>
      </c>
      <c r="C6" s="29"/>
      <c r="D6" s="29"/>
      <c r="E6" s="29"/>
      <c r="F6" s="29"/>
      <c r="G6" s="29"/>
      <c r="H6" s="29"/>
      <c r="I6" s="213"/>
      <c r="J6" s="29"/>
      <c r="K6" s="29"/>
      <c r="L6" s="29"/>
      <c r="M6" s="29"/>
      <c r="N6" s="29"/>
      <c r="O6" s="29"/>
      <c r="P6" s="29"/>
      <c r="Q6" s="29"/>
      <c r="R6" s="29"/>
      <c r="S6" s="29"/>
      <c r="T6" s="29"/>
      <c r="U6" s="29"/>
      <c r="V6" s="29"/>
      <c r="W6" s="29"/>
      <c r="X6" s="29"/>
      <c r="Y6" s="29"/>
      <c r="Z6" s="29"/>
      <c r="AA6" s="29"/>
      <c r="AB6" s="29"/>
      <c r="AC6" s="29"/>
      <c r="AD6" s="29"/>
      <c r="AE6" s="29"/>
      <c r="AF6" s="29"/>
      <c r="AG6" s="184"/>
      <c r="AH6" s="184"/>
      <c r="AI6" s="184"/>
      <c r="AJ6" s="184"/>
      <c r="AK6" s="184"/>
      <c r="AL6" s="184"/>
      <c r="AM6" s="29"/>
      <c r="AN6" s="29"/>
      <c r="AO6" s="29"/>
      <c r="AP6" s="29"/>
      <c r="AQ6" s="29"/>
      <c r="AR6" s="29"/>
      <c r="AS6" s="29"/>
      <c r="AT6" s="29"/>
      <c r="AU6" s="29"/>
      <c r="AV6" s="29"/>
      <c r="AW6" s="29"/>
      <c r="AX6" s="29"/>
      <c r="AY6" s="29"/>
      <c r="AZ6" s="29"/>
      <c r="BA6" s="29"/>
      <c r="BB6" s="29"/>
      <c r="BC6" s="29"/>
      <c r="BD6" s="29"/>
      <c r="BE6" s="29"/>
      <c r="BF6" s="29"/>
    </row>
    <row r="7" spans="1:58" x14ac:dyDescent="0.3">
      <c r="B7" s="29" t="s">
        <v>1112</v>
      </c>
      <c r="I7" s="208"/>
      <c r="Q7" s="208"/>
      <c r="R7" s="208"/>
      <c r="S7" s="208"/>
      <c r="AE7" s="208"/>
      <c r="AF7" s="208"/>
      <c r="AS7" s="208"/>
      <c r="AT7" s="208"/>
      <c r="AU7" s="208"/>
    </row>
    <row r="8" spans="1:58" x14ac:dyDescent="0.3">
      <c r="A8" s="33">
        <v>1</v>
      </c>
      <c r="B8" s="31" t="s">
        <v>312</v>
      </c>
      <c r="C8" s="34" t="s">
        <v>313</v>
      </c>
      <c r="D8" s="35"/>
      <c r="E8" s="31" t="s">
        <v>314</v>
      </c>
      <c r="F8" s="31" t="s">
        <v>670</v>
      </c>
      <c r="G8" s="31">
        <v>35</v>
      </c>
      <c r="H8" s="31">
        <f>G8+273.15</f>
        <v>308.14999999999998</v>
      </c>
      <c r="I8" s="208">
        <f>-LOG10(EXP(LN(10^-14)+13.36*(1/298.15-1/H8)/0.0019872))</f>
        <v>13.682201234974167</v>
      </c>
      <c r="J8" s="31">
        <v>23.85</v>
      </c>
      <c r="O8" s="86"/>
      <c r="P8" s="87"/>
      <c r="Q8" s="208"/>
      <c r="R8" s="209"/>
      <c r="S8" s="209"/>
      <c r="T8" s="118"/>
      <c r="U8" s="118"/>
      <c r="V8" s="118"/>
      <c r="W8" s="119"/>
      <c r="X8" s="119"/>
      <c r="Y8" s="119"/>
      <c r="Z8" s="31">
        <v>7</v>
      </c>
      <c r="AB8" s="103">
        <v>4.2939999999999999E-6</v>
      </c>
      <c r="AC8" s="31" t="s">
        <v>600</v>
      </c>
      <c r="AD8" s="86">
        <f>AB8</f>
        <v>4.2939999999999999E-6</v>
      </c>
      <c r="AE8" s="219">
        <f>(LN(2)/AF8)/(60*60*24)</f>
        <v>6.8988636826350032</v>
      </c>
      <c r="AF8" s="209">
        <f>EXP(LN(AD8)+$J8*(1/$H8-1/298.15)/0.0019872)</f>
        <v>1.1628780015221603E-6</v>
      </c>
      <c r="AG8" s="156">
        <f>AVERAGE(AE8:AE11)</f>
        <v>6.4475204416772893</v>
      </c>
      <c r="AH8" s="156">
        <f>MEDIAN(AE8:AE11)</f>
        <v>6.3231831397514853</v>
      </c>
      <c r="AI8" s="156">
        <f>STDEV(AE8:AE11)</f>
        <v>0.30323127956457713</v>
      </c>
      <c r="AQ8" s="86"/>
      <c r="AR8" s="86"/>
      <c r="AS8" s="208"/>
      <c r="AT8" s="209"/>
      <c r="AU8" s="209"/>
      <c r="AV8" s="118"/>
      <c r="AW8" s="118"/>
      <c r="AX8" s="118"/>
    </row>
    <row r="9" spans="1:58" x14ac:dyDescent="0.3">
      <c r="A9" s="33"/>
      <c r="C9" s="34"/>
      <c r="D9" s="35"/>
      <c r="F9" s="31" t="s">
        <v>671</v>
      </c>
      <c r="G9" s="31">
        <v>40</v>
      </c>
      <c r="H9" s="31">
        <f>G9+273.15</f>
        <v>313.14999999999998</v>
      </c>
      <c r="I9" s="208">
        <f>-LOG10(EXP(LN(10^-14)+13.36*(1/298.15-1/H9)/0.0019872))</f>
        <v>13.530913191237214</v>
      </c>
      <c r="J9" s="31">
        <v>22.65</v>
      </c>
      <c r="O9" s="86"/>
      <c r="P9" s="87"/>
      <c r="Q9" s="208"/>
      <c r="R9" s="209"/>
      <c r="S9" s="209"/>
      <c r="T9" s="118"/>
      <c r="U9" s="118"/>
      <c r="V9" s="118"/>
      <c r="W9" s="119"/>
      <c r="X9" s="119"/>
      <c r="Y9" s="119"/>
      <c r="Z9" s="31">
        <v>7</v>
      </c>
      <c r="AB9" s="103">
        <v>7.9079999999999995E-6</v>
      </c>
      <c r="AC9" s="31" t="s">
        <v>600</v>
      </c>
      <c r="AD9" s="86">
        <f>AB9</f>
        <v>7.9079999999999995E-6</v>
      </c>
      <c r="AE9" s="219">
        <f>(LN(2)/AF9)/(60*60*24)</f>
        <v>6.3316329857286444</v>
      </c>
      <c r="AF9" s="209">
        <f>EXP(LN(AD9)+$J9*(1/$H9-1/298.15)/0.0019872)</f>
        <v>1.2670565129278682E-6</v>
      </c>
      <c r="AQ9" s="86"/>
      <c r="AR9" s="86"/>
      <c r="AS9" s="208"/>
      <c r="AT9" s="209"/>
      <c r="AU9" s="209"/>
      <c r="AV9" s="118"/>
      <c r="AW9" s="118"/>
      <c r="AX9" s="118"/>
    </row>
    <row r="10" spans="1:58" x14ac:dyDescent="0.3">
      <c r="A10" s="33"/>
      <c r="C10" s="34"/>
      <c r="D10" s="35"/>
      <c r="F10" s="31" t="s">
        <v>671</v>
      </c>
      <c r="G10" s="31">
        <v>50</v>
      </c>
      <c r="H10" s="31">
        <f>G10+273.15</f>
        <v>323.14999999999998</v>
      </c>
      <c r="I10" s="208">
        <f>-LOG10(EXP(LN(10^-14)+13.36*(1/298.15-1/H10)/0.0019872))</f>
        <v>13.242382102408241</v>
      </c>
      <c r="J10" s="31">
        <v>22.65</v>
      </c>
      <c r="O10" s="86"/>
      <c r="P10" s="87"/>
      <c r="Q10" s="208"/>
      <c r="R10" s="209"/>
      <c r="S10" s="209"/>
      <c r="T10" s="118"/>
      <c r="U10" s="118"/>
      <c r="V10" s="118"/>
      <c r="W10" s="119"/>
      <c r="X10" s="119"/>
      <c r="Y10" s="119"/>
      <c r="Z10" s="31">
        <v>7</v>
      </c>
      <c r="AB10" s="103">
        <v>2.4729999999999999E-5</v>
      </c>
      <c r="AC10" s="31" t="s">
        <v>600</v>
      </c>
      <c r="AD10" s="86">
        <f>AB10</f>
        <v>2.4729999999999999E-5</v>
      </c>
      <c r="AE10" s="219">
        <f>(LN(2)/AF10)/(60*60*24)</f>
        <v>6.2448518045711827</v>
      </c>
      <c r="AF10" s="209">
        <f>EXP(LN(AD10)+$J10*(1/$H10-1/298.15)/0.0019872)</f>
        <v>1.2846640822067177E-6</v>
      </c>
      <c r="AQ10" s="86"/>
      <c r="AR10" s="86"/>
      <c r="AS10" s="208"/>
      <c r="AT10" s="209"/>
      <c r="AU10" s="209"/>
      <c r="AV10" s="118"/>
      <c r="AW10" s="118"/>
      <c r="AX10" s="118"/>
    </row>
    <row r="11" spans="1:58" x14ac:dyDescent="0.3">
      <c r="A11" s="33"/>
      <c r="C11" s="34"/>
      <c r="D11" s="35"/>
      <c r="F11" s="31" t="s">
        <v>671</v>
      </c>
      <c r="G11" s="31">
        <v>60</v>
      </c>
      <c r="H11" s="31">
        <f>G11+273.15</f>
        <v>333.15</v>
      </c>
      <c r="I11" s="208">
        <f>-LOG10(EXP(LN(10^-14)+13.36*(1/298.15-1/H11)/0.0019872))</f>
        <v>12.971172405674658</v>
      </c>
      <c r="J11" s="31">
        <v>22.65</v>
      </c>
      <c r="O11" s="86"/>
      <c r="P11" s="87"/>
      <c r="Q11" s="208"/>
      <c r="R11" s="209"/>
      <c r="S11" s="209"/>
      <c r="T11" s="118"/>
      <c r="U11" s="118"/>
      <c r="V11" s="118"/>
      <c r="W11" s="119"/>
      <c r="X11" s="119"/>
      <c r="Y11" s="119"/>
      <c r="Z11" s="31">
        <v>7</v>
      </c>
      <c r="AB11" s="103">
        <v>7.0500000000000006E-5</v>
      </c>
      <c r="AC11" s="31" t="s">
        <v>600</v>
      </c>
      <c r="AD11" s="86">
        <f>AB11</f>
        <v>7.0500000000000006E-5</v>
      </c>
      <c r="AE11" s="219">
        <f>(LN(2)/AF11)/(60*60*24)</f>
        <v>6.3147332937743261</v>
      </c>
      <c r="AF11" s="209">
        <f>EXP(LN(AD11)+$J11*(1/$H11-1/298.15)/0.0019872)</f>
        <v>1.2704474502424032E-6</v>
      </c>
      <c r="AQ11" s="86"/>
      <c r="AR11" s="86"/>
      <c r="AS11" s="208"/>
      <c r="AT11" s="209"/>
      <c r="AU11" s="209"/>
      <c r="AV11" s="118"/>
      <c r="AW11" s="118"/>
      <c r="AX11" s="118"/>
    </row>
    <row r="12" spans="1:58" x14ac:dyDescent="0.3">
      <c r="A12" s="33"/>
      <c r="I12" s="208"/>
      <c r="Q12" s="208"/>
      <c r="R12" s="208"/>
      <c r="S12" s="208"/>
      <c r="AE12" s="208"/>
      <c r="AF12" s="208"/>
      <c r="AS12" s="208"/>
      <c r="AT12" s="208"/>
      <c r="AU12" s="208"/>
    </row>
    <row r="13" spans="1:58" ht="15" thickBot="1" x14ac:dyDescent="0.35">
      <c r="A13" s="33"/>
      <c r="I13" s="208"/>
      <c r="Q13" s="208"/>
      <c r="R13" s="208"/>
      <c r="S13" s="208"/>
      <c r="AE13" s="208"/>
      <c r="AF13" s="208"/>
      <c r="AS13" s="208"/>
      <c r="AT13" s="208"/>
      <c r="AU13" s="208"/>
    </row>
    <row r="14" spans="1:58" s="8" customFormat="1" x14ac:dyDescent="0.3">
      <c r="A14" s="36">
        <v>14</v>
      </c>
      <c r="B14" s="37" t="s">
        <v>417</v>
      </c>
      <c r="C14" s="37" t="s">
        <v>372</v>
      </c>
      <c r="D14" s="38"/>
      <c r="E14" s="39" t="s">
        <v>393</v>
      </c>
      <c r="F14" s="39" t="s">
        <v>1267</v>
      </c>
      <c r="G14" s="37">
        <v>90</v>
      </c>
      <c r="H14" s="37">
        <f>G14+273.15</f>
        <v>363.15</v>
      </c>
      <c r="I14" s="214">
        <f>-LOG10(EXP(LN(10^-14)+13.36*(1/298.15-1/H14)/0.0019872))</f>
        <v>12.247162380895993</v>
      </c>
      <c r="J14" s="88">
        <v>25.9</v>
      </c>
      <c r="K14" s="37"/>
      <c r="L14" s="37"/>
      <c r="M14" s="37"/>
      <c r="N14" s="37"/>
      <c r="O14" s="89"/>
      <c r="P14" s="90"/>
      <c r="Q14" s="214"/>
      <c r="R14" s="215"/>
      <c r="S14" s="215"/>
      <c r="T14" s="120"/>
      <c r="U14" s="120"/>
      <c r="V14" s="120"/>
      <c r="W14" s="121"/>
      <c r="X14" s="121"/>
      <c r="Y14" s="121"/>
      <c r="Z14" s="37">
        <v>7</v>
      </c>
      <c r="AA14" s="37"/>
      <c r="AB14" s="122">
        <f>5.64*10^-5</f>
        <v>5.6400000000000002E-5</v>
      </c>
      <c r="AC14" s="37" t="s">
        <v>600</v>
      </c>
      <c r="AD14" s="89">
        <f>AB14</f>
        <v>5.6400000000000002E-5</v>
      </c>
      <c r="AE14" s="218">
        <f>(LN(2)/AF14)/(60*60*24)</f>
        <v>355.73247003976815</v>
      </c>
      <c r="AF14" s="215">
        <f>EXP(LN(AD14)+$J14*(1/$H14-1/298.15)/0.0019872)</f>
        <v>2.2552163459072337E-8</v>
      </c>
      <c r="AG14" s="885">
        <f>AVERAGE(AE14:AE15)</f>
        <v>379.62193322422598</v>
      </c>
      <c r="AH14" s="158">
        <f>MEDIAN(AE14:AE15)</f>
        <v>379.62193322422598</v>
      </c>
      <c r="AI14" s="158">
        <f>STDEV(AE14:AE15)</f>
        <v>33.784802833273027</v>
      </c>
      <c r="AK14" s="159"/>
      <c r="AL14" s="159"/>
      <c r="AM14" s="37"/>
      <c r="AN14" s="37"/>
      <c r="AO14" s="37"/>
      <c r="AP14" s="37"/>
      <c r="AQ14" s="89"/>
      <c r="AR14" s="89"/>
      <c r="AS14" s="214"/>
      <c r="AT14" s="215"/>
      <c r="AU14" s="215"/>
      <c r="AV14" s="120"/>
      <c r="AW14" s="120"/>
      <c r="AX14" s="120"/>
      <c r="AY14" s="37"/>
      <c r="AZ14" s="37"/>
      <c r="BA14" s="37"/>
      <c r="BB14" s="186"/>
      <c r="BC14" s="186"/>
      <c r="BD14" s="186"/>
      <c r="BE14" s="37"/>
      <c r="BF14" s="37"/>
    </row>
    <row r="15" spans="1:58" x14ac:dyDescent="0.3">
      <c r="A15" s="33"/>
      <c r="E15" s="31" t="s">
        <v>549</v>
      </c>
      <c r="F15" s="31" t="s">
        <v>697</v>
      </c>
      <c r="G15" s="31">
        <v>100</v>
      </c>
      <c r="H15" s="31">
        <f>G15+273.15</f>
        <v>373.15</v>
      </c>
      <c r="I15" s="208">
        <f>-LOG10(EXP(LN(10^-14)+13.36*(1/298.15-1/H15)/0.0019872))</f>
        <v>12.031695910973252</v>
      </c>
      <c r="J15" s="91">
        <v>26.3</v>
      </c>
      <c r="O15" s="86"/>
      <c r="P15" s="87"/>
      <c r="Q15" s="208"/>
      <c r="R15" s="209"/>
      <c r="S15" s="209"/>
      <c r="T15" s="118"/>
      <c r="U15" s="118"/>
      <c r="V15" s="118"/>
      <c r="W15" s="119"/>
      <c r="X15" s="119"/>
      <c r="Y15" s="119"/>
      <c r="AB15" s="123">
        <v>1.4899999999999999E-4</v>
      </c>
      <c r="AC15" s="31" t="s">
        <v>600</v>
      </c>
      <c r="AD15" s="86">
        <f>AB15</f>
        <v>1.4899999999999999E-4</v>
      </c>
      <c r="AE15" s="219">
        <f>(LN(2)/AF15)/(60*60*24)</f>
        <v>403.51139640868382</v>
      </c>
      <c r="AF15" s="209">
        <f>EXP(LN(AD15)+$J15*(1/$H15-1/298.15)/0.0019872)</f>
        <v>1.9881809741777478E-8</v>
      </c>
      <c r="AQ15" s="86"/>
      <c r="AR15" s="86"/>
      <c r="AS15" s="219"/>
      <c r="AT15" s="209"/>
      <c r="AU15" s="209"/>
      <c r="AV15" s="118"/>
      <c r="AW15" s="118"/>
      <c r="AX15" s="118"/>
    </row>
    <row r="16" spans="1:58" x14ac:dyDescent="0.3">
      <c r="A16" s="33"/>
      <c r="E16" s="31" t="s">
        <v>549</v>
      </c>
      <c r="F16" s="31" t="s">
        <v>658</v>
      </c>
      <c r="G16" s="31">
        <v>100</v>
      </c>
      <c r="H16" s="31">
        <f>G16+273.15</f>
        <v>373.15</v>
      </c>
      <c r="I16" s="208">
        <f>-LOG10(EXP(LN(10^-14)+13.36*(1/298.15-1/H16)/0.0019872))</f>
        <v>12.031695910973252</v>
      </c>
      <c r="J16" s="91">
        <v>24.3</v>
      </c>
      <c r="O16" s="86"/>
      <c r="P16" s="87"/>
      <c r="Q16" s="208"/>
      <c r="R16" s="209"/>
      <c r="S16" s="209"/>
      <c r="T16" s="118"/>
      <c r="U16" s="118"/>
      <c r="V16" s="118"/>
      <c r="W16" s="119"/>
      <c r="X16" s="119"/>
      <c r="Y16" s="119"/>
      <c r="AD16" s="87"/>
      <c r="AE16" s="219"/>
      <c r="AF16" s="209"/>
      <c r="AO16" s="103">
        <v>2.4199999999999999E-2</v>
      </c>
      <c r="AP16" s="31" t="s">
        <v>656</v>
      </c>
      <c r="AQ16" s="86">
        <f>AR16*10^(9-I16)</f>
        <v>2.2496733053518165E-5</v>
      </c>
      <c r="AR16" s="86">
        <f>AO16</f>
        <v>2.4199999999999999E-2</v>
      </c>
      <c r="AS16" s="219">
        <f>(LN(2)/AT16)/(60*60*24)</f>
        <v>126057.99833854387</v>
      </c>
      <c r="AT16" s="209">
        <f>AU16*10^(9-14)</f>
        <v>6.3641632564170341E-11</v>
      </c>
      <c r="AU16" s="209">
        <f>EXP(LN(AR16)+$J16*(1/$H16-1/298.15)/0.0019872)</f>
        <v>6.364163256417033E-6</v>
      </c>
      <c r="AV16" s="897">
        <f>AS16</f>
        <v>126057.99833854387</v>
      </c>
      <c r="AW16" s="118"/>
      <c r="AX16" s="118"/>
    </row>
    <row r="17" spans="1:58" ht="15" thickBot="1" x14ac:dyDescent="0.35">
      <c r="A17" s="33"/>
      <c r="I17" s="208"/>
      <c r="Q17" s="208"/>
      <c r="R17" s="208"/>
      <c r="S17" s="208"/>
      <c r="AE17" s="208"/>
      <c r="AF17" s="208"/>
      <c r="AS17" s="208"/>
      <c r="AT17" s="208"/>
      <c r="AU17" s="208"/>
    </row>
    <row r="18" spans="1:58" s="8" customFormat="1" x14ac:dyDescent="0.3">
      <c r="A18" s="36">
        <v>17</v>
      </c>
      <c r="B18" s="37" t="s">
        <v>375</v>
      </c>
      <c r="C18" s="37" t="s">
        <v>376</v>
      </c>
      <c r="D18" s="38"/>
      <c r="E18" s="39" t="s">
        <v>394</v>
      </c>
      <c r="F18" s="39" t="s">
        <v>1267</v>
      </c>
      <c r="G18" s="37">
        <v>100</v>
      </c>
      <c r="H18" s="37">
        <f>G18+273.15</f>
        <v>373.15</v>
      </c>
      <c r="I18" s="214">
        <f>-LOG10(EXP(LN(10^-14)+13.36*(1/298.15-1/H18)/0.0019872))</f>
        <v>12.031695910973252</v>
      </c>
      <c r="J18" s="88">
        <v>25.6</v>
      </c>
      <c r="K18" s="37"/>
      <c r="L18" s="37"/>
      <c r="M18" s="37"/>
      <c r="N18" s="37"/>
      <c r="O18" s="89"/>
      <c r="P18" s="90"/>
      <c r="Q18" s="214"/>
      <c r="R18" s="215"/>
      <c r="S18" s="215"/>
      <c r="T18" s="120"/>
      <c r="U18" s="120"/>
      <c r="V18" s="120"/>
      <c r="W18" s="121"/>
      <c r="X18" s="121"/>
      <c r="Y18" s="121"/>
      <c r="Z18" s="37">
        <v>7</v>
      </c>
      <c r="AA18" s="37"/>
      <c r="AB18" s="122">
        <f>1.148*10^-4</f>
        <v>1.148E-4</v>
      </c>
      <c r="AC18" s="37" t="s">
        <v>600</v>
      </c>
      <c r="AD18" s="89">
        <f>AB18</f>
        <v>1.148E-4</v>
      </c>
      <c r="AE18" s="218">
        <f>(LN(2)/AF18)/(60*60*24)</f>
        <v>413.0194272803767</v>
      </c>
      <c r="AF18" s="215">
        <f>EXP(LN(AD18)+$J18*(1/$H18-1/298.15)/0.0019872)</f>
        <v>1.9424114901477346E-8</v>
      </c>
      <c r="AG18" s="882">
        <f>AE18</f>
        <v>413.0194272803767</v>
      </c>
      <c r="AH18" s="158"/>
      <c r="AI18" s="158"/>
      <c r="AK18" s="159"/>
      <c r="AL18" s="159"/>
      <c r="AM18" s="37"/>
      <c r="AN18" s="37"/>
      <c r="AO18" s="37"/>
      <c r="AP18" s="37"/>
      <c r="AQ18" s="89"/>
      <c r="AR18" s="89"/>
      <c r="AS18" s="214"/>
      <c r="AT18" s="215"/>
      <c r="AU18" s="215"/>
      <c r="AV18" s="120"/>
      <c r="AW18" s="120"/>
      <c r="AX18" s="120"/>
      <c r="AY18" s="37"/>
      <c r="AZ18" s="37"/>
      <c r="BA18" s="37"/>
      <c r="BB18" s="186"/>
      <c r="BC18" s="186"/>
      <c r="BD18" s="186"/>
      <c r="BE18" s="37"/>
      <c r="BF18" s="37"/>
    </row>
    <row r="19" spans="1:58" x14ac:dyDescent="0.3">
      <c r="A19" s="33"/>
      <c r="E19" s="40"/>
      <c r="I19" s="208"/>
      <c r="J19" s="91"/>
      <c r="O19" s="86"/>
      <c r="P19" s="87"/>
      <c r="Q19" s="208"/>
      <c r="R19" s="209"/>
      <c r="S19" s="209"/>
      <c r="T19" s="118"/>
      <c r="U19" s="118"/>
      <c r="V19" s="118"/>
      <c r="W19" s="119"/>
      <c r="X19" s="119"/>
      <c r="Y19" s="119"/>
      <c r="AB19" s="103"/>
      <c r="AD19" s="86"/>
      <c r="AE19" s="219"/>
      <c r="AF19" s="209"/>
      <c r="AQ19" s="86"/>
      <c r="AR19" s="86"/>
      <c r="AS19" s="208"/>
      <c r="AT19" s="209"/>
      <c r="AU19" s="209"/>
      <c r="AV19" s="118"/>
      <c r="AW19" s="118"/>
      <c r="AX19" s="118"/>
    </row>
    <row r="20" spans="1:58" x14ac:dyDescent="0.3">
      <c r="A20" s="33"/>
      <c r="I20" s="208"/>
      <c r="Q20" s="208"/>
      <c r="R20" s="208"/>
      <c r="S20" s="208"/>
      <c r="AE20" s="208"/>
      <c r="AF20" s="208"/>
      <c r="AS20" s="208"/>
      <c r="AT20" s="208"/>
      <c r="AU20" s="208"/>
    </row>
    <row r="21" spans="1:58" s="9" customFormat="1" x14ac:dyDescent="0.3">
      <c r="A21" s="41">
        <v>20</v>
      </c>
      <c r="B21" s="42" t="s">
        <v>381</v>
      </c>
      <c r="C21" s="42" t="s">
        <v>382</v>
      </c>
      <c r="D21" s="43"/>
      <c r="E21" s="44" t="s">
        <v>394</v>
      </c>
      <c r="F21" s="44" t="s">
        <v>395</v>
      </c>
      <c r="G21" s="42">
        <v>98</v>
      </c>
      <c r="H21" s="42">
        <f>G21+273.15</f>
        <v>371.15</v>
      </c>
      <c r="I21" s="216">
        <f>-LOG10(EXP(LN(10^-14)+13.36*(1/298.15-1/H21)/0.0019872))</f>
        <v>12.073860345057824</v>
      </c>
      <c r="J21" s="93">
        <v>24.89</v>
      </c>
      <c r="K21" s="42"/>
      <c r="L21" s="42"/>
      <c r="M21" s="42"/>
      <c r="N21" s="42"/>
      <c r="O21" s="94"/>
      <c r="P21" s="95"/>
      <c r="Q21" s="216"/>
      <c r="R21" s="217"/>
      <c r="S21" s="217"/>
      <c r="T21" s="124"/>
      <c r="U21" s="124"/>
      <c r="V21" s="124"/>
      <c r="W21" s="125"/>
      <c r="X21" s="125"/>
      <c r="Y21" s="125"/>
      <c r="Z21" s="42">
        <v>7</v>
      </c>
      <c r="AA21" s="42"/>
      <c r="AB21" s="126">
        <f>1*10^-3</f>
        <v>1E-3</v>
      </c>
      <c r="AC21" s="42" t="s">
        <v>600</v>
      </c>
      <c r="AD21" s="94">
        <f>AB21</f>
        <v>1E-3</v>
      </c>
      <c r="AE21" s="688">
        <f>(LN(2)/AF21)/(60*60*24)</f>
        <v>31.099687907578051</v>
      </c>
      <c r="AF21" s="217">
        <f>EXP(LN(AD21)+$J21*(1/$H21-1/298.15)/0.0019872)</f>
        <v>2.5796197170459564E-7</v>
      </c>
      <c r="AG21" s="835">
        <f>AE21</f>
        <v>31.099687907578051</v>
      </c>
      <c r="AH21" s="160"/>
      <c r="AI21" s="160"/>
      <c r="AJ21" s="161"/>
      <c r="AK21" s="161"/>
      <c r="AL21" s="161"/>
      <c r="AM21" s="42"/>
      <c r="AN21" s="42"/>
      <c r="AO21" s="42"/>
      <c r="AP21" s="42"/>
      <c r="AQ21" s="94"/>
      <c r="AR21" s="94"/>
      <c r="AS21" s="216"/>
      <c r="AT21" s="217"/>
      <c r="AU21" s="217"/>
      <c r="AV21" s="124"/>
      <c r="AW21" s="124"/>
      <c r="AX21" s="124"/>
      <c r="AY21" s="42"/>
      <c r="AZ21" s="42"/>
      <c r="BA21" s="42"/>
      <c r="BB21" s="187"/>
      <c r="BC21" s="187"/>
      <c r="BD21" s="187"/>
      <c r="BE21" s="42"/>
      <c r="BF21" s="42"/>
    </row>
    <row r="22" spans="1:58" ht="15" thickBot="1" x14ac:dyDescent="0.35">
      <c r="A22" s="33"/>
      <c r="E22" s="40"/>
      <c r="I22" s="208"/>
      <c r="J22" s="92"/>
      <c r="O22" s="86"/>
      <c r="P22" s="87"/>
      <c r="Q22" s="208"/>
      <c r="R22" s="209"/>
      <c r="S22" s="209"/>
      <c r="T22" s="118"/>
      <c r="U22" s="118"/>
      <c r="V22" s="118"/>
      <c r="W22" s="119"/>
      <c r="X22" s="119"/>
      <c r="Y22" s="119"/>
      <c r="AB22" s="103"/>
      <c r="AD22" s="86"/>
      <c r="AE22" s="219"/>
      <c r="AF22" s="209"/>
      <c r="AQ22" s="86"/>
      <c r="AR22" s="86"/>
      <c r="AS22" s="208"/>
      <c r="AT22" s="209"/>
      <c r="AU22" s="209"/>
      <c r="AV22" s="118"/>
      <c r="AW22" s="118"/>
      <c r="AX22" s="118"/>
    </row>
    <row r="23" spans="1:58" s="8" customFormat="1" ht="18" customHeight="1" thickBot="1" x14ac:dyDescent="0.35">
      <c r="A23" s="36">
        <v>25</v>
      </c>
      <c r="B23" s="37" t="s">
        <v>391</v>
      </c>
      <c r="C23" s="37" t="s">
        <v>392</v>
      </c>
      <c r="D23" s="38"/>
      <c r="E23" s="39" t="s">
        <v>393</v>
      </c>
      <c r="F23" s="39" t="s">
        <v>395</v>
      </c>
      <c r="G23" s="37">
        <v>14</v>
      </c>
      <c r="H23" s="37">
        <f>G23+273.15</f>
        <v>287.14999999999998</v>
      </c>
      <c r="I23" s="214">
        <f>-LOG10(EXP(LN(10^-14)+13.36*(1/298.15-1/H23)/0.0019872))</f>
        <v>14.375144204725691</v>
      </c>
      <c r="J23" s="96">
        <v>24.89</v>
      </c>
      <c r="K23" s="37"/>
      <c r="L23" s="37"/>
      <c r="M23" s="37"/>
      <c r="N23" s="37"/>
      <c r="O23" s="89"/>
      <c r="P23" s="90"/>
      <c r="Q23" s="214"/>
      <c r="R23" s="215"/>
      <c r="S23" s="215"/>
      <c r="T23" s="120"/>
      <c r="U23" s="120"/>
      <c r="V23" s="120"/>
      <c r="W23" s="121"/>
      <c r="X23" s="121"/>
      <c r="Y23" s="121"/>
      <c r="Z23" s="37">
        <v>7</v>
      </c>
      <c r="AA23" s="37"/>
      <c r="AB23" s="122">
        <f>6.36*10^-3</f>
        <v>6.3600000000000002E-3</v>
      </c>
      <c r="AC23" s="37" t="s">
        <v>600</v>
      </c>
      <c r="AD23" s="89">
        <f>AB23</f>
        <v>6.3600000000000002E-3</v>
      </c>
      <c r="AE23" s="689">
        <f>(LN(2)/AF23)/(60*60*24)</f>
        <v>2.5232016734740042E-4</v>
      </c>
      <c r="AF23" s="215">
        <f>EXP(LN(AD23)+$J23*(1/$H23-1/298.15)/0.0019872)</f>
        <v>3.1795067736265344E-2</v>
      </c>
      <c r="AG23" s="836">
        <f>AE23</f>
        <v>2.5232016734740042E-4</v>
      </c>
      <c r="AH23" s="158"/>
      <c r="AI23" s="158"/>
      <c r="AJ23" s="159"/>
      <c r="AK23" s="159"/>
      <c r="AL23" s="159"/>
      <c r="AM23" s="37"/>
      <c r="AN23" s="37"/>
      <c r="AO23" s="37"/>
      <c r="AP23" s="37"/>
      <c r="AQ23" s="89"/>
      <c r="AR23" s="89"/>
      <c r="AS23" s="214"/>
      <c r="AT23" s="215"/>
      <c r="AU23" s="215"/>
      <c r="AV23" s="120"/>
      <c r="AW23" s="120"/>
      <c r="AX23" s="120"/>
      <c r="AY23" s="37"/>
      <c r="AZ23" s="37"/>
      <c r="BA23" s="37"/>
      <c r="BB23" s="186"/>
      <c r="BC23" s="186"/>
      <c r="BD23" s="186"/>
      <c r="BE23" s="37"/>
      <c r="BF23" s="37"/>
    </row>
    <row r="24" spans="1:58" s="8" customFormat="1" x14ac:dyDescent="0.3">
      <c r="A24" s="36">
        <v>34</v>
      </c>
      <c r="B24" s="45" t="s">
        <v>553</v>
      </c>
      <c r="C24" s="45" t="s">
        <v>554</v>
      </c>
      <c r="D24" s="46"/>
      <c r="E24" s="37" t="s">
        <v>557</v>
      </c>
      <c r="F24" s="37"/>
      <c r="G24" s="37">
        <v>68</v>
      </c>
      <c r="H24" s="37">
        <f t="shared" ref="H24:H35" si="0">G24+273.15</f>
        <v>341.15</v>
      </c>
      <c r="I24" s="214">
        <f t="shared" ref="I24:I35" si="1">-LOG10(EXP(LN(10^-14)+13.36*(1/298.15-1/H24)/0.0019872))</f>
        <v>12.765652456093635</v>
      </c>
      <c r="J24" s="96">
        <v>24.89</v>
      </c>
      <c r="K24" s="37"/>
      <c r="L24" s="37"/>
      <c r="M24" s="37"/>
      <c r="N24" s="37"/>
      <c r="O24" s="89"/>
      <c r="P24" s="89"/>
      <c r="Q24" s="218"/>
      <c r="R24" s="215"/>
      <c r="S24" s="215"/>
      <c r="T24" s="120"/>
      <c r="U24" s="120"/>
      <c r="V24" s="120"/>
      <c r="W24" s="121"/>
      <c r="X24" s="121"/>
      <c r="Y24" s="121"/>
      <c r="Z24" s="37">
        <v>2.98</v>
      </c>
      <c r="AA24" s="37">
        <f>0.64/24</f>
        <v>2.6666666666666668E-2</v>
      </c>
      <c r="AB24" s="37">
        <f>1.09/3600</f>
        <v>3.0277777777777779E-4</v>
      </c>
      <c r="AC24" s="37" t="s">
        <v>600</v>
      </c>
      <c r="AD24" s="127">
        <f t="shared" ref="AD24:AD35" si="2">AB24</f>
        <v>3.0277777777777779E-4</v>
      </c>
      <c r="AE24" s="218">
        <f t="shared" ref="AE24:AE35" si="3">(LN(2)/AF24)/(60*60*24)</f>
        <v>5.2821017264431331</v>
      </c>
      <c r="AF24" s="215">
        <f t="shared" ref="AF24:AF35" si="4">EXP(LN(AD24)+$J24*(1/$H24-1/298.15)/0.0019872)</f>
        <v>1.5188152798864454E-6</v>
      </c>
      <c r="AG24" s="158">
        <f>AVERAGE(AE24:AE35)</f>
        <v>4.4415316387549106</v>
      </c>
      <c r="AH24" s="158">
        <f>MEDIAN(AE24:AE35)</f>
        <v>4.6284604092543233</v>
      </c>
      <c r="AI24" s="158">
        <f>STDEV(AE24:AE35)</f>
        <v>0.73996396741323311</v>
      </c>
      <c r="AJ24" s="159"/>
      <c r="AK24" s="159"/>
      <c r="AL24" s="159"/>
      <c r="AM24" s="37"/>
      <c r="AN24" s="37"/>
      <c r="AO24" s="122"/>
      <c r="AP24" s="37"/>
      <c r="AQ24" s="89"/>
      <c r="AR24" s="89"/>
      <c r="AS24" s="218"/>
      <c r="AT24" s="215"/>
      <c r="AU24" s="215"/>
      <c r="AV24" s="120"/>
      <c r="AW24" s="120"/>
      <c r="AX24" s="120"/>
      <c r="AY24" s="37"/>
      <c r="AZ24" s="37"/>
      <c r="BA24" s="37"/>
      <c r="BB24" s="186"/>
      <c r="BC24" s="186"/>
      <c r="BD24" s="186"/>
      <c r="BE24" s="37"/>
      <c r="BF24" s="37"/>
    </row>
    <row r="25" spans="1:58" x14ac:dyDescent="0.3">
      <c r="A25" s="33"/>
      <c r="B25" s="47"/>
      <c r="C25" s="47"/>
      <c r="D25" s="48"/>
      <c r="G25" s="31">
        <v>69</v>
      </c>
      <c r="H25" s="31">
        <f t="shared" si="0"/>
        <v>342.15</v>
      </c>
      <c r="I25" s="208">
        <f t="shared" si="1"/>
        <v>12.740638218477487</v>
      </c>
      <c r="J25" s="92">
        <v>24.89</v>
      </c>
      <c r="O25" s="86"/>
      <c r="P25" s="86"/>
      <c r="Q25" s="219"/>
      <c r="R25" s="209"/>
      <c r="S25" s="209"/>
      <c r="T25" s="118"/>
      <c r="U25" s="118"/>
      <c r="V25" s="118"/>
      <c r="W25" s="119"/>
      <c r="X25" s="119"/>
      <c r="Y25" s="119"/>
      <c r="Z25" s="31">
        <v>3.04</v>
      </c>
      <c r="AA25" s="31">
        <f>0.51/24</f>
        <v>2.1250000000000002E-2</v>
      </c>
      <c r="AB25" s="31">
        <f>1.37/3600</f>
        <v>3.8055555555555558E-4</v>
      </c>
      <c r="AC25" s="31" t="s">
        <v>600</v>
      </c>
      <c r="AD25" s="128">
        <f t="shared" si="2"/>
        <v>3.8055555555555558E-4</v>
      </c>
      <c r="AE25" s="219">
        <f t="shared" si="3"/>
        <v>4.6785881393184505</v>
      </c>
      <c r="AF25" s="209">
        <f t="shared" si="4"/>
        <v>1.7147345680239938E-6</v>
      </c>
      <c r="AO25" s="103"/>
      <c r="AQ25" s="86"/>
      <c r="AR25" s="86"/>
      <c r="AS25" s="219"/>
      <c r="AT25" s="209"/>
      <c r="AU25" s="209"/>
      <c r="AV25" s="118"/>
      <c r="AW25" s="118"/>
      <c r="AX25" s="118"/>
    </row>
    <row r="26" spans="1:58" x14ac:dyDescent="0.3">
      <c r="A26" s="33"/>
      <c r="B26" s="47"/>
      <c r="C26" s="47"/>
      <c r="D26" s="48"/>
      <c r="G26" s="31">
        <v>69</v>
      </c>
      <c r="H26" s="31">
        <f t="shared" si="0"/>
        <v>342.15</v>
      </c>
      <c r="I26" s="208">
        <f t="shared" si="1"/>
        <v>12.740638218477487</v>
      </c>
      <c r="J26" s="92">
        <v>24.89</v>
      </c>
      <c r="O26" s="86"/>
      <c r="P26" s="86"/>
      <c r="Q26" s="219"/>
      <c r="R26" s="209"/>
      <c r="S26" s="209"/>
      <c r="T26" s="118"/>
      <c r="U26" s="118"/>
      <c r="V26" s="118"/>
      <c r="W26" s="119"/>
      <c r="X26" s="119"/>
      <c r="Y26" s="119"/>
      <c r="Z26" s="31">
        <v>3.12</v>
      </c>
      <c r="AA26" s="31">
        <f>0.52/24</f>
        <v>2.1666666666666667E-2</v>
      </c>
      <c r="AB26" s="31">
        <f>1.34/3600</f>
        <v>3.7222222222222225E-4</v>
      </c>
      <c r="AC26" s="31" t="s">
        <v>600</v>
      </c>
      <c r="AD26" s="128">
        <f t="shared" si="2"/>
        <v>3.7222222222222225E-4</v>
      </c>
      <c r="AE26" s="219">
        <f t="shared" si="3"/>
        <v>4.7833326499002</v>
      </c>
      <c r="AF26" s="209">
        <f t="shared" si="4"/>
        <v>1.6771856358774854E-6</v>
      </c>
      <c r="AO26" s="103"/>
      <c r="AQ26" s="86"/>
      <c r="AR26" s="86"/>
      <c r="AS26" s="219"/>
      <c r="AT26" s="209"/>
      <c r="AU26" s="209"/>
      <c r="AV26" s="118"/>
      <c r="AW26" s="118"/>
      <c r="AX26" s="118"/>
    </row>
    <row r="27" spans="1:58" x14ac:dyDescent="0.3">
      <c r="A27" s="33"/>
      <c r="G27" s="31">
        <v>68</v>
      </c>
      <c r="H27" s="31">
        <f t="shared" si="0"/>
        <v>341.15</v>
      </c>
      <c r="I27" s="208">
        <f t="shared" si="1"/>
        <v>12.765652456093635</v>
      </c>
      <c r="J27" s="92">
        <v>24.89</v>
      </c>
      <c r="O27" s="86"/>
      <c r="P27" s="87"/>
      <c r="Q27" s="208"/>
      <c r="R27" s="209"/>
      <c r="S27" s="209"/>
      <c r="T27" s="118"/>
      <c r="U27" s="118"/>
      <c r="V27" s="118"/>
      <c r="W27" s="119"/>
      <c r="X27" s="119"/>
      <c r="Y27" s="119"/>
      <c r="Z27" s="31">
        <v>7.04</v>
      </c>
      <c r="AA27" s="31">
        <f>0.65/24</f>
        <v>2.7083333333333334E-2</v>
      </c>
      <c r="AB27" s="103">
        <f>1.07/3600</f>
        <v>2.9722222222222221E-4</v>
      </c>
      <c r="AC27" s="31" t="s">
        <v>600</v>
      </c>
      <c r="AD27" s="128">
        <f t="shared" si="2"/>
        <v>2.9722222222222221E-4</v>
      </c>
      <c r="AE27" s="219">
        <f t="shared" si="3"/>
        <v>5.3808325998345801</v>
      </c>
      <c r="AF27" s="209">
        <f t="shared" si="4"/>
        <v>1.4909471096133034E-6</v>
      </c>
      <c r="AO27" s="103"/>
      <c r="AQ27" s="86"/>
      <c r="AR27" s="86"/>
      <c r="AS27" s="219"/>
      <c r="AT27" s="209"/>
      <c r="AU27" s="209"/>
      <c r="AV27" s="118"/>
      <c r="AW27" s="118"/>
      <c r="AX27" s="118"/>
    </row>
    <row r="28" spans="1:58" x14ac:dyDescent="0.3">
      <c r="A28" s="33"/>
      <c r="B28" s="47"/>
      <c r="C28" s="47"/>
      <c r="D28" s="48"/>
      <c r="G28" s="31">
        <v>69</v>
      </c>
      <c r="H28" s="31">
        <f t="shared" si="0"/>
        <v>342.15</v>
      </c>
      <c r="I28" s="208">
        <f t="shared" si="1"/>
        <v>12.740638218477487</v>
      </c>
      <c r="J28" s="92">
        <v>24.89</v>
      </c>
      <c r="O28" s="86"/>
      <c r="P28" s="87"/>
      <c r="Q28" s="208"/>
      <c r="R28" s="209"/>
      <c r="S28" s="209"/>
      <c r="T28" s="118"/>
      <c r="U28" s="118"/>
      <c r="V28" s="118"/>
      <c r="W28" s="119"/>
      <c r="X28" s="119"/>
      <c r="Y28" s="119"/>
      <c r="Z28" s="31">
        <v>7.16</v>
      </c>
      <c r="AA28" s="31">
        <f>0.52/24</f>
        <v>2.1666666666666667E-2</v>
      </c>
      <c r="AB28" s="103">
        <f>1.33/3600</f>
        <v>3.6944444444444449E-4</v>
      </c>
      <c r="AC28" s="31" t="s">
        <v>600</v>
      </c>
      <c r="AD28" s="128">
        <f t="shared" si="2"/>
        <v>3.6944444444444449E-4</v>
      </c>
      <c r="AE28" s="219">
        <f t="shared" si="3"/>
        <v>4.8192975570423098</v>
      </c>
      <c r="AF28" s="209">
        <f t="shared" si="4"/>
        <v>1.6646693251619806E-6</v>
      </c>
      <c r="AO28" s="103"/>
      <c r="AQ28" s="86"/>
      <c r="AR28" s="86"/>
      <c r="AS28" s="219"/>
      <c r="AT28" s="209"/>
      <c r="AU28" s="209"/>
      <c r="AV28" s="118"/>
      <c r="AW28" s="118"/>
      <c r="AX28" s="118"/>
    </row>
    <row r="29" spans="1:58" x14ac:dyDescent="0.3">
      <c r="A29" s="33"/>
      <c r="B29" s="47"/>
      <c r="C29" s="47"/>
      <c r="D29" s="48"/>
      <c r="G29" s="31">
        <v>69</v>
      </c>
      <c r="H29" s="31">
        <f t="shared" si="0"/>
        <v>342.15</v>
      </c>
      <c r="I29" s="208">
        <f t="shared" si="1"/>
        <v>12.740638218477487</v>
      </c>
      <c r="J29" s="92">
        <v>24.89</v>
      </c>
      <c r="O29" s="86"/>
      <c r="P29" s="87"/>
      <c r="Q29" s="208"/>
      <c r="R29" s="209"/>
      <c r="S29" s="209"/>
      <c r="T29" s="118"/>
      <c r="U29" s="118"/>
      <c r="V29" s="118"/>
      <c r="W29" s="119"/>
      <c r="X29" s="119"/>
      <c r="Y29" s="119"/>
      <c r="Z29" s="31">
        <v>7.18</v>
      </c>
      <c r="AA29" s="31">
        <f>0.5/24</f>
        <v>2.0833333333333332E-2</v>
      </c>
      <c r="AB29" s="103">
        <f>1.4/3600</f>
        <v>3.8888888888888887E-4</v>
      </c>
      <c r="AC29" s="31" t="s">
        <v>600</v>
      </c>
      <c r="AD29" s="128">
        <f t="shared" si="2"/>
        <v>3.8888888888888887E-4</v>
      </c>
      <c r="AE29" s="219">
        <f t="shared" si="3"/>
        <v>4.5783326791901962</v>
      </c>
      <c r="AF29" s="209">
        <f t="shared" si="4"/>
        <v>1.7522835001705052E-6</v>
      </c>
      <c r="AO29" s="103"/>
      <c r="AQ29" s="86"/>
      <c r="AR29" s="86"/>
      <c r="AS29" s="219"/>
      <c r="AT29" s="209"/>
      <c r="AU29" s="209"/>
      <c r="AV29" s="118"/>
      <c r="AW29" s="118"/>
      <c r="AX29" s="118"/>
    </row>
    <row r="30" spans="1:58" x14ac:dyDescent="0.3">
      <c r="A30" s="33"/>
      <c r="B30" s="47"/>
      <c r="C30" s="47"/>
      <c r="D30" s="48"/>
      <c r="G30" s="31">
        <v>69</v>
      </c>
      <c r="H30" s="31">
        <f t="shared" si="0"/>
        <v>342.15</v>
      </c>
      <c r="I30" s="208">
        <f t="shared" si="1"/>
        <v>12.740638218477487</v>
      </c>
      <c r="J30" s="92">
        <v>24.89</v>
      </c>
      <c r="O30" s="86"/>
      <c r="P30" s="87"/>
      <c r="Q30" s="208"/>
      <c r="R30" s="209"/>
      <c r="S30" s="209"/>
      <c r="T30" s="118"/>
      <c r="U30" s="118"/>
      <c r="V30" s="118"/>
      <c r="W30" s="119"/>
      <c r="X30" s="119"/>
      <c r="Y30" s="119"/>
      <c r="Z30" s="31">
        <v>9.74</v>
      </c>
      <c r="AA30" s="31">
        <f>0.5/24</f>
        <v>2.0833333333333332E-2</v>
      </c>
      <c r="AB30" s="103">
        <f>1.4/3600</f>
        <v>3.8888888888888887E-4</v>
      </c>
      <c r="AC30" s="31" t="s">
        <v>600</v>
      </c>
      <c r="AD30" s="128">
        <f t="shared" si="2"/>
        <v>3.8888888888888887E-4</v>
      </c>
      <c r="AE30" s="219">
        <f t="shared" si="3"/>
        <v>4.5783326791901962</v>
      </c>
      <c r="AF30" s="209">
        <f t="shared" si="4"/>
        <v>1.7522835001705052E-6</v>
      </c>
      <c r="AO30" s="103"/>
      <c r="AQ30" s="86"/>
      <c r="AR30" s="86"/>
      <c r="AS30" s="219"/>
      <c r="AT30" s="209"/>
      <c r="AU30" s="209"/>
      <c r="AV30" s="118"/>
      <c r="AW30" s="118"/>
      <c r="AX30" s="118"/>
    </row>
    <row r="31" spans="1:58" x14ac:dyDescent="0.3">
      <c r="A31" s="33"/>
      <c r="B31" s="47"/>
      <c r="C31" s="47"/>
      <c r="D31" s="48"/>
      <c r="G31" s="31">
        <v>69</v>
      </c>
      <c r="H31" s="31">
        <f t="shared" si="0"/>
        <v>342.15</v>
      </c>
      <c r="I31" s="208">
        <f t="shared" si="1"/>
        <v>12.740638218477487</v>
      </c>
      <c r="J31" s="92">
        <v>24.89</v>
      </c>
      <c r="O31" s="86"/>
      <c r="P31" s="87"/>
      <c r="Q31" s="208"/>
      <c r="R31" s="209"/>
      <c r="S31" s="209"/>
      <c r="T31" s="118"/>
      <c r="U31" s="118"/>
      <c r="V31" s="118"/>
      <c r="W31" s="119"/>
      <c r="X31" s="119"/>
      <c r="Y31" s="119"/>
      <c r="Z31" s="31">
        <v>9.9600000000000009</v>
      </c>
      <c r="AA31" s="31">
        <f>0.55/24</f>
        <v>2.2916666666666669E-2</v>
      </c>
      <c r="AB31" s="103">
        <f>1.26/3600</f>
        <v>3.5E-4</v>
      </c>
      <c r="AC31" s="31" t="s">
        <v>600</v>
      </c>
      <c r="AD31" s="128">
        <f t="shared" si="2"/>
        <v>3.5E-4</v>
      </c>
      <c r="AE31" s="219">
        <f t="shared" si="3"/>
        <v>5.0870363102113316</v>
      </c>
      <c r="AF31" s="209">
        <f t="shared" si="4"/>
        <v>1.577055150153454E-6</v>
      </c>
      <c r="AO31" s="103"/>
      <c r="AQ31" s="86"/>
      <c r="AR31" s="86"/>
      <c r="AS31" s="219"/>
      <c r="AT31" s="209"/>
      <c r="AU31" s="209"/>
      <c r="AV31" s="118"/>
      <c r="AW31" s="118"/>
      <c r="AX31" s="118"/>
    </row>
    <row r="32" spans="1:58" x14ac:dyDescent="0.3">
      <c r="A32" s="33"/>
      <c r="B32" s="47"/>
      <c r="C32" s="47"/>
      <c r="D32" s="48"/>
      <c r="G32" s="31">
        <v>68</v>
      </c>
      <c r="H32" s="31">
        <f t="shared" si="0"/>
        <v>341.15</v>
      </c>
      <c r="I32" s="208">
        <f t="shared" si="1"/>
        <v>12.765652456093635</v>
      </c>
      <c r="J32" s="92">
        <v>24.89</v>
      </c>
      <c r="O32" s="86"/>
      <c r="P32" s="87"/>
      <c r="Q32" s="208"/>
      <c r="R32" s="209"/>
      <c r="S32" s="209"/>
      <c r="T32" s="118"/>
      <c r="U32" s="118"/>
      <c r="V32" s="118"/>
      <c r="W32" s="119"/>
      <c r="X32" s="119"/>
      <c r="Y32" s="119"/>
      <c r="Z32" s="31">
        <v>10.62</v>
      </c>
      <c r="AA32" s="31">
        <f>0.47/24</f>
        <v>1.9583333333333331E-2</v>
      </c>
      <c r="AB32" s="103">
        <f>1.46/3600</f>
        <v>4.0555555555555554E-4</v>
      </c>
      <c r="AC32" s="31" t="s">
        <v>600</v>
      </c>
      <c r="AD32" s="128">
        <f t="shared" si="2"/>
        <v>4.0555555555555554E-4</v>
      </c>
      <c r="AE32" s="219">
        <f t="shared" si="3"/>
        <v>3.9434869053582218</v>
      </c>
      <c r="AF32" s="209">
        <f t="shared" si="4"/>
        <v>2.0343764299396466E-6</v>
      </c>
      <c r="AO32" s="103"/>
      <c r="AQ32" s="86"/>
      <c r="AR32" s="86"/>
      <c r="AS32" s="219"/>
      <c r="AT32" s="209"/>
      <c r="AU32" s="209"/>
      <c r="AV32" s="118"/>
      <c r="AW32" s="118"/>
      <c r="AX32" s="118"/>
    </row>
    <row r="33" spans="1:58" x14ac:dyDescent="0.3">
      <c r="A33" s="33"/>
      <c r="B33" s="47"/>
      <c r="C33" s="47"/>
      <c r="D33" s="48"/>
      <c r="G33" s="31">
        <v>57</v>
      </c>
      <c r="H33" s="31">
        <f t="shared" si="0"/>
        <v>330.15</v>
      </c>
      <c r="I33" s="208">
        <f t="shared" si="1"/>
        <v>13.050810218940862</v>
      </c>
      <c r="J33" s="92">
        <v>24.89</v>
      </c>
      <c r="O33" s="86"/>
      <c r="P33" s="86"/>
      <c r="Q33" s="220"/>
      <c r="R33" s="209"/>
      <c r="S33" s="209"/>
      <c r="T33" s="118"/>
      <c r="U33" s="118"/>
      <c r="V33" s="118"/>
      <c r="W33" s="119"/>
      <c r="X33" s="119"/>
      <c r="Y33" s="119"/>
      <c r="Z33" s="31">
        <v>7</v>
      </c>
      <c r="AA33" s="129">
        <f>1.43/24</f>
        <v>5.9583333333333328E-2</v>
      </c>
      <c r="AB33" s="103">
        <f>0.47/3600</f>
        <v>1.3055555555555555E-4</v>
      </c>
      <c r="AC33" s="31" t="s">
        <v>600</v>
      </c>
      <c r="AD33" s="86">
        <f t="shared" si="2"/>
        <v>1.3055555555555555E-4</v>
      </c>
      <c r="AE33" s="219">
        <f t="shared" si="3"/>
        <v>3.6047874184693991</v>
      </c>
      <c r="AF33" s="209">
        <f t="shared" si="4"/>
        <v>2.2255228618842634E-6</v>
      </c>
      <c r="AO33" s="103"/>
      <c r="AQ33" s="86"/>
      <c r="AR33" s="86"/>
      <c r="AS33" s="208"/>
      <c r="AT33" s="209"/>
      <c r="AU33" s="209"/>
      <c r="AV33" s="118"/>
      <c r="AW33" s="118"/>
      <c r="AX33" s="118"/>
    </row>
    <row r="34" spans="1:58" x14ac:dyDescent="0.3">
      <c r="A34" s="33"/>
      <c r="G34" s="31">
        <v>57</v>
      </c>
      <c r="H34" s="31">
        <f t="shared" si="0"/>
        <v>330.15</v>
      </c>
      <c r="I34" s="208">
        <f t="shared" si="1"/>
        <v>13.050810218940862</v>
      </c>
      <c r="J34" s="92">
        <v>24.89</v>
      </c>
      <c r="O34" s="86"/>
      <c r="P34" s="87"/>
      <c r="Q34" s="208"/>
      <c r="R34" s="209"/>
      <c r="S34" s="209"/>
      <c r="T34" s="118"/>
      <c r="U34" s="118"/>
      <c r="V34" s="118"/>
      <c r="W34" s="119"/>
      <c r="X34" s="119"/>
      <c r="Y34" s="119"/>
      <c r="Z34" s="31">
        <v>6.99</v>
      </c>
      <c r="AA34" s="31">
        <f>1.38/24</f>
        <v>5.7499999999999996E-2</v>
      </c>
      <c r="AB34" s="31">
        <f>0.5/3600</f>
        <v>1.3888888888888889E-4</v>
      </c>
      <c r="AC34" s="31" t="s">
        <v>600</v>
      </c>
      <c r="AD34" s="86">
        <f t="shared" si="2"/>
        <v>1.3888888888888889E-4</v>
      </c>
      <c r="AE34" s="219">
        <f t="shared" si="3"/>
        <v>3.388500173361237</v>
      </c>
      <c r="AF34" s="209">
        <f t="shared" si="4"/>
        <v>2.3675775126428325E-6</v>
      </c>
      <c r="AO34" s="103"/>
      <c r="AQ34" s="86"/>
      <c r="AR34" s="86"/>
      <c r="AS34" s="208"/>
      <c r="AT34" s="209"/>
      <c r="AU34" s="209"/>
      <c r="AV34" s="118"/>
      <c r="AW34" s="118"/>
      <c r="AX34" s="118"/>
    </row>
    <row r="35" spans="1:58" x14ac:dyDescent="0.3">
      <c r="A35" s="33"/>
      <c r="E35" s="31" t="s">
        <v>675</v>
      </c>
      <c r="F35" s="31" t="s">
        <v>556</v>
      </c>
      <c r="G35" s="31">
        <v>25</v>
      </c>
      <c r="H35" s="31">
        <f t="shared" si="0"/>
        <v>298.14999999999998</v>
      </c>
      <c r="I35" s="208">
        <f t="shared" si="1"/>
        <v>14</v>
      </c>
      <c r="J35" s="92">
        <v>24.89</v>
      </c>
      <c r="O35" s="86"/>
      <c r="P35" s="87"/>
      <c r="Q35" s="208"/>
      <c r="R35" s="209"/>
      <c r="S35" s="209"/>
      <c r="T35" s="118"/>
      <c r="U35" s="118"/>
      <c r="V35" s="118"/>
      <c r="W35" s="119"/>
      <c r="X35" s="119"/>
      <c r="Y35" s="119"/>
      <c r="Z35" s="31">
        <v>7</v>
      </c>
      <c r="AB35" s="130">
        <f>0.0091/3600</f>
        <v>2.5277777777777778E-6</v>
      </c>
      <c r="AC35" s="131" t="s">
        <v>600</v>
      </c>
      <c r="AD35" s="86">
        <f t="shared" si="2"/>
        <v>2.5277777777777778E-6</v>
      </c>
      <c r="AE35" s="674">
        <f t="shared" si="3"/>
        <v>3.1737508267396786</v>
      </c>
      <c r="AF35" s="209">
        <f t="shared" si="4"/>
        <v>2.5277777777777761E-6</v>
      </c>
      <c r="AO35" s="103"/>
      <c r="AQ35" s="86"/>
      <c r="AR35" s="86"/>
      <c r="AS35" s="208"/>
      <c r="AT35" s="209"/>
      <c r="AU35" s="209"/>
      <c r="AV35" s="118"/>
      <c r="AW35" s="118"/>
      <c r="AX35" s="118"/>
    </row>
    <row r="36" spans="1:58" x14ac:dyDescent="0.3">
      <c r="A36" s="33"/>
      <c r="I36" s="208"/>
      <c r="J36" s="92"/>
      <c r="O36" s="86"/>
      <c r="P36" s="87"/>
      <c r="Q36" s="208"/>
      <c r="R36" s="209"/>
      <c r="S36" s="209"/>
      <c r="T36" s="118"/>
      <c r="U36" s="118"/>
      <c r="V36" s="118"/>
      <c r="W36" s="119"/>
      <c r="X36" s="119"/>
      <c r="Y36" s="119"/>
      <c r="AB36" s="132"/>
      <c r="AD36" s="86"/>
      <c r="AE36" s="219"/>
      <c r="AF36" s="209"/>
      <c r="AO36" s="103"/>
      <c r="AQ36" s="86"/>
      <c r="AR36" s="86"/>
      <c r="AS36" s="208"/>
      <c r="AT36" s="209"/>
      <c r="AU36" s="209"/>
      <c r="AV36" s="118"/>
      <c r="AW36" s="118"/>
      <c r="AX36" s="118"/>
    </row>
    <row r="37" spans="1:58" ht="15" thickBot="1" x14ac:dyDescent="0.35">
      <c r="A37" s="33"/>
      <c r="I37" s="208"/>
      <c r="J37" s="92"/>
      <c r="O37" s="86"/>
      <c r="P37" s="87"/>
      <c r="Q37" s="208"/>
      <c r="R37" s="209"/>
      <c r="S37" s="209"/>
      <c r="T37" s="118"/>
      <c r="U37" s="118"/>
      <c r="V37" s="118"/>
      <c r="W37" s="119"/>
      <c r="X37" s="119"/>
      <c r="Y37" s="119"/>
      <c r="AB37" s="103"/>
      <c r="AD37" s="86"/>
      <c r="AE37" s="219"/>
      <c r="AF37" s="209"/>
      <c r="AO37" s="103"/>
      <c r="AQ37" s="86"/>
      <c r="AR37" s="86"/>
      <c r="AS37" s="208"/>
      <c r="AT37" s="209"/>
      <c r="AU37" s="209"/>
      <c r="AV37" s="118"/>
      <c r="AW37" s="118"/>
      <c r="AX37" s="118"/>
    </row>
    <row r="38" spans="1:58" s="8" customFormat="1" x14ac:dyDescent="0.3">
      <c r="A38" s="36">
        <v>35</v>
      </c>
      <c r="B38" s="45" t="s">
        <v>555</v>
      </c>
      <c r="C38" s="45" t="s">
        <v>554</v>
      </c>
      <c r="D38" s="46"/>
      <c r="E38" s="37" t="s">
        <v>557</v>
      </c>
      <c r="F38" s="37"/>
      <c r="G38" s="37">
        <v>68</v>
      </c>
      <c r="H38" s="37">
        <f t="shared" ref="H38:H47" si="5">G38+273.15</f>
        <v>341.15</v>
      </c>
      <c r="I38" s="214">
        <f t="shared" ref="I38:I47" si="6">-LOG10(EXP(LN(10^-14)+13.36*(1/298.15-1/H38)/0.0019872))</f>
        <v>12.765652456093635</v>
      </c>
      <c r="J38" s="96">
        <v>24.89</v>
      </c>
      <c r="K38" s="37"/>
      <c r="L38" s="37"/>
      <c r="M38" s="37"/>
      <c r="N38" s="37"/>
      <c r="O38" s="89"/>
      <c r="P38" s="89"/>
      <c r="Q38" s="218"/>
      <c r="R38" s="215"/>
      <c r="S38" s="215"/>
      <c r="T38" s="120"/>
      <c r="U38" s="120"/>
      <c r="V38" s="120"/>
      <c r="W38" s="121"/>
      <c r="X38" s="121"/>
      <c r="Y38" s="121"/>
      <c r="Z38" s="37">
        <v>2.96</v>
      </c>
      <c r="AA38" s="37">
        <f>0.47/24</f>
        <v>1.9583333333333331E-2</v>
      </c>
      <c r="AB38" s="37">
        <f>1.47/3600</f>
        <v>4.083333333333333E-4</v>
      </c>
      <c r="AC38" s="37" t="s">
        <v>600</v>
      </c>
      <c r="AD38" s="89">
        <f t="shared" ref="AD38:AD45" si="7">AB38</f>
        <v>4.083333333333333E-4</v>
      </c>
      <c r="AE38" s="218">
        <f t="shared" ref="AE38:AE47" si="8">(LN(2)/AF38)/(60*60*24)</f>
        <v>3.9166604638251807</v>
      </c>
      <c r="AF38" s="215">
        <f t="shared" ref="AF38:AF47" si="9">EXP(LN(AD38)+$J38*(1/$H38-1/298.15)/0.0019872)</f>
        <v>2.0483105150762152E-6</v>
      </c>
      <c r="AG38" s="158">
        <f>AVERAGE(AE38:AE45)</f>
        <v>4.3202409341491368</v>
      </c>
      <c r="AH38" s="158">
        <f>MEDIAN(AE38:AE45)</f>
        <v>4.3653141172024901</v>
      </c>
      <c r="AI38" s="158">
        <f>STDEV(AE38:AE45)</f>
        <v>0.59515825234554187</v>
      </c>
      <c r="AJ38" s="159"/>
      <c r="AK38" s="159"/>
      <c r="AL38" s="159"/>
      <c r="AM38" s="37"/>
      <c r="AN38" s="37"/>
      <c r="AO38" s="37"/>
      <c r="AP38" s="37"/>
      <c r="AQ38" s="89"/>
      <c r="AR38" s="89"/>
      <c r="AS38" s="218"/>
      <c r="AT38" s="215"/>
      <c r="AU38" s="215"/>
      <c r="AV38" s="120"/>
      <c r="AW38" s="120"/>
      <c r="AX38" s="120"/>
      <c r="AY38" s="37"/>
      <c r="AZ38" s="37"/>
      <c r="BA38" s="37"/>
      <c r="BB38" s="186"/>
      <c r="BC38" s="186"/>
      <c r="BD38" s="186"/>
      <c r="BE38" s="37"/>
      <c r="BF38" s="37"/>
    </row>
    <row r="39" spans="1:58" x14ac:dyDescent="0.3">
      <c r="A39" s="33"/>
      <c r="G39" s="31">
        <v>69</v>
      </c>
      <c r="H39" s="31">
        <f t="shared" si="5"/>
        <v>342.15</v>
      </c>
      <c r="I39" s="208">
        <f t="shared" si="6"/>
        <v>12.740638218477487</v>
      </c>
      <c r="J39" s="92">
        <v>24.89</v>
      </c>
      <c r="O39" s="86"/>
      <c r="P39" s="86"/>
      <c r="Q39" s="219"/>
      <c r="R39" s="209"/>
      <c r="S39" s="209"/>
      <c r="T39" s="118"/>
      <c r="U39" s="118"/>
      <c r="V39" s="118"/>
      <c r="W39" s="119"/>
      <c r="X39" s="119"/>
      <c r="Y39" s="119"/>
      <c r="Z39" s="31">
        <v>3.02</v>
      </c>
      <c r="AA39" s="31">
        <f>0.54/24</f>
        <v>2.2500000000000003E-2</v>
      </c>
      <c r="AB39" s="31">
        <f>1.28/3600</f>
        <v>3.5555555555555557E-4</v>
      </c>
      <c r="AC39" s="31" t="s">
        <v>600</v>
      </c>
      <c r="AD39" s="86">
        <f t="shared" si="7"/>
        <v>3.5555555555555557E-4</v>
      </c>
      <c r="AE39" s="219">
        <f t="shared" si="8"/>
        <v>5.0075513678642807</v>
      </c>
      <c r="AF39" s="209">
        <f t="shared" si="9"/>
        <v>1.6020877715844609E-6</v>
      </c>
      <c r="AQ39" s="86"/>
      <c r="AR39" s="86"/>
      <c r="AS39" s="219"/>
      <c r="AT39" s="209"/>
      <c r="AU39" s="209"/>
      <c r="AV39" s="118"/>
      <c r="AW39" s="118"/>
      <c r="AX39" s="118"/>
    </row>
    <row r="40" spans="1:58" x14ac:dyDescent="0.3">
      <c r="A40" s="33"/>
      <c r="G40" s="31">
        <v>69</v>
      </c>
      <c r="H40" s="31">
        <f t="shared" si="5"/>
        <v>342.15</v>
      </c>
      <c r="I40" s="208">
        <f t="shared" si="6"/>
        <v>12.740638218477487</v>
      </c>
      <c r="J40" s="92">
        <v>24.89</v>
      </c>
      <c r="O40" s="86"/>
      <c r="P40" s="86"/>
      <c r="Q40" s="219"/>
      <c r="R40" s="209"/>
      <c r="S40" s="209"/>
      <c r="T40" s="118"/>
      <c r="U40" s="118"/>
      <c r="V40" s="118"/>
      <c r="W40" s="119"/>
      <c r="X40" s="119"/>
      <c r="Y40" s="119"/>
      <c r="Z40" s="31">
        <v>3</v>
      </c>
      <c r="AA40" s="31">
        <f>0.51/24</f>
        <v>2.1250000000000002E-2</v>
      </c>
      <c r="AB40" s="31">
        <f>1.36/3600</f>
        <v>3.7777777777777782E-4</v>
      </c>
      <c r="AC40" s="31" t="s">
        <v>600</v>
      </c>
      <c r="AD40" s="86">
        <f t="shared" si="7"/>
        <v>3.7777777777777782E-4</v>
      </c>
      <c r="AE40" s="219">
        <f t="shared" si="8"/>
        <v>4.7129895226957821</v>
      </c>
      <c r="AF40" s="209">
        <f t="shared" si="9"/>
        <v>1.7022182573084937E-6</v>
      </c>
      <c r="AQ40" s="86"/>
      <c r="AR40" s="86"/>
      <c r="AS40" s="219"/>
      <c r="AT40" s="209"/>
      <c r="AU40" s="209"/>
      <c r="AV40" s="118"/>
      <c r="AW40" s="118"/>
      <c r="AX40" s="118"/>
    </row>
    <row r="41" spans="1:58" x14ac:dyDescent="0.3">
      <c r="A41" s="33"/>
      <c r="G41" s="31">
        <v>68</v>
      </c>
      <c r="H41" s="31">
        <f t="shared" si="5"/>
        <v>341.15</v>
      </c>
      <c r="I41" s="208">
        <f t="shared" si="6"/>
        <v>12.765652456093635</v>
      </c>
      <c r="J41" s="92">
        <v>24.89</v>
      </c>
      <c r="O41" s="86"/>
      <c r="P41" s="87"/>
      <c r="Q41" s="208"/>
      <c r="R41" s="209"/>
      <c r="S41" s="209"/>
      <c r="T41" s="118"/>
      <c r="U41" s="118"/>
      <c r="V41" s="118"/>
      <c r="W41" s="119"/>
      <c r="X41" s="119"/>
      <c r="Y41" s="119"/>
      <c r="Z41" s="31">
        <v>7.01</v>
      </c>
      <c r="AA41" s="31">
        <f>0.53/24</f>
        <v>2.2083333333333333E-2</v>
      </c>
      <c r="AB41" s="103">
        <f>1.3/3600</f>
        <v>3.6111111111111115E-4</v>
      </c>
      <c r="AC41" s="31" t="s">
        <v>600</v>
      </c>
      <c r="AD41" s="86">
        <f t="shared" si="7"/>
        <v>3.6111111111111115E-4</v>
      </c>
      <c r="AE41" s="219">
        <f t="shared" si="8"/>
        <v>4.4288391398638538</v>
      </c>
      <c r="AF41" s="209">
        <f t="shared" si="9"/>
        <v>1.8114310677544779E-6</v>
      </c>
      <c r="AQ41" s="86"/>
      <c r="AR41" s="86"/>
      <c r="AS41" s="219"/>
      <c r="AT41" s="209"/>
      <c r="AU41" s="209"/>
      <c r="AV41" s="118"/>
      <c r="AW41" s="118"/>
      <c r="AX41" s="118"/>
    </row>
    <row r="42" spans="1:58" x14ac:dyDescent="0.3">
      <c r="A42" s="33"/>
      <c r="G42" s="31">
        <v>68</v>
      </c>
      <c r="H42" s="31">
        <f t="shared" si="5"/>
        <v>341.15</v>
      </c>
      <c r="I42" s="208">
        <f t="shared" si="6"/>
        <v>12.765652456093635</v>
      </c>
      <c r="J42" s="92">
        <v>24.89</v>
      </c>
      <c r="O42" s="86"/>
      <c r="P42" s="87"/>
      <c r="Q42" s="208"/>
      <c r="R42" s="209"/>
      <c r="S42" s="209"/>
      <c r="T42" s="118"/>
      <c r="U42" s="118"/>
      <c r="V42" s="118"/>
      <c r="W42" s="119"/>
      <c r="X42" s="119"/>
      <c r="Y42" s="119"/>
      <c r="Z42" s="31">
        <v>7.03</v>
      </c>
      <c r="AA42" s="31">
        <f>0.49/24</f>
        <v>2.0416666666666666E-2</v>
      </c>
      <c r="AB42" s="103">
        <f>1.42/3600</f>
        <v>3.9444444444444444E-4</v>
      </c>
      <c r="AC42" s="31" t="s">
        <v>600</v>
      </c>
      <c r="AD42" s="86">
        <f t="shared" si="7"/>
        <v>3.9444444444444444E-4</v>
      </c>
      <c r="AE42" s="219">
        <f t="shared" si="8"/>
        <v>4.0545710435373294</v>
      </c>
      <c r="AF42" s="209">
        <f t="shared" si="9"/>
        <v>1.9786400893933533E-6</v>
      </c>
      <c r="AO42" s="103"/>
      <c r="AQ42" s="86"/>
      <c r="AR42" s="86"/>
      <c r="AS42" s="219"/>
      <c r="AT42" s="209"/>
      <c r="AU42" s="209"/>
      <c r="AV42" s="118"/>
      <c r="AW42" s="118"/>
      <c r="AX42" s="118"/>
    </row>
    <row r="43" spans="1:58" x14ac:dyDescent="0.3">
      <c r="A43" s="33"/>
      <c r="G43" s="31">
        <v>69</v>
      </c>
      <c r="H43" s="31">
        <f t="shared" si="5"/>
        <v>342.15</v>
      </c>
      <c r="I43" s="208">
        <f t="shared" si="6"/>
        <v>12.740638218477487</v>
      </c>
      <c r="J43" s="92">
        <v>24.89</v>
      </c>
      <c r="O43" s="86"/>
      <c r="P43" s="87"/>
      <c r="Q43" s="208"/>
      <c r="R43" s="209"/>
      <c r="S43" s="209"/>
      <c r="T43" s="118"/>
      <c r="U43" s="118"/>
      <c r="V43" s="118"/>
      <c r="W43" s="119"/>
      <c r="X43" s="119"/>
      <c r="Y43" s="119"/>
      <c r="Z43" s="31">
        <v>9.9</v>
      </c>
      <c r="AA43" s="31">
        <f>0.47/24</f>
        <v>1.9583333333333331E-2</v>
      </c>
      <c r="AB43" s="103">
        <f>1.49/3600</f>
        <v>4.1388888888888888E-4</v>
      </c>
      <c r="AC43" s="31" t="s">
        <v>600</v>
      </c>
      <c r="AD43" s="86">
        <f t="shared" si="7"/>
        <v>4.1388888888888888E-4</v>
      </c>
      <c r="AE43" s="219">
        <f t="shared" si="8"/>
        <v>4.3017890945411263</v>
      </c>
      <c r="AF43" s="209">
        <f t="shared" si="9"/>
        <v>1.8649302966100369E-6</v>
      </c>
      <c r="AO43" s="103"/>
      <c r="AQ43" s="86"/>
      <c r="AR43" s="86"/>
      <c r="AS43" s="219"/>
      <c r="AT43" s="209"/>
      <c r="AU43" s="209"/>
      <c r="AV43" s="118"/>
      <c r="AW43" s="118"/>
      <c r="AX43" s="118"/>
    </row>
    <row r="44" spans="1:58" x14ac:dyDescent="0.3">
      <c r="A44" s="33"/>
      <c r="G44" s="31">
        <v>69</v>
      </c>
      <c r="H44" s="31">
        <f t="shared" si="5"/>
        <v>342.15</v>
      </c>
      <c r="I44" s="208">
        <f t="shared" si="6"/>
        <v>12.740638218477487</v>
      </c>
      <c r="J44" s="92">
        <v>24.89</v>
      </c>
      <c r="O44" s="86"/>
      <c r="P44" s="87"/>
      <c r="Q44" s="208"/>
      <c r="R44" s="209"/>
      <c r="S44" s="209"/>
      <c r="T44" s="118"/>
      <c r="U44" s="118"/>
      <c r="V44" s="118"/>
      <c r="W44" s="119"/>
      <c r="X44" s="119"/>
      <c r="Y44" s="119"/>
      <c r="Z44" s="31">
        <v>10.51</v>
      </c>
      <c r="AA44" s="31">
        <f>0.54/24</f>
        <v>2.2500000000000003E-2</v>
      </c>
      <c r="AB44" s="103">
        <f>1.3/3600</f>
        <v>3.6111111111111115E-4</v>
      </c>
      <c r="AC44" s="31" t="s">
        <v>600</v>
      </c>
      <c r="AD44" s="86">
        <f t="shared" si="7"/>
        <v>3.6111111111111115E-4</v>
      </c>
      <c r="AE44" s="219">
        <f t="shared" si="8"/>
        <v>4.9305121160509753</v>
      </c>
      <c r="AF44" s="209">
        <f t="shared" si="9"/>
        <v>1.6271203930154709E-6</v>
      </c>
      <c r="AO44" s="103"/>
      <c r="AQ44" s="86"/>
      <c r="AR44" s="86"/>
      <c r="AS44" s="219"/>
      <c r="AT44" s="209"/>
      <c r="AU44" s="209"/>
      <c r="AV44" s="118"/>
      <c r="AW44" s="118"/>
      <c r="AX44" s="118"/>
    </row>
    <row r="45" spans="1:58" ht="15" thickBot="1" x14ac:dyDescent="0.35">
      <c r="A45" s="33"/>
      <c r="E45" s="31" t="s">
        <v>675</v>
      </c>
      <c r="F45" s="31" t="s">
        <v>556</v>
      </c>
      <c r="G45" s="31">
        <v>25</v>
      </c>
      <c r="H45" s="31">
        <f t="shared" si="5"/>
        <v>298.14999999999998</v>
      </c>
      <c r="I45" s="208">
        <f t="shared" si="6"/>
        <v>14</v>
      </c>
      <c r="J45" s="92">
        <v>24.89</v>
      </c>
      <c r="O45" s="86"/>
      <c r="P45" s="87"/>
      <c r="Q45" s="208"/>
      <c r="R45" s="209"/>
      <c r="S45" s="209"/>
      <c r="T45" s="118"/>
      <c r="U45" s="118"/>
      <c r="V45" s="118"/>
      <c r="W45" s="119"/>
      <c r="X45" s="119"/>
      <c r="Y45" s="119"/>
      <c r="Z45" s="31">
        <v>7</v>
      </c>
      <c r="AB45" s="130">
        <f>0.009/3600</f>
        <v>2.4999999999999998E-6</v>
      </c>
      <c r="AC45" s="131" t="s">
        <v>600</v>
      </c>
      <c r="AD45" s="86">
        <f t="shared" si="7"/>
        <v>2.4999999999999998E-6</v>
      </c>
      <c r="AE45" s="674">
        <f t="shared" si="8"/>
        <v>3.2090147248145628</v>
      </c>
      <c r="AF45" s="209">
        <f t="shared" si="9"/>
        <v>2.4999999999999989E-6</v>
      </c>
      <c r="AQ45" s="86"/>
      <c r="AR45" s="86"/>
      <c r="AS45" s="208"/>
      <c r="AT45" s="209"/>
      <c r="AU45" s="209"/>
      <c r="AV45" s="118"/>
      <c r="AW45" s="118"/>
      <c r="AX45" s="118"/>
    </row>
    <row r="46" spans="1:58" s="8" customFormat="1" x14ac:dyDescent="0.3">
      <c r="A46" s="36">
        <v>11</v>
      </c>
      <c r="B46" s="37" t="s">
        <v>352</v>
      </c>
      <c r="C46" s="37" t="s">
        <v>355</v>
      </c>
      <c r="D46" s="38"/>
      <c r="E46" s="37" t="s">
        <v>353</v>
      </c>
      <c r="F46" s="37"/>
      <c r="G46" s="37">
        <v>15</v>
      </c>
      <c r="H46" s="37">
        <f t="shared" si="5"/>
        <v>288.14999999999998</v>
      </c>
      <c r="I46" s="214">
        <f t="shared" si="6"/>
        <v>14.339856635234117</v>
      </c>
      <c r="J46" s="88">
        <v>26.53</v>
      </c>
      <c r="K46" s="37"/>
      <c r="L46" s="37"/>
      <c r="M46" s="37"/>
      <c r="N46" s="37"/>
      <c r="O46" s="89"/>
      <c r="P46" s="90"/>
      <c r="Q46" s="214"/>
      <c r="R46" s="215"/>
      <c r="S46" s="215"/>
      <c r="T46" s="120"/>
      <c r="U46" s="120"/>
      <c r="V46" s="120"/>
      <c r="W46" s="121"/>
      <c r="X46" s="121"/>
      <c r="Y46" s="121"/>
      <c r="Z46" s="37">
        <v>7</v>
      </c>
      <c r="AA46" s="37">
        <v>75</v>
      </c>
      <c r="AB46" s="37"/>
      <c r="AC46" s="37" t="s">
        <v>605</v>
      </c>
      <c r="AD46" s="89">
        <f>(LN(2)/AA46)/(60*60*24)</f>
        <v>1.0696715749381872E-7</v>
      </c>
      <c r="AE46" s="218">
        <f t="shared" si="8"/>
        <v>15.855548973730604</v>
      </c>
      <c r="AF46" s="215">
        <f t="shared" si="9"/>
        <v>5.0597660322755799E-7</v>
      </c>
      <c r="AG46" s="158">
        <f>AVERAGE(AE46:AE47)</f>
        <v>15.848488749406449</v>
      </c>
      <c r="AH46" s="158">
        <f>MEDIAN(AE46:AE47)</f>
        <v>15.848488749406449</v>
      </c>
      <c r="AI46" s="158">
        <f>STDEV(AE46:AE47)</f>
        <v>9.984664992614984E-3</v>
      </c>
      <c r="AJ46" s="159"/>
      <c r="AK46" s="159"/>
      <c r="AL46" s="159"/>
      <c r="AM46" s="37"/>
      <c r="AN46" s="37"/>
      <c r="AO46" s="37"/>
      <c r="AP46" s="37"/>
      <c r="AQ46" s="89"/>
      <c r="AR46" s="89"/>
      <c r="AS46" s="214"/>
      <c r="AT46" s="215"/>
      <c r="AU46" s="215"/>
      <c r="AV46" s="120"/>
      <c r="AW46" s="120"/>
      <c r="AX46" s="120"/>
      <c r="AY46" s="37"/>
      <c r="AZ46" s="37"/>
      <c r="BA46" s="37"/>
      <c r="BB46" s="186"/>
      <c r="BC46" s="186"/>
      <c r="BD46" s="186"/>
      <c r="BE46" s="37"/>
      <c r="BF46" s="37"/>
    </row>
    <row r="47" spans="1:58" x14ac:dyDescent="0.3">
      <c r="A47" s="33"/>
      <c r="G47" s="31">
        <v>20</v>
      </c>
      <c r="H47" s="31">
        <f t="shared" si="5"/>
        <v>293.14999999999998</v>
      </c>
      <c r="I47" s="208">
        <f t="shared" si="6"/>
        <v>14.167030000755094</v>
      </c>
      <c r="J47" s="91">
        <v>26.53</v>
      </c>
      <c r="O47" s="86"/>
      <c r="P47" s="87"/>
      <c r="Q47" s="208"/>
      <c r="R47" s="209"/>
      <c r="S47" s="209"/>
      <c r="T47" s="118"/>
      <c r="U47" s="118"/>
      <c r="V47" s="118"/>
      <c r="W47" s="119"/>
      <c r="X47" s="119"/>
      <c r="Y47" s="119"/>
      <c r="Z47" s="31">
        <v>7</v>
      </c>
      <c r="AA47" s="31">
        <v>34</v>
      </c>
      <c r="AC47" s="31" t="s">
        <v>605</v>
      </c>
      <c r="AD47" s="86">
        <f>(LN(2)/AA47)/(60*60*24)</f>
        <v>2.3595696505989423E-7</v>
      </c>
      <c r="AE47" s="219">
        <f t="shared" si="8"/>
        <v>15.841428525082296</v>
      </c>
      <c r="AF47" s="209">
        <f t="shared" si="9"/>
        <v>5.0642761158402078E-7</v>
      </c>
      <c r="AQ47" s="86"/>
      <c r="AR47" s="86"/>
      <c r="AS47" s="208"/>
      <c r="AT47" s="209"/>
      <c r="AU47" s="209"/>
      <c r="AV47" s="118"/>
      <c r="AW47" s="118"/>
      <c r="AX47" s="118"/>
    </row>
    <row r="48" spans="1:58" ht="15" thickBot="1" x14ac:dyDescent="0.35">
      <c r="A48" s="33"/>
      <c r="I48" s="208"/>
      <c r="J48" s="91"/>
      <c r="O48" s="86"/>
      <c r="P48" s="87"/>
      <c r="Q48" s="208"/>
      <c r="R48" s="209"/>
      <c r="S48" s="209"/>
      <c r="T48" s="118"/>
      <c r="U48" s="118"/>
      <c r="V48" s="118"/>
      <c r="W48" s="119"/>
      <c r="X48" s="119"/>
      <c r="Y48" s="119"/>
      <c r="AD48" s="86"/>
      <c r="AE48" s="208"/>
      <c r="AF48" s="209"/>
      <c r="AQ48" s="86"/>
      <c r="AR48" s="86"/>
      <c r="AS48" s="208"/>
      <c r="AT48" s="209"/>
      <c r="AU48" s="209"/>
      <c r="AV48" s="118"/>
      <c r="AW48" s="118"/>
      <c r="AX48" s="118"/>
    </row>
    <row r="49" spans="1:58" s="8" customFormat="1" x14ac:dyDescent="0.3">
      <c r="A49" s="36">
        <v>12</v>
      </c>
      <c r="B49" s="37" t="s">
        <v>354</v>
      </c>
      <c r="C49" s="37" t="s">
        <v>356</v>
      </c>
      <c r="D49" s="38"/>
      <c r="E49" s="37" t="s">
        <v>353</v>
      </c>
      <c r="F49" s="37"/>
      <c r="G49" s="37">
        <v>15</v>
      </c>
      <c r="H49" s="37">
        <f>G49+273.15</f>
        <v>288.14999999999998</v>
      </c>
      <c r="I49" s="214">
        <f>-LOG10(EXP(LN(10^-14)+13.36*(1/298.15-1/H49)/0.0019872))</f>
        <v>14.339856635234117</v>
      </c>
      <c r="J49" s="88">
        <v>26.53</v>
      </c>
      <c r="K49" s="37"/>
      <c r="L49" s="37"/>
      <c r="M49" s="37"/>
      <c r="N49" s="37"/>
      <c r="O49" s="89"/>
      <c r="P49" s="90"/>
      <c r="Q49" s="214"/>
      <c r="R49" s="215"/>
      <c r="S49" s="215"/>
      <c r="T49" s="120"/>
      <c r="U49" s="120"/>
      <c r="V49" s="120"/>
      <c r="W49" s="121"/>
      <c r="X49" s="121"/>
      <c r="Y49" s="121"/>
      <c r="Z49" s="37">
        <v>7</v>
      </c>
      <c r="AA49" s="37">
        <v>75</v>
      </c>
      <c r="AB49" s="37"/>
      <c r="AC49" s="37" t="s">
        <v>605</v>
      </c>
      <c r="AD49" s="89">
        <f>(LN(2)/AA49)/(60*60*24)</f>
        <v>1.0696715749381872E-7</v>
      </c>
      <c r="AE49" s="218">
        <f>(LN(2)/AF49)/(60*60*24)</f>
        <v>15.855548973730604</v>
      </c>
      <c r="AF49" s="215">
        <f>EXP(LN(AD49)+$J49*(1/$H49-1/298.15)/0.0019872)</f>
        <v>5.0597660322755799E-7</v>
      </c>
      <c r="AG49" s="158">
        <f>AVERAGE(AE49:AE52)</f>
        <v>15.848488749406449</v>
      </c>
      <c r="AH49" s="158">
        <v>15.87</v>
      </c>
      <c r="AI49" s="158">
        <v>2.0025000000000001E-2</v>
      </c>
      <c r="AJ49" s="159"/>
      <c r="AK49" s="159"/>
      <c r="AL49" s="159"/>
      <c r="AM49" s="37"/>
      <c r="AN49" s="37"/>
      <c r="AO49" s="37"/>
      <c r="AP49" s="37"/>
      <c r="AQ49" s="89"/>
      <c r="AR49" s="89"/>
      <c r="AS49" s="214"/>
      <c r="AT49" s="215"/>
      <c r="AU49" s="215"/>
      <c r="AV49" s="120"/>
      <c r="AW49" s="120"/>
      <c r="AX49" s="120"/>
      <c r="AY49" s="37"/>
      <c r="AZ49" s="37"/>
      <c r="BA49" s="37"/>
      <c r="BB49" s="186"/>
      <c r="BC49" s="186"/>
      <c r="BD49" s="186"/>
      <c r="BE49" s="37"/>
      <c r="BF49" s="37"/>
    </row>
    <row r="50" spans="1:58" s="10" customFormat="1" x14ac:dyDescent="0.3">
      <c r="A50" s="49"/>
      <c r="B50" s="50"/>
      <c r="C50" s="50"/>
      <c r="D50" s="51"/>
      <c r="E50" s="50"/>
      <c r="F50" s="50"/>
      <c r="G50" s="50"/>
      <c r="H50" s="50"/>
      <c r="I50" s="221"/>
      <c r="J50" s="97"/>
      <c r="K50" s="50"/>
      <c r="L50" s="50"/>
      <c r="M50" s="50"/>
      <c r="N50" s="50"/>
      <c r="O50" s="98"/>
      <c r="P50" s="99"/>
      <c r="Q50" s="221"/>
      <c r="R50" s="222"/>
      <c r="S50" s="222"/>
      <c r="T50" s="133"/>
      <c r="U50" s="133"/>
      <c r="V50" s="133"/>
      <c r="W50" s="134"/>
      <c r="X50" s="134"/>
      <c r="Y50" s="134"/>
      <c r="Z50" s="50"/>
      <c r="AA50" s="50"/>
      <c r="AB50" s="50"/>
      <c r="AC50" s="50"/>
      <c r="AD50" s="98"/>
      <c r="AE50" s="690"/>
      <c r="AF50" s="222"/>
      <c r="AG50" s="164"/>
      <c r="AH50" s="164"/>
      <c r="AI50" s="164"/>
      <c r="AJ50" s="165"/>
      <c r="AK50" s="165"/>
      <c r="AL50" s="165"/>
      <c r="AM50" s="50"/>
      <c r="AN50" s="50"/>
      <c r="AO50" s="50"/>
      <c r="AP50" s="50"/>
      <c r="AQ50" s="98"/>
      <c r="AR50" s="98"/>
      <c r="AS50" s="221"/>
      <c r="AT50" s="222"/>
      <c r="AU50" s="222"/>
      <c r="AV50" s="133"/>
      <c r="AW50" s="133"/>
      <c r="AX50" s="133"/>
      <c r="AY50" s="50"/>
      <c r="AZ50" s="50"/>
      <c r="BA50" s="50"/>
      <c r="BB50" s="188"/>
      <c r="BC50" s="188"/>
      <c r="BD50" s="188"/>
      <c r="BE50" s="50"/>
      <c r="BF50" s="50"/>
    </row>
    <row r="51" spans="1:58" s="10" customFormat="1" x14ac:dyDescent="0.3">
      <c r="A51" s="49"/>
      <c r="B51" s="50"/>
      <c r="C51" s="50"/>
      <c r="D51" s="51"/>
      <c r="E51" s="50"/>
      <c r="F51" s="50"/>
      <c r="G51" s="50"/>
      <c r="H51" s="50"/>
      <c r="I51" s="221"/>
      <c r="J51" s="97"/>
      <c r="K51" s="50"/>
      <c r="L51" s="50"/>
      <c r="M51" s="50"/>
      <c r="N51" s="50"/>
      <c r="O51" s="98"/>
      <c r="P51" s="99"/>
      <c r="Q51" s="221"/>
      <c r="R51" s="222"/>
      <c r="S51" s="222"/>
      <c r="T51" s="133"/>
      <c r="U51" s="133"/>
      <c r="V51" s="133"/>
      <c r="W51" s="134"/>
      <c r="X51" s="134"/>
      <c r="Y51" s="134"/>
      <c r="Z51" s="50"/>
      <c r="AA51" s="50"/>
      <c r="AB51" s="50"/>
      <c r="AC51" s="50"/>
      <c r="AD51" s="98"/>
      <c r="AE51" s="690"/>
      <c r="AF51" s="222"/>
      <c r="AG51" s="164"/>
      <c r="AH51" s="164"/>
      <c r="AI51" s="164"/>
      <c r="AJ51" s="165"/>
      <c r="AK51" s="165"/>
      <c r="AL51" s="165"/>
      <c r="AM51" s="50"/>
      <c r="AN51" s="50"/>
      <c r="AO51" s="50"/>
      <c r="AP51" s="50"/>
      <c r="AQ51" s="98"/>
      <c r="AR51" s="98"/>
      <c r="AS51" s="221"/>
      <c r="AT51" s="222"/>
      <c r="AU51" s="222"/>
      <c r="AV51" s="133"/>
      <c r="AW51" s="133"/>
      <c r="AX51" s="133"/>
      <c r="AY51" s="50"/>
      <c r="AZ51" s="50"/>
      <c r="BA51" s="50"/>
      <c r="BB51" s="188"/>
      <c r="BC51" s="188"/>
      <c r="BD51" s="188"/>
      <c r="BE51" s="50"/>
      <c r="BF51" s="50"/>
    </row>
    <row r="52" spans="1:58" s="7" customFormat="1" ht="15" thickBot="1" x14ac:dyDescent="0.35">
      <c r="A52" s="52"/>
      <c r="B52" s="53" t="s">
        <v>1113</v>
      </c>
      <c r="C52" s="54"/>
      <c r="D52" s="55"/>
      <c r="E52" s="54"/>
      <c r="F52" s="54"/>
      <c r="G52" s="54">
        <v>20</v>
      </c>
      <c r="H52" s="54">
        <f t="shared" ref="H52:H57" si="10">G52+273.15</f>
        <v>293.14999999999998</v>
      </c>
      <c r="I52" s="223">
        <f t="shared" ref="I52:I57" si="11">-LOG10(EXP(LN(10^-14)+13.36*(1/298.15-1/H52)/0.0019872))</f>
        <v>14.167030000755094</v>
      </c>
      <c r="J52" s="100">
        <v>26.53</v>
      </c>
      <c r="K52" s="54"/>
      <c r="L52" s="54"/>
      <c r="M52" s="54"/>
      <c r="N52" s="54"/>
      <c r="O52" s="101"/>
      <c r="P52" s="102"/>
      <c r="Q52" s="223"/>
      <c r="R52" s="224"/>
      <c r="S52" s="224"/>
      <c r="T52" s="135"/>
      <c r="U52" s="135"/>
      <c r="V52" s="135"/>
      <c r="W52" s="136"/>
      <c r="X52" s="136"/>
      <c r="Y52" s="136"/>
      <c r="Z52" s="54">
        <v>7</v>
      </c>
      <c r="AA52" s="54">
        <v>34</v>
      </c>
      <c r="AB52" s="54"/>
      <c r="AC52" s="54" t="s">
        <v>605</v>
      </c>
      <c r="AD52" s="101">
        <f>(LN(2)/AA52)/(60*60*24)</f>
        <v>2.3595696505989423E-7</v>
      </c>
      <c r="AE52" s="691">
        <f t="shared" ref="AE52:AE57" si="12">(LN(2)/AF52)/(60*60*24)</f>
        <v>15.841428525082296</v>
      </c>
      <c r="AF52" s="224">
        <f t="shared" ref="AF52:AF57" si="13">EXP(LN(AD52)+$J52*(1/$H52-1/298.15)/0.0019872)</f>
        <v>5.0642761158402078E-7</v>
      </c>
      <c r="AG52" s="166"/>
      <c r="AH52" s="166"/>
      <c r="AI52" s="166"/>
      <c r="AJ52" s="167"/>
      <c r="AK52" s="167"/>
      <c r="AL52" s="167"/>
      <c r="AM52" s="54"/>
      <c r="AN52" s="54"/>
      <c r="AO52" s="54"/>
      <c r="AP52" s="54"/>
      <c r="AQ52" s="101"/>
      <c r="AR52" s="101"/>
      <c r="AS52" s="223"/>
      <c r="AT52" s="224"/>
      <c r="AU52" s="224"/>
      <c r="AV52" s="135"/>
      <c r="AW52" s="135"/>
      <c r="AX52" s="135"/>
      <c r="AY52" s="54"/>
      <c r="AZ52" s="54"/>
      <c r="BA52" s="54"/>
      <c r="BB52" s="189"/>
      <c r="BC52" s="189"/>
      <c r="BD52" s="189"/>
      <c r="BE52" s="54"/>
      <c r="BF52" s="54"/>
    </row>
    <row r="53" spans="1:58" ht="15" thickTop="1" x14ac:dyDescent="0.3">
      <c r="A53" s="33">
        <v>2</v>
      </c>
      <c r="B53" s="31" t="s">
        <v>315</v>
      </c>
      <c r="C53" s="31" t="s">
        <v>316</v>
      </c>
      <c r="E53" s="31" t="s">
        <v>314</v>
      </c>
      <c r="F53" s="31" t="s">
        <v>670</v>
      </c>
      <c r="G53" s="31">
        <v>25</v>
      </c>
      <c r="H53" s="31">
        <f t="shared" si="10"/>
        <v>298.14999999999998</v>
      </c>
      <c r="I53" s="208">
        <f t="shared" si="11"/>
        <v>14</v>
      </c>
      <c r="J53" s="31">
        <v>23.22</v>
      </c>
      <c r="O53" s="86"/>
      <c r="P53" s="87"/>
      <c r="Q53" s="208"/>
      <c r="R53" s="209"/>
      <c r="S53" s="209"/>
      <c r="T53" s="118"/>
      <c r="U53" s="118"/>
      <c r="V53" s="118"/>
      <c r="W53" s="119"/>
      <c r="X53" s="119"/>
      <c r="Y53" s="119"/>
      <c r="Z53" s="31">
        <v>7</v>
      </c>
      <c r="AB53" s="103">
        <v>1.698E-5</v>
      </c>
      <c r="AC53" s="31" t="s">
        <v>600</v>
      </c>
      <c r="AD53" s="86">
        <f>AB53</f>
        <v>1.698E-5</v>
      </c>
      <c r="AE53" s="219">
        <f t="shared" si="12"/>
        <v>0.47246977691616054</v>
      </c>
      <c r="AF53" s="209">
        <f t="shared" si="13"/>
        <v>1.6979999999999993E-5</v>
      </c>
      <c r="AG53" s="156">
        <f>AVERAGE(AE53:AE57)</f>
        <v>0.44610249456156159</v>
      </c>
      <c r="AH53" s="156">
        <f>MEDIAN(AE53:AE57)</f>
        <v>0.43368158603738216</v>
      </c>
      <c r="AI53" s="156">
        <f>STDEV(AE53:AE57)</f>
        <v>2.2482048766973167E-2</v>
      </c>
      <c r="AQ53" s="86"/>
      <c r="AR53" s="86"/>
      <c r="AS53" s="208"/>
      <c r="AT53" s="209"/>
      <c r="AU53" s="209"/>
      <c r="AV53" s="118"/>
      <c r="AW53" s="118"/>
      <c r="AX53" s="118"/>
    </row>
    <row r="54" spans="1:58" x14ac:dyDescent="0.3">
      <c r="A54" s="33"/>
      <c r="F54" s="31" t="s">
        <v>670</v>
      </c>
      <c r="G54" s="31">
        <v>30</v>
      </c>
      <c r="H54" s="31">
        <f t="shared" si="10"/>
        <v>303.14999999999998</v>
      </c>
      <c r="I54" s="208">
        <f t="shared" si="11"/>
        <v>13.838479812893434</v>
      </c>
      <c r="J54" s="31">
        <v>23.22</v>
      </c>
      <c r="O54" s="86"/>
      <c r="P54" s="87"/>
      <c r="Q54" s="208"/>
      <c r="R54" s="209"/>
      <c r="S54" s="209"/>
      <c r="T54" s="118"/>
      <c r="U54" s="118"/>
      <c r="V54" s="118"/>
      <c r="W54" s="119"/>
      <c r="X54" s="119"/>
      <c r="Y54" s="119"/>
      <c r="Z54" s="31">
        <v>7</v>
      </c>
      <c r="AB54" s="103">
        <v>3.2679999999999999E-5</v>
      </c>
      <c r="AC54" s="31" t="s">
        <v>600</v>
      </c>
      <c r="AD54" s="86">
        <f>AB54</f>
        <v>3.2679999999999999E-5</v>
      </c>
      <c r="AE54" s="219">
        <f t="shared" si="12"/>
        <v>0.46854965738025467</v>
      </c>
      <c r="AF54" s="209">
        <f t="shared" si="13"/>
        <v>1.7122063127506802E-5</v>
      </c>
      <c r="AQ54" s="86"/>
      <c r="AR54" s="86"/>
      <c r="AS54" s="208"/>
      <c r="AT54" s="209"/>
      <c r="AU54" s="209"/>
      <c r="AV54" s="118"/>
      <c r="AW54" s="118"/>
      <c r="AX54" s="118"/>
    </row>
    <row r="55" spans="1:58" x14ac:dyDescent="0.3">
      <c r="A55" s="33"/>
      <c r="F55" s="31" t="s">
        <v>671</v>
      </c>
      <c r="G55" s="31">
        <v>40</v>
      </c>
      <c r="H55" s="31">
        <f t="shared" si="10"/>
        <v>313.14999999999998</v>
      </c>
      <c r="I55" s="208">
        <f t="shared" si="11"/>
        <v>13.530913191237214</v>
      </c>
      <c r="J55" s="31">
        <v>21.79</v>
      </c>
      <c r="O55" s="86"/>
      <c r="P55" s="87"/>
      <c r="Q55" s="208"/>
      <c r="R55" s="209"/>
      <c r="S55" s="209"/>
      <c r="T55" s="118"/>
      <c r="U55" s="118"/>
      <c r="V55" s="118"/>
      <c r="W55" s="119"/>
      <c r="X55" s="119"/>
      <c r="Y55" s="119"/>
      <c r="Z55" s="31">
        <v>7</v>
      </c>
      <c r="AB55" s="103">
        <v>1.077E-4</v>
      </c>
      <c r="AC55" s="31" t="s">
        <v>600</v>
      </c>
      <c r="AD55" s="86">
        <f>AB55</f>
        <v>1.077E-4</v>
      </c>
      <c r="AE55" s="219">
        <f t="shared" si="12"/>
        <v>0.43368158603738216</v>
      </c>
      <c r="AF55" s="209">
        <f t="shared" si="13"/>
        <v>1.8498679838679809E-5</v>
      </c>
      <c r="AQ55" s="86"/>
      <c r="AR55" s="86"/>
      <c r="AS55" s="208"/>
      <c r="AT55" s="209"/>
      <c r="AU55" s="209"/>
      <c r="AV55" s="118"/>
      <c r="AW55" s="118"/>
      <c r="AX55" s="118"/>
    </row>
    <row r="56" spans="1:58" x14ac:dyDescent="0.3">
      <c r="A56" s="33"/>
      <c r="F56" s="31" t="s">
        <v>671</v>
      </c>
      <c r="G56" s="31">
        <v>50</v>
      </c>
      <c r="H56" s="31">
        <f t="shared" si="10"/>
        <v>323.14999999999998</v>
      </c>
      <c r="I56" s="208">
        <f t="shared" si="11"/>
        <v>13.242382102408241</v>
      </c>
      <c r="J56" s="31">
        <v>21.79</v>
      </c>
      <c r="O56" s="86"/>
      <c r="P56" s="87"/>
      <c r="Q56" s="208"/>
      <c r="R56" s="209"/>
      <c r="S56" s="209"/>
      <c r="T56" s="118"/>
      <c r="U56" s="118"/>
      <c r="V56" s="118"/>
      <c r="W56" s="119"/>
      <c r="X56" s="119"/>
      <c r="Y56" s="119"/>
      <c r="Z56" s="31">
        <v>7</v>
      </c>
      <c r="AB56" s="103">
        <v>3.2390000000000001E-4</v>
      </c>
      <c r="AC56" s="31" t="s">
        <v>600</v>
      </c>
      <c r="AD56" s="86">
        <f>AB56</f>
        <v>3.2390000000000001E-4</v>
      </c>
      <c r="AE56" s="219">
        <f t="shared" si="12"/>
        <v>0.42615392057070117</v>
      </c>
      <c r="AF56" s="209">
        <f t="shared" si="13"/>
        <v>1.8825444105483532E-5</v>
      </c>
      <c r="AQ56" s="86"/>
      <c r="AR56" s="86"/>
      <c r="AS56" s="208"/>
      <c r="AT56" s="209"/>
      <c r="AU56" s="209"/>
      <c r="AV56" s="118"/>
      <c r="AW56" s="118"/>
      <c r="AX56" s="118"/>
    </row>
    <row r="57" spans="1:58" x14ac:dyDescent="0.3">
      <c r="A57" s="33"/>
      <c r="F57" s="31" t="s">
        <v>671</v>
      </c>
      <c r="G57" s="31">
        <v>60</v>
      </c>
      <c r="H57" s="31">
        <f t="shared" si="10"/>
        <v>333.15</v>
      </c>
      <c r="I57" s="208">
        <f t="shared" si="11"/>
        <v>12.971172405674658</v>
      </c>
      <c r="J57" s="31">
        <v>21.79</v>
      </c>
      <c r="O57" s="86"/>
      <c r="P57" s="87"/>
      <c r="Q57" s="208"/>
      <c r="R57" s="209"/>
      <c r="S57" s="209"/>
      <c r="T57" s="118"/>
      <c r="U57" s="118"/>
      <c r="V57" s="118"/>
      <c r="W57" s="119"/>
      <c r="X57" s="119"/>
      <c r="Y57" s="119"/>
      <c r="Z57" s="31">
        <v>7</v>
      </c>
      <c r="AB57" s="103">
        <v>8.8960000000000005E-4</v>
      </c>
      <c r="AC57" s="31" t="s">
        <v>600</v>
      </c>
      <c r="AD57" s="86">
        <f>AB57</f>
        <v>8.8960000000000005E-4</v>
      </c>
      <c r="AE57" s="219">
        <f t="shared" si="12"/>
        <v>0.42965753190330935</v>
      </c>
      <c r="AF57" s="209">
        <f t="shared" si="13"/>
        <v>1.8671933380285315E-5</v>
      </c>
      <c r="AQ57" s="86"/>
      <c r="AR57" s="86"/>
      <c r="AS57" s="208"/>
      <c r="AT57" s="209"/>
      <c r="AU57" s="209"/>
      <c r="AV57" s="118"/>
      <c r="AW57" s="118"/>
      <c r="AX57" s="118"/>
    </row>
    <row r="58" spans="1:58" ht="15" thickBot="1" x14ac:dyDescent="0.35">
      <c r="A58" s="33"/>
      <c r="I58" s="208"/>
      <c r="Q58" s="208"/>
      <c r="R58" s="208"/>
      <c r="S58" s="208"/>
      <c r="AE58" s="208"/>
      <c r="AF58" s="208"/>
      <c r="AS58" s="208"/>
      <c r="AT58" s="208"/>
      <c r="AU58" s="208"/>
    </row>
    <row r="59" spans="1:58" s="8" customFormat="1" x14ac:dyDescent="0.3">
      <c r="A59" s="36">
        <v>4</v>
      </c>
      <c r="B59" s="56" t="s">
        <v>396</v>
      </c>
      <c r="C59" s="37" t="s">
        <v>320</v>
      </c>
      <c r="D59" s="38"/>
      <c r="E59" s="37" t="s">
        <v>321</v>
      </c>
      <c r="F59" s="37" t="s">
        <v>317</v>
      </c>
      <c r="G59" s="37">
        <v>50</v>
      </c>
      <c r="H59" s="37">
        <f t="shared" ref="H59:H73" si="14">G59+273.15</f>
        <v>323.14999999999998</v>
      </c>
      <c r="I59" s="214">
        <f t="shared" ref="I59:I73" si="15">-LOG10(EXP(LN(10^-14)+13.36*(1/298.15-1/H59)/0.0019872))</f>
        <v>13.242382102408241</v>
      </c>
      <c r="J59" s="88">
        <v>24.62</v>
      </c>
      <c r="K59" s="37"/>
      <c r="L59" s="37"/>
      <c r="M59" s="37"/>
      <c r="N59" s="37"/>
      <c r="O59" s="89"/>
      <c r="P59" s="90"/>
      <c r="Q59" s="214"/>
      <c r="R59" s="215"/>
      <c r="S59" s="215"/>
      <c r="T59" s="120"/>
      <c r="U59" s="120"/>
      <c r="V59" s="120"/>
      <c r="W59" s="121"/>
      <c r="X59" s="121"/>
      <c r="Y59" s="121"/>
      <c r="Z59" s="37">
        <v>7</v>
      </c>
      <c r="AA59" s="37"/>
      <c r="AB59" s="122">
        <f>0.78*10^-6</f>
        <v>7.7999999999999994E-7</v>
      </c>
      <c r="AC59" s="37" t="s">
        <v>600</v>
      </c>
      <c r="AD59" s="89">
        <f t="shared" ref="AD59:AD73" si="16">AB59</f>
        <v>7.7999999999999994E-7</v>
      </c>
      <c r="AE59" s="218">
        <f t="shared" ref="AE59:AE73" si="17">(LN(2)/AF59)/(60*60*24)</f>
        <v>256.07445994884165</v>
      </c>
      <c r="AF59" s="215">
        <f t="shared" ref="AF59:AF73" si="18">EXP(LN(AD59)+$J59*(1/$H59-1/298.15)/0.0019872)</f>
        <v>3.1328922117571353E-8</v>
      </c>
      <c r="AG59" s="885">
        <f>AVERAGE(AE59:AE73)</f>
        <v>151.77601116162484</v>
      </c>
      <c r="AH59" s="158">
        <f>MEDIAN(AE59:AE73)</f>
        <v>123.90059397512199</v>
      </c>
      <c r="AI59" s="158">
        <f>STDEV(AE59:AE73)</f>
        <v>55.901665581724956</v>
      </c>
      <c r="AK59" s="159"/>
      <c r="AL59" s="159"/>
      <c r="AM59" s="37"/>
      <c r="AN59" s="37"/>
      <c r="AO59" s="122"/>
      <c r="AP59" s="37"/>
      <c r="AQ59" s="89"/>
      <c r="AR59" s="89"/>
      <c r="AS59" s="218"/>
      <c r="AT59" s="215"/>
      <c r="AU59" s="215"/>
      <c r="AV59" s="120"/>
      <c r="AW59" s="120"/>
      <c r="AX59" s="120"/>
      <c r="AY59" s="37"/>
      <c r="AZ59" s="37"/>
      <c r="BA59" s="37"/>
      <c r="BB59" s="186"/>
      <c r="BC59" s="186"/>
      <c r="BD59" s="186"/>
      <c r="BE59" s="37"/>
      <c r="BF59" s="37"/>
    </row>
    <row r="60" spans="1:58" x14ac:dyDescent="0.3">
      <c r="A60" s="33"/>
      <c r="G60" s="31">
        <v>50</v>
      </c>
      <c r="H60" s="31">
        <f t="shared" si="14"/>
        <v>323.14999999999998</v>
      </c>
      <c r="I60" s="208">
        <f t="shared" si="15"/>
        <v>13.242382102408241</v>
      </c>
      <c r="J60" s="91">
        <v>24.62</v>
      </c>
      <c r="O60" s="86"/>
      <c r="P60" s="87"/>
      <c r="Q60" s="208"/>
      <c r="R60" s="209"/>
      <c r="S60" s="209"/>
      <c r="T60" s="118"/>
      <c r="U60" s="118"/>
      <c r="V60" s="118"/>
      <c r="W60" s="119"/>
      <c r="X60" s="119"/>
      <c r="Y60" s="119"/>
      <c r="Z60" s="31">
        <v>8</v>
      </c>
      <c r="AB60" s="103">
        <f>0.97*10^-6</f>
        <v>9.7000000000000003E-7</v>
      </c>
      <c r="AC60" s="31" t="s">
        <v>600</v>
      </c>
      <c r="AD60" s="86">
        <f t="shared" si="16"/>
        <v>9.7000000000000003E-7</v>
      </c>
      <c r="AE60" s="219">
        <f t="shared" si="17"/>
        <v>205.91554511350131</v>
      </c>
      <c r="AF60" s="209">
        <f t="shared" si="18"/>
        <v>3.8960326223133642E-8</v>
      </c>
      <c r="AO60" s="103"/>
      <c r="AQ60" s="86"/>
      <c r="AR60" s="86"/>
      <c r="AS60" s="219"/>
      <c r="AT60" s="209"/>
      <c r="AU60" s="209"/>
      <c r="AV60" s="118"/>
      <c r="AW60" s="118"/>
      <c r="AX60" s="118"/>
    </row>
    <row r="61" spans="1:58" x14ac:dyDescent="0.3">
      <c r="A61" s="33"/>
      <c r="G61" s="31">
        <v>50</v>
      </c>
      <c r="H61" s="31">
        <f t="shared" si="14"/>
        <v>323.14999999999998</v>
      </c>
      <c r="I61" s="208">
        <f t="shared" si="15"/>
        <v>13.242382102408241</v>
      </c>
      <c r="J61" s="91">
        <v>24.62</v>
      </c>
      <c r="O61" s="86"/>
      <c r="P61" s="87"/>
      <c r="Q61" s="208"/>
      <c r="R61" s="209"/>
      <c r="S61" s="209"/>
      <c r="T61" s="118"/>
      <c r="U61" s="118"/>
      <c r="V61" s="118"/>
      <c r="W61" s="119"/>
      <c r="X61" s="119"/>
      <c r="Y61" s="119"/>
      <c r="Z61" s="31">
        <v>9</v>
      </c>
      <c r="AB61" s="103">
        <v>7.8000000000000005E-7</v>
      </c>
      <c r="AC61" s="31" t="s">
        <v>600</v>
      </c>
      <c r="AD61" s="86">
        <f t="shared" si="16"/>
        <v>7.8000000000000005E-7</v>
      </c>
      <c r="AE61" s="219">
        <f t="shared" si="17"/>
        <v>256.07445994884068</v>
      </c>
      <c r="AF61" s="209">
        <f t="shared" si="18"/>
        <v>3.1328922117571466E-8</v>
      </c>
      <c r="AO61" s="103"/>
      <c r="AQ61" s="86"/>
      <c r="AR61" s="86"/>
      <c r="AS61" s="219"/>
      <c r="AT61" s="209"/>
      <c r="AU61" s="209"/>
      <c r="AV61" s="118"/>
      <c r="AW61" s="118"/>
      <c r="AX61" s="118"/>
    </row>
    <row r="62" spans="1:58" x14ac:dyDescent="0.3">
      <c r="A62" s="33"/>
      <c r="G62" s="31">
        <v>50</v>
      </c>
      <c r="H62" s="31">
        <f t="shared" si="14"/>
        <v>323.14999999999998</v>
      </c>
      <c r="I62" s="208">
        <f t="shared" si="15"/>
        <v>13.242382102408241</v>
      </c>
      <c r="J62" s="91">
        <v>24.62</v>
      </c>
      <c r="O62" s="86"/>
      <c r="P62" s="87"/>
      <c r="Q62" s="208"/>
      <c r="R62" s="209"/>
      <c r="S62" s="209"/>
      <c r="T62" s="118"/>
      <c r="U62" s="118"/>
      <c r="V62" s="118"/>
      <c r="W62" s="119"/>
      <c r="X62" s="119"/>
      <c r="Y62" s="119"/>
      <c r="Z62" s="31">
        <v>10</v>
      </c>
      <c r="AB62" s="103">
        <v>8.6000000000000002E-7</v>
      </c>
      <c r="AC62" s="31" t="s">
        <v>600</v>
      </c>
      <c r="AD62" s="86">
        <f t="shared" si="16"/>
        <v>8.6000000000000002E-7</v>
      </c>
      <c r="AE62" s="219">
        <f t="shared" si="17"/>
        <v>232.25357995360082</v>
      </c>
      <c r="AF62" s="209">
        <f t="shared" si="18"/>
        <v>3.4542144898860682E-8</v>
      </c>
      <c r="AO62" s="103"/>
      <c r="AQ62" s="86"/>
      <c r="AR62" s="86"/>
      <c r="AS62" s="219"/>
      <c r="AT62" s="209"/>
      <c r="AU62" s="209"/>
      <c r="AV62" s="118"/>
      <c r="AW62" s="118"/>
      <c r="AX62" s="118"/>
    </row>
    <row r="63" spans="1:58" x14ac:dyDescent="0.3">
      <c r="A63" s="33"/>
      <c r="G63" s="31">
        <v>50</v>
      </c>
      <c r="H63" s="31">
        <f t="shared" si="14"/>
        <v>323.14999999999998</v>
      </c>
      <c r="I63" s="208">
        <f t="shared" si="15"/>
        <v>13.242382102408241</v>
      </c>
      <c r="J63" s="91">
        <v>24.62</v>
      </c>
      <c r="O63" s="86"/>
      <c r="P63" s="87"/>
      <c r="Q63" s="208"/>
      <c r="R63" s="209"/>
      <c r="S63" s="209"/>
      <c r="T63" s="118"/>
      <c r="U63" s="118"/>
      <c r="V63" s="118"/>
      <c r="W63" s="119"/>
      <c r="X63" s="119"/>
      <c r="Y63" s="119"/>
      <c r="Z63" s="31">
        <v>11</v>
      </c>
      <c r="AB63" s="103">
        <v>1.3999999999999999E-6</v>
      </c>
      <c r="AC63" s="31" t="s">
        <v>600</v>
      </c>
      <c r="AD63" s="86">
        <f t="shared" si="16"/>
        <v>1.3999999999999999E-6</v>
      </c>
      <c r="AE63" s="219">
        <f t="shared" si="17"/>
        <v>142.67005625721194</v>
      </c>
      <c r="AF63" s="209">
        <f t="shared" si="18"/>
        <v>5.6231398672563897E-8</v>
      </c>
      <c r="AO63" s="103"/>
      <c r="AQ63" s="86"/>
      <c r="AR63" s="86"/>
      <c r="AS63" s="219"/>
      <c r="AT63" s="209"/>
      <c r="AU63" s="209"/>
      <c r="AV63" s="118"/>
      <c r="AW63" s="118"/>
      <c r="AX63" s="118"/>
    </row>
    <row r="64" spans="1:58" x14ac:dyDescent="0.3">
      <c r="A64" s="33"/>
      <c r="G64" s="31">
        <v>76</v>
      </c>
      <c r="H64" s="31">
        <f t="shared" si="14"/>
        <v>349.15</v>
      </c>
      <c r="I64" s="208">
        <f t="shared" si="15"/>
        <v>12.569550576663826</v>
      </c>
      <c r="J64" s="91">
        <v>24.62</v>
      </c>
      <c r="O64" s="86"/>
      <c r="P64" s="87"/>
      <c r="Q64" s="208"/>
      <c r="R64" s="209"/>
      <c r="S64" s="209"/>
      <c r="T64" s="118"/>
      <c r="U64" s="118"/>
      <c r="V64" s="118"/>
      <c r="W64" s="119"/>
      <c r="X64" s="119"/>
      <c r="Y64" s="119"/>
      <c r="Z64" s="31">
        <v>7</v>
      </c>
      <c r="AB64" s="103">
        <v>3.3000000000000003E-5</v>
      </c>
      <c r="AC64" s="31" t="s">
        <v>600</v>
      </c>
      <c r="AD64" s="86">
        <f t="shared" si="16"/>
        <v>3.3000000000000003E-5</v>
      </c>
      <c r="AE64" s="219">
        <f t="shared" si="17"/>
        <v>105.1599893300879</v>
      </c>
      <c r="AF64" s="209">
        <f t="shared" si="18"/>
        <v>7.6288870540433114E-8</v>
      </c>
      <c r="AO64" s="103"/>
      <c r="AQ64" s="86"/>
      <c r="AR64" s="86"/>
      <c r="AS64" s="219"/>
      <c r="AT64" s="209"/>
      <c r="AU64" s="209"/>
      <c r="AV64" s="118"/>
      <c r="AW64" s="118"/>
      <c r="AX64" s="118"/>
    </row>
    <row r="65" spans="1:58" x14ac:dyDescent="0.3">
      <c r="A65" s="33"/>
      <c r="G65" s="31">
        <v>76</v>
      </c>
      <c r="H65" s="31">
        <f t="shared" si="14"/>
        <v>349.15</v>
      </c>
      <c r="I65" s="208">
        <f t="shared" si="15"/>
        <v>12.569550576663826</v>
      </c>
      <c r="J65" s="91">
        <v>24.62</v>
      </c>
      <c r="O65" s="86"/>
      <c r="P65" s="87"/>
      <c r="Q65" s="208"/>
      <c r="R65" s="209"/>
      <c r="S65" s="209"/>
      <c r="T65" s="118"/>
      <c r="U65" s="118"/>
      <c r="V65" s="118"/>
      <c r="W65" s="119"/>
      <c r="X65" s="119"/>
      <c r="Y65" s="119"/>
      <c r="Z65" s="31">
        <v>8</v>
      </c>
      <c r="AB65" s="103">
        <v>3.3000000000000003E-5</v>
      </c>
      <c r="AC65" s="31" t="s">
        <v>600</v>
      </c>
      <c r="AD65" s="86">
        <f t="shared" si="16"/>
        <v>3.3000000000000003E-5</v>
      </c>
      <c r="AE65" s="219">
        <f t="shared" si="17"/>
        <v>105.1599893300879</v>
      </c>
      <c r="AF65" s="209">
        <f t="shared" si="18"/>
        <v>7.6288870540433114E-8</v>
      </c>
      <c r="AO65" s="103"/>
      <c r="AQ65" s="86"/>
      <c r="AR65" s="86"/>
      <c r="AS65" s="219"/>
      <c r="AT65" s="209"/>
      <c r="AU65" s="209"/>
      <c r="AV65" s="118"/>
      <c r="AW65" s="118"/>
      <c r="AX65" s="118"/>
    </row>
    <row r="66" spans="1:58" x14ac:dyDescent="0.3">
      <c r="A66" s="33"/>
      <c r="G66" s="31">
        <v>76</v>
      </c>
      <c r="H66" s="31">
        <f t="shared" si="14"/>
        <v>349.15</v>
      </c>
      <c r="I66" s="208">
        <f t="shared" si="15"/>
        <v>12.569550576663826</v>
      </c>
      <c r="J66" s="91">
        <v>24.62</v>
      </c>
      <c r="O66" s="86"/>
      <c r="P66" s="87"/>
      <c r="Q66" s="208"/>
      <c r="R66" s="209"/>
      <c r="S66" s="209"/>
      <c r="T66" s="118"/>
      <c r="U66" s="118"/>
      <c r="V66" s="118"/>
      <c r="W66" s="119"/>
      <c r="X66" s="119"/>
      <c r="Y66" s="119"/>
      <c r="Z66" s="31">
        <v>9</v>
      </c>
      <c r="AB66" s="103">
        <v>3.1000000000000001E-5</v>
      </c>
      <c r="AC66" s="31" t="s">
        <v>600</v>
      </c>
      <c r="AD66" s="86">
        <f t="shared" si="16"/>
        <v>3.1000000000000001E-5</v>
      </c>
      <c r="AE66" s="219">
        <f t="shared" si="17"/>
        <v>111.94450477073879</v>
      </c>
      <c r="AF66" s="209">
        <f t="shared" si="18"/>
        <v>7.1665302628891679E-8</v>
      </c>
      <c r="AO66" s="103"/>
      <c r="AQ66" s="86"/>
      <c r="AR66" s="86"/>
      <c r="AS66" s="219"/>
      <c r="AT66" s="209"/>
      <c r="AU66" s="209"/>
      <c r="AV66" s="118"/>
      <c r="AW66" s="118"/>
      <c r="AX66" s="118"/>
    </row>
    <row r="67" spans="1:58" x14ac:dyDescent="0.3">
      <c r="A67" s="33"/>
      <c r="G67" s="31">
        <v>76</v>
      </c>
      <c r="H67" s="31">
        <f t="shared" si="14"/>
        <v>349.15</v>
      </c>
      <c r="I67" s="208">
        <f t="shared" si="15"/>
        <v>12.569550576663826</v>
      </c>
      <c r="J67" s="91">
        <v>24.62</v>
      </c>
      <c r="O67" s="86"/>
      <c r="P67" s="87"/>
      <c r="Q67" s="208"/>
      <c r="R67" s="209"/>
      <c r="S67" s="209"/>
      <c r="T67" s="118"/>
      <c r="U67" s="118"/>
      <c r="V67" s="118"/>
      <c r="W67" s="119"/>
      <c r="X67" s="119"/>
      <c r="Y67" s="119"/>
      <c r="Z67" s="31">
        <v>10</v>
      </c>
      <c r="AB67" s="103">
        <v>3.1000000000000001E-5</v>
      </c>
      <c r="AC67" s="31" t="s">
        <v>600</v>
      </c>
      <c r="AD67" s="86">
        <f t="shared" si="16"/>
        <v>3.1000000000000001E-5</v>
      </c>
      <c r="AE67" s="219">
        <f t="shared" si="17"/>
        <v>111.94450477073879</v>
      </c>
      <c r="AF67" s="209">
        <f t="shared" si="18"/>
        <v>7.1665302628891679E-8</v>
      </c>
      <c r="AO67" s="103"/>
      <c r="AQ67" s="86"/>
      <c r="AR67" s="86"/>
      <c r="AS67" s="219"/>
      <c r="AT67" s="209"/>
      <c r="AU67" s="209"/>
      <c r="AV67" s="118"/>
      <c r="AW67" s="118"/>
      <c r="AX67" s="118"/>
    </row>
    <row r="68" spans="1:58" x14ac:dyDescent="0.3">
      <c r="A68" s="33"/>
      <c r="G68" s="31">
        <v>76</v>
      </c>
      <c r="H68" s="31">
        <f t="shared" si="14"/>
        <v>349.15</v>
      </c>
      <c r="I68" s="208">
        <f t="shared" si="15"/>
        <v>12.569550576663826</v>
      </c>
      <c r="J68" s="91">
        <v>24.62</v>
      </c>
      <c r="O68" s="86"/>
      <c r="P68" s="87"/>
      <c r="Q68" s="208"/>
      <c r="R68" s="209"/>
      <c r="S68" s="209"/>
      <c r="T68" s="118"/>
      <c r="U68" s="118"/>
      <c r="V68" s="118"/>
      <c r="W68" s="119"/>
      <c r="X68" s="119"/>
      <c r="Y68" s="119"/>
      <c r="Z68" s="31">
        <v>11</v>
      </c>
      <c r="AB68" s="103">
        <v>3.3000000000000003E-5</v>
      </c>
      <c r="AC68" s="31" t="s">
        <v>600</v>
      </c>
      <c r="AD68" s="86">
        <f t="shared" si="16"/>
        <v>3.3000000000000003E-5</v>
      </c>
      <c r="AE68" s="219">
        <f t="shared" si="17"/>
        <v>105.1599893300879</v>
      </c>
      <c r="AF68" s="209">
        <f t="shared" si="18"/>
        <v>7.6288870540433114E-8</v>
      </c>
      <c r="AO68" s="103"/>
      <c r="AQ68" s="86"/>
      <c r="AR68" s="86"/>
      <c r="AS68" s="219"/>
      <c r="AT68" s="209"/>
      <c r="AU68" s="209"/>
      <c r="AV68" s="118"/>
      <c r="AW68" s="118"/>
      <c r="AX68" s="118"/>
    </row>
    <row r="69" spans="1:58" x14ac:dyDescent="0.3">
      <c r="A69" s="33"/>
      <c r="G69" s="31">
        <v>90</v>
      </c>
      <c r="H69" s="31">
        <f t="shared" si="14"/>
        <v>363.15</v>
      </c>
      <c r="I69" s="208">
        <f t="shared" si="15"/>
        <v>12.247162380895993</v>
      </c>
      <c r="J69" s="91">
        <v>24.62</v>
      </c>
      <c r="O69" s="86"/>
      <c r="P69" s="87"/>
      <c r="Q69" s="208"/>
      <c r="R69" s="209"/>
      <c r="S69" s="209"/>
      <c r="T69" s="118"/>
      <c r="U69" s="118"/>
      <c r="V69" s="118"/>
      <c r="W69" s="119"/>
      <c r="X69" s="119"/>
      <c r="Y69" s="119"/>
      <c r="Z69" s="31">
        <v>7</v>
      </c>
      <c r="AB69" s="103">
        <v>1.1E-4</v>
      </c>
      <c r="AC69" s="31" t="s">
        <v>600</v>
      </c>
      <c r="AD69" s="86">
        <f t="shared" si="16"/>
        <v>1.1E-4</v>
      </c>
      <c r="AE69" s="219">
        <f t="shared" si="17"/>
        <v>123.90059397512199</v>
      </c>
      <c r="AF69" s="209">
        <f t="shared" si="18"/>
        <v>6.474978492554482E-8</v>
      </c>
      <c r="AO69" s="103"/>
      <c r="AQ69" s="86"/>
      <c r="AR69" s="86"/>
      <c r="AS69" s="219"/>
      <c r="AT69" s="209"/>
      <c r="AU69" s="209"/>
      <c r="AV69" s="118"/>
      <c r="AW69" s="118"/>
      <c r="AX69" s="118"/>
    </row>
    <row r="70" spans="1:58" x14ac:dyDescent="0.3">
      <c r="A70" s="33"/>
      <c r="G70" s="31">
        <v>90</v>
      </c>
      <c r="H70" s="31">
        <f t="shared" si="14"/>
        <v>363.15</v>
      </c>
      <c r="I70" s="208">
        <f t="shared" si="15"/>
        <v>12.247162380895993</v>
      </c>
      <c r="J70" s="91">
        <v>24.62</v>
      </c>
      <c r="O70" s="86"/>
      <c r="P70" s="87"/>
      <c r="Q70" s="208"/>
      <c r="R70" s="209"/>
      <c r="S70" s="209"/>
      <c r="T70" s="118"/>
      <c r="U70" s="118"/>
      <c r="V70" s="118"/>
      <c r="W70" s="119"/>
      <c r="X70" s="119"/>
      <c r="Y70" s="119"/>
      <c r="Z70" s="31">
        <v>8</v>
      </c>
      <c r="AB70" s="103">
        <v>1.1E-4</v>
      </c>
      <c r="AC70" s="31" t="s">
        <v>600</v>
      </c>
      <c r="AD70" s="86">
        <f t="shared" si="16"/>
        <v>1.1E-4</v>
      </c>
      <c r="AE70" s="219">
        <f t="shared" si="17"/>
        <v>123.90059397512199</v>
      </c>
      <c r="AF70" s="209">
        <f t="shared" si="18"/>
        <v>6.474978492554482E-8</v>
      </c>
      <c r="AO70" s="103"/>
      <c r="AQ70" s="86"/>
      <c r="AR70" s="86"/>
      <c r="AS70" s="219"/>
      <c r="AT70" s="209"/>
      <c r="AU70" s="209"/>
      <c r="AV70" s="118"/>
      <c r="AW70" s="118"/>
      <c r="AX70" s="118"/>
    </row>
    <row r="71" spans="1:58" x14ac:dyDescent="0.3">
      <c r="A71" s="33"/>
      <c r="G71" s="31">
        <v>90</v>
      </c>
      <c r="H71" s="31">
        <f t="shared" si="14"/>
        <v>363.15</v>
      </c>
      <c r="I71" s="208">
        <f t="shared" si="15"/>
        <v>12.247162380895993</v>
      </c>
      <c r="J71" s="91">
        <v>24.62</v>
      </c>
      <c r="O71" s="86"/>
      <c r="P71" s="87"/>
      <c r="Q71" s="208"/>
      <c r="R71" s="209"/>
      <c r="S71" s="209"/>
      <c r="T71" s="118"/>
      <c r="U71" s="118"/>
      <c r="V71" s="118"/>
      <c r="W71" s="119"/>
      <c r="X71" s="119"/>
      <c r="Y71" s="119"/>
      <c r="Z71" s="31">
        <v>9</v>
      </c>
      <c r="AB71" s="103">
        <v>1E-4</v>
      </c>
      <c r="AC71" s="31" t="s">
        <v>600</v>
      </c>
      <c r="AD71" s="86">
        <f t="shared" si="16"/>
        <v>1E-4</v>
      </c>
      <c r="AE71" s="219">
        <f t="shared" si="17"/>
        <v>136.2906533726343</v>
      </c>
      <c r="AF71" s="209">
        <f t="shared" si="18"/>
        <v>5.8863440841404338E-8</v>
      </c>
      <c r="AO71" s="103"/>
      <c r="AQ71" s="86"/>
      <c r="AR71" s="86"/>
      <c r="AS71" s="219"/>
      <c r="AT71" s="209"/>
      <c r="AU71" s="209"/>
      <c r="AV71" s="118"/>
      <c r="AW71" s="118"/>
      <c r="AX71" s="118"/>
    </row>
    <row r="72" spans="1:58" x14ac:dyDescent="0.3">
      <c r="A72" s="33"/>
      <c r="G72" s="31">
        <v>90</v>
      </c>
      <c r="H72" s="31">
        <f t="shared" si="14"/>
        <v>363.15</v>
      </c>
      <c r="I72" s="208">
        <f t="shared" si="15"/>
        <v>12.247162380895993</v>
      </c>
      <c r="J72" s="91">
        <v>24.62</v>
      </c>
      <c r="O72" s="86"/>
      <c r="P72" s="87"/>
      <c r="Q72" s="208"/>
      <c r="R72" s="209"/>
      <c r="S72" s="209"/>
      <c r="T72" s="118"/>
      <c r="U72" s="118"/>
      <c r="V72" s="118"/>
      <c r="W72" s="119"/>
      <c r="X72" s="119"/>
      <c r="Y72" s="119"/>
      <c r="Z72" s="31">
        <v>10</v>
      </c>
      <c r="AB72" s="103">
        <v>1E-4</v>
      </c>
      <c r="AC72" s="31" t="s">
        <v>600</v>
      </c>
      <c r="AD72" s="86">
        <f t="shared" si="16"/>
        <v>1E-4</v>
      </c>
      <c r="AE72" s="219">
        <f t="shared" si="17"/>
        <v>136.2906533726343</v>
      </c>
      <c r="AF72" s="209">
        <f t="shared" si="18"/>
        <v>5.8863440841404338E-8</v>
      </c>
      <c r="AO72" s="103"/>
      <c r="AQ72" s="86"/>
      <c r="AR72" s="86"/>
      <c r="AS72" s="219"/>
      <c r="AT72" s="209"/>
      <c r="AU72" s="209"/>
      <c r="AV72" s="118"/>
      <c r="AW72" s="118"/>
      <c r="AX72" s="118"/>
    </row>
    <row r="73" spans="1:58" x14ac:dyDescent="0.3">
      <c r="A73" s="33" t="s">
        <v>445</v>
      </c>
      <c r="G73" s="31">
        <v>90</v>
      </c>
      <c r="H73" s="31">
        <f t="shared" si="14"/>
        <v>363.15</v>
      </c>
      <c r="I73" s="208">
        <f t="shared" si="15"/>
        <v>12.247162380895993</v>
      </c>
      <c r="J73" s="91">
        <v>24.62</v>
      </c>
      <c r="O73" s="86"/>
      <c r="P73" s="87"/>
      <c r="Q73" s="208"/>
      <c r="R73" s="209"/>
      <c r="S73" s="209"/>
      <c r="T73" s="118"/>
      <c r="U73" s="118"/>
      <c r="V73" s="118"/>
      <c r="W73" s="119"/>
      <c r="X73" s="119"/>
      <c r="Y73" s="119"/>
      <c r="Z73" s="31">
        <v>11</v>
      </c>
      <c r="AB73" s="103">
        <v>1.1E-4</v>
      </c>
      <c r="AC73" s="31" t="s">
        <v>600</v>
      </c>
      <c r="AD73" s="86">
        <f t="shared" si="16"/>
        <v>1.1E-4</v>
      </c>
      <c r="AE73" s="219">
        <f t="shared" si="17"/>
        <v>123.90059397512199</v>
      </c>
      <c r="AF73" s="209">
        <f t="shared" si="18"/>
        <v>6.474978492554482E-8</v>
      </c>
      <c r="AO73" s="103"/>
      <c r="AQ73" s="86"/>
      <c r="AR73" s="86"/>
      <c r="AS73" s="208"/>
      <c r="AT73" s="209"/>
      <c r="AU73" s="209"/>
      <c r="AV73" s="118"/>
      <c r="AW73" s="118"/>
      <c r="AX73" s="118"/>
    </row>
    <row r="74" spans="1:58" ht="15" thickBot="1" x14ac:dyDescent="0.35">
      <c r="A74" s="33"/>
      <c r="I74" s="208"/>
      <c r="Q74" s="208"/>
      <c r="R74" s="208"/>
      <c r="S74" s="208"/>
      <c r="AE74" s="208"/>
      <c r="AF74" s="208"/>
      <c r="AS74" s="208"/>
      <c r="AT74" s="208"/>
      <c r="AU74" s="208"/>
    </row>
    <row r="75" spans="1:58" s="8" customFormat="1" x14ac:dyDescent="0.3">
      <c r="A75" s="36">
        <v>5</v>
      </c>
      <c r="B75" s="37" t="s">
        <v>322</v>
      </c>
      <c r="C75" s="37" t="s">
        <v>323</v>
      </c>
      <c r="D75" s="38"/>
      <c r="E75" s="37" t="s">
        <v>321</v>
      </c>
      <c r="F75" s="37" t="s">
        <v>317</v>
      </c>
      <c r="G75" s="37">
        <v>50</v>
      </c>
      <c r="H75" s="37">
        <f>G75+273.15</f>
        <v>323.14999999999998</v>
      </c>
      <c r="I75" s="214">
        <f>-LOG10(EXP(LN(10^-14)+13.36*(1/298.15-1/H75)/0.0019872))</f>
        <v>13.242382102408241</v>
      </c>
      <c r="J75" s="96">
        <v>24.89</v>
      </c>
      <c r="K75" s="37"/>
      <c r="L75" s="37"/>
      <c r="M75" s="37"/>
      <c r="N75" s="37"/>
      <c r="O75" s="89"/>
      <c r="P75" s="90"/>
      <c r="Q75" s="214"/>
      <c r="R75" s="215"/>
      <c r="S75" s="215"/>
      <c r="T75" s="120"/>
      <c r="U75" s="120"/>
      <c r="V75" s="120"/>
      <c r="W75" s="121"/>
      <c r="X75" s="121"/>
      <c r="Y75" s="121"/>
      <c r="Z75" s="37">
        <v>7</v>
      </c>
      <c r="AA75" s="37"/>
      <c r="AB75" s="122">
        <v>2.3999999999999999E-6</v>
      </c>
      <c r="AC75" s="122" t="s">
        <v>600</v>
      </c>
      <c r="AD75" s="89">
        <f>AB75</f>
        <v>2.3999999999999999E-6</v>
      </c>
      <c r="AE75" s="218">
        <f>(LN(2)/AF75)/(60*60*24)</f>
        <v>86.21061964056311</v>
      </c>
      <c r="AF75" s="215">
        <f>EXP(LN(AD75)+$J75*(1/$H75-1/298.15)/0.0019872)</f>
        <v>9.3057408072052707E-8</v>
      </c>
      <c r="AG75" s="158">
        <f>AVERAGE(AE75:AE79)</f>
        <v>69.496170307438163</v>
      </c>
      <c r="AH75" s="158">
        <f>MEDIAN(AE75:AE79)</f>
        <v>66.743705528177827</v>
      </c>
      <c r="AI75" s="158">
        <f>STDEV(AE75:AE79)</f>
        <v>13.016243325554056</v>
      </c>
      <c r="AJ75" s="159"/>
      <c r="AK75" s="159"/>
      <c r="AL75" s="159"/>
      <c r="AM75" s="37"/>
      <c r="AN75" s="37"/>
      <c r="AO75" s="122"/>
      <c r="AP75" s="37"/>
      <c r="AQ75" s="89"/>
      <c r="AR75" s="89"/>
      <c r="AS75" s="218"/>
      <c r="AT75" s="215"/>
      <c r="AU75" s="215"/>
      <c r="AV75" s="120"/>
      <c r="AW75" s="120"/>
      <c r="AX75" s="120"/>
      <c r="AY75" s="37"/>
      <c r="AZ75" s="37"/>
      <c r="BA75" s="37"/>
      <c r="BB75" s="186"/>
      <c r="BC75" s="186"/>
      <c r="BD75" s="186"/>
      <c r="BE75" s="37"/>
      <c r="BF75" s="37"/>
    </row>
    <row r="76" spans="1:58" x14ac:dyDescent="0.3">
      <c r="A76" s="33"/>
      <c r="G76" s="31">
        <v>50</v>
      </c>
      <c r="H76" s="31">
        <f>G76+273.15</f>
        <v>323.14999999999998</v>
      </c>
      <c r="I76" s="208">
        <f>-LOG10(EXP(LN(10^-14)+13.36*(1/298.15-1/H76)/0.0019872))</f>
        <v>13.242382102408241</v>
      </c>
      <c r="J76" s="92">
        <v>24.89</v>
      </c>
      <c r="O76" s="86"/>
      <c r="P76" s="87"/>
      <c r="Q76" s="208"/>
      <c r="R76" s="209"/>
      <c r="S76" s="209"/>
      <c r="T76" s="118"/>
      <c r="U76" s="118"/>
      <c r="V76" s="118"/>
      <c r="W76" s="119"/>
      <c r="X76" s="119"/>
      <c r="Y76" s="119"/>
      <c r="Z76" s="31">
        <v>8</v>
      </c>
      <c r="AB76" s="103">
        <v>3.5999999999999998E-6</v>
      </c>
      <c r="AC76" s="31" t="s">
        <v>600</v>
      </c>
      <c r="AD76" s="86">
        <f>AB76</f>
        <v>3.5999999999999998E-6</v>
      </c>
      <c r="AE76" s="219">
        <f>(LN(2)/AF76)/(60*60*24)</f>
        <v>57.473746427042016</v>
      </c>
      <c r="AF76" s="209">
        <f>EXP(LN(AD76)+$J76*(1/$H76-1/298.15)/0.0019872)</f>
        <v>1.3958611210807921E-7</v>
      </c>
      <c r="AO76" s="103"/>
      <c r="AQ76" s="86"/>
      <c r="AR76" s="86"/>
      <c r="AS76" s="219"/>
      <c r="AT76" s="209"/>
      <c r="AU76" s="209"/>
      <c r="AV76" s="118"/>
      <c r="AW76" s="118"/>
      <c r="AX76" s="118"/>
    </row>
    <row r="77" spans="1:58" x14ac:dyDescent="0.3">
      <c r="A77" s="33"/>
      <c r="G77" s="31">
        <v>50</v>
      </c>
      <c r="H77" s="31">
        <f>G77+273.15</f>
        <v>323.14999999999998</v>
      </c>
      <c r="I77" s="208">
        <f>-LOG10(EXP(LN(10^-14)+13.36*(1/298.15-1/H77)/0.0019872))</f>
        <v>13.242382102408241</v>
      </c>
      <c r="J77" s="92">
        <v>24.89</v>
      </c>
      <c r="O77" s="86"/>
      <c r="P77" s="87"/>
      <c r="Q77" s="208"/>
      <c r="R77" s="209"/>
      <c r="S77" s="209"/>
      <c r="T77" s="118"/>
      <c r="U77" s="118"/>
      <c r="V77" s="118"/>
      <c r="W77" s="119"/>
      <c r="X77" s="119"/>
      <c r="Y77" s="119"/>
      <c r="Z77" s="31">
        <v>9</v>
      </c>
      <c r="AB77" s="103">
        <v>3.1E-6</v>
      </c>
      <c r="AC77" s="31" t="s">
        <v>600</v>
      </c>
      <c r="AD77" s="86">
        <f>AB77</f>
        <v>3.1E-6</v>
      </c>
      <c r="AE77" s="219">
        <f>(LN(2)/AF77)/(60*60*24)</f>
        <v>66.743705528177827</v>
      </c>
      <c r="AF77" s="209">
        <f>EXP(LN(AD77)+$J77*(1/$H77-1/298.15)/0.0019872)</f>
        <v>1.2019915209306822E-7</v>
      </c>
      <c r="AO77" s="103"/>
      <c r="AQ77" s="86"/>
      <c r="AR77" s="86"/>
      <c r="AS77" s="219"/>
      <c r="AT77" s="209"/>
      <c r="AU77" s="209"/>
      <c r="AV77" s="118"/>
      <c r="AW77" s="118"/>
      <c r="AX77" s="118"/>
    </row>
    <row r="78" spans="1:58" x14ac:dyDescent="0.3">
      <c r="A78" s="33"/>
      <c r="G78" s="31">
        <v>50</v>
      </c>
      <c r="H78" s="31">
        <f>G78+273.15</f>
        <v>323.14999999999998</v>
      </c>
      <c r="I78" s="208">
        <f>-LOG10(EXP(LN(10^-14)+13.36*(1/298.15-1/H78)/0.0019872))</f>
        <v>13.242382102408241</v>
      </c>
      <c r="J78" s="92">
        <v>24.89</v>
      </c>
      <c r="O78" s="86"/>
      <c r="P78" s="87"/>
      <c r="Q78" s="208"/>
      <c r="R78" s="209"/>
      <c r="S78" s="209"/>
      <c r="T78" s="118"/>
      <c r="U78" s="118"/>
      <c r="V78" s="118"/>
      <c r="W78" s="119"/>
      <c r="X78" s="119"/>
      <c r="Y78" s="119"/>
      <c r="Z78" s="31">
        <v>10</v>
      </c>
      <c r="AB78" s="103">
        <v>3.5999999999999998E-6</v>
      </c>
      <c r="AC78" s="31" t="s">
        <v>600</v>
      </c>
      <c r="AD78" s="86">
        <f>AB78</f>
        <v>3.5999999999999998E-6</v>
      </c>
      <c r="AE78" s="219">
        <f>(LN(2)/AF78)/(60*60*24)</f>
        <v>57.473746427042016</v>
      </c>
      <c r="AF78" s="209">
        <f>EXP(LN(AD78)+$J78*(1/$H78-1/298.15)/0.0019872)</f>
        <v>1.3958611210807921E-7</v>
      </c>
      <c r="AO78" s="103"/>
      <c r="AQ78" s="86"/>
      <c r="AR78" s="86"/>
      <c r="AS78" s="219"/>
      <c r="AT78" s="209"/>
      <c r="AU78" s="209"/>
      <c r="AV78" s="118"/>
      <c r="AW78" s="118"/>
      <c r="AX78" s="118"/>
    </row>
    <row r="79" spans="1:58" x14ac:dyDescent="0.3">
      <c r="A79" s="33"/>
      <c r="G79" s="31">
        <v>50</v>
      </c>
      <c r="H79" s="31">
        <f>G79+273.15</f>
        <v>323.14999999999998</v>
      </c>
      <c r="I79" s="208">
        <f>-LOG10(EXP(LN(10^-14)+13.36*(1/298.15-1/H79)/0.0019872))</f>
        <v>13.242382102408241</v>
      </c>
      <c r="J79" s="92">
        <v>24.89</v>
      </c>
      <c r="O79" s="86"/>
      <c r="P79" s="87"/>
      <c r="Q79" s="208"/>
      <c r="R79" s="209"/>
      <c r="S79" s="209"/>
      <c r="T79" s="118"/>
      <c r="U79" s="118"/>
      <c r="V79" s="118"/>
      <c r="W79" s="119"/>
      <c r="X79" s="119"/>
      <c r="Y79" s="119"/>
      <c r="Z79" s="31">
        <v>11</v>
      </c>
      <c r="AB79" s="103">
        <v>2.6000000000000001E-6</v>
      </c>
      <c r="AC79" s="31" t="s">
        <v>600</v>
      </c>
      <c r="AD79" s="86">
        <f>AB79</f>
        <v>2.6000000000000001E-6</v>
      </c>
      <c r="AE79" s="219">
        <f>(LN(2)/AF79)/(60*60*24)</f>
        <v>79.579033514365818</v>
      </c>
      <c r="AF79" s="209">
        <f>EXP(LN(AD79)+$J79*(1/$H79-1/298.15)/0.0019872)</f>
        <v>1.0081219207805727E-7</v>
      </c>
      <c r="AO79" s="103"/>
      <c r="AQ79" s="86"/>
      <c r="AR79" s="86"/>
      <c r="AS79" s="219"/>
      <c r="AT79" s="209"/>
      <c r="AU79" s="209"/>
      <c r="AV79" s="118"/>
      <c r="AW79" s="118"/>
      <c r="AX79" s="118"/>
    </row>
    <row r="80" spans="1:58" ht="15" thickBot="1" x14ac:dyDescent="0.35">
      <c r="A80" s="33"/>
      <c r="I80" s="208"/>
      <c r="Q80" s="208"/>
      <c r="R80" s="208"/>
      <c r="S80" s="208"/>
      <c r="AE80" s="208"/>
      <c r="AF80" s="208"/>
      <c r="AS80" s="208"/>
      <c r="AT80" s="208"/>
      <c r="AU80" s="208"/>
    </row>
    <row r="81" spans="1:58" s="8" customFormat="1" x14ac:dyDescent="0.3">
      <c r="A81" s="36">
        <v>15</v>
      </c>
      <c r="B81" s="37" t="s">
        <v>4</v>
      </c>
      <c r="C81" s="37" t="s">
        <v>3</v>
      </c>
      <c r="D81" s="38"/>
      <c r="E81" s="39" t="s">
        <v>393</v>
      </c>
      <c r="F81" s="39" t="s">
        <v>699</v>
      </c>
      <c r="G81" s="37">
        <v>70</v>
      </c>
      <c r="H81" s="37">
        <f>G81+273.15</f>
        <v>343.15</v>
      </c>
      <c r="I81" s="214">
        <f>-LOG10(EXP(LN(10^-14)+13.36*(1/298.15-1/H81)/0.0019872))</f>
        <v>12.715769772716893</v>
      </c>
      <c r="J81" s="88">
        <v>24.78</v>
      </c>
      <c r="K81" s="37"/>
      <c r="L81" s="37"/>
      <c r="M81" s="37"/>
      <c r="N81" s="37"/>
      <c r="O81" s="89"/>
      <c r="P81" s="90"/>
      <c r="Q81" s="214"/>
      <c r="R81" s="215"/>
      <c r="S81" s="215"/>
      <c r="T81" s="120"/>
      <c r="U81" s="120"/>
      <c r="V81" s="120"/>
      <c r="W81" s="121"/>
      <c r="X81" s="121"/>
      <c r="Y81" s="121"/>
      <c r="Z81" s="37">
        <v>7</v>
      </c>
      <c r="AA81" s="37"/>
      <c r="AB81" s="122">
        <f>1.065*10^-4</f>
        <v>1.065E-4</v>
      </c>
      <c r="AC81" s="37" t="s">
        <v>600</v>
      </c>
      <c r="AD81" s="89">
        <f>AB81</f>
        <v>1.065E-4</v>
      </c>
      <c r="AE81" s="218">
        <f>(LN(2)/AF81)/(60*60*24)</f>
        <v>18.152649925738871</v>
      </c>
      <c r="AF81" s="215">
        <f>EXP(LN(AD81)+$J81*(1/$H81-1/298.15)/0.0019872)</f>
        <v>4.4194852238411472E-7</v>
      </c>
      <c r="AG81" s="158">
        <f>AVERAGE(AE81:AE85)</f>
        <v>17.106386879455627</v>
      </c>
      <c r="AH81" s="158">
        <f>MEDIAN(AE81:AE85)</f>
        <v>19.476961737909907</v>
      </c>
      <c r="AI81" s="158">
        <f>STDEV(AE81:AE85)</f>
        <v>8.9169716946853868</v>
      </c>
      <c r="AJ81" s="159"/>
      <c r="AK81" s="159"/>
      <c r="AL81" s="159"/>
      <c r="AM81" s="37"/>
      <c r="AN81" s="37"/>
      <c r="AO81" s="37"/>
      <c r="AP81" s="37"/>
      <c r="AQ81" s="89"/>
      <c r="AR81" s="89"/>
      <c r="AS81" s="214"/>
      <c r="AT81" s="215"/>
      <c r="AU81" s="215"/>
      <c r="AV81" s="120"/>
      <c r="AW81" s="120"/>
      <c r="AX81" s="120"/>
      <c r="AY81" s="37"/>
      <c r="AZ81" s="37"/>
      <c r="BA81" s="37"/>
      <c r="BB81" s="186"/>
      <c r="BC81" s="186"/>
      <c r="BD81" s="186"/>
      <c r="BE81" s="37"/>
      <c r="BF81" s="37"/>
    </row>
    <row r="82" spans="1:58" x14ac:dyDescent="0.3">
      <c r="A82" s="33"/>
      <c r="B82" s="57"/>
      <c r="E82" s="31" t="s">
        <v>547</v>
      </c>
      <c r="F82" s="31" t="s">
        <v>699</v>
      </c>
      <c r="G82" s="31">
        <v>18</v>
      </c>
      <c r="H82" s="31">
        <f>G82+273.15</f>
        <v>291.14999999999998</v>
      </c>
      <c r="I82" s="208">
        <f>-LOG10(EXP(LN(10^-14)+13.36*(1/298.15-1/H82)/0.0019872))</f>
        <v>14.235448334569458</v>
      </c>
      <c r="J82" s="91">
        <v>24.78</v>
      </c>
      <c r="K82" s="31">
        <v>3</v>
      </c>
      <c r="L82" s="31">
        <v>29</v>
      </c>
      <c r="M82" s="103">
        <v>2.7000000000000001E-7</v>
      </c>
      <c r="N82" s="103" t="s">
        <v>600</v>
      </c>
      <c r="O82" s="86">
        <f>M82*10^(K82-5)</f>
        <v>2.7000000000000002E-9</v>
      </c>
      <c r="P82" s="86">
        <f>O82*10^5</f>
        <v>2.7E-4</v>
      </c>
      <c r="Q82" s="219">
        <f>(LN(2)/R82)/(60*60*24)</f>
        <v>1087.0277705264889</v>
      </c>
      <c r="R82" s="209">
        <f>S82*10^-5</f>
        <v>7.3802500999130725E-9</v>
      </c>
      <c r="S82" s="209">
        <f>EXP(LN(P82)+$J82*(1/$H82-1/298.15)/0.0019872)</f>
        <v>7.3802500999130716E-4</v>
      </c>
      <c r="T82" s="118">
        <f>AVERAGE(Q81:Q85)</f>
        <v>3400.0268023518274</v>
      </c>
      <c r="U82" s="117">
        <f>MEDIAN(Q81:Q85)</f>
        <v>3400.0268023518274</v>
      </c>
      <c r="V82" s="118">
        <f>STDEV(Q81:Q85)</f>
        <v>3271.0746005632323</v>
      </c>
      <c r="W82" s="119"/>
      <c r="X82" s="119"/>
      <c r="Y82" s="119"/>
      <c r="Z82" s="31">
        <v>7</v>
      </c>
      <c r="AA82" s="31">
        <v>12</v>
      </c>
      <c r="AB82" s="103">
        <v>6.6300000000000005E-7</v>
      </c>
      <c r="AC82" s="103" t="s">
        <v>600</v>
      </c>
      <c r="AD82" s="86">
        <f>AB82</f>
        <v>6.6300000000000005E-7</v>
      </c>
      <c r="AE82" s="219">
        <f>(LN(2)/AF82)/(60*60*24)</f>
        <v>4.4268099252209918</v>
      </c>
      <c r="AF82" s="209">
        <f>EXP(LN(AD82)+$J82*(1/$H82-1/298.15)/0.0019872)</f>
        <v>1.8122614134231003E-6</v>
      </c>
      <c r="AM82" s="31">
        <v>8</v>
      </c>
      <c r="AN82" s="31">
        <v>9</v>
      </c>
      <c r="AO82" s="103">
        <v>8.6000000000000002E-7</v>
      </c>
      <c r="AP82" s="103" t="s">
        <v>600</v>
      </c>
      <c r="AQ82" s="86">
        <f>AO82*10^(9-AM82)</f>
        <v>8.6000000000000007E-6</v>
      </c>
      <c r="AR82" s="86">
        <f>AQ82*10^($I82-9)</f>
        <v>1.4789271638339123</v>
      </c>
      <c r="AS82" s="220">
        <f>(LN(2)/AT82)/(60*60*24)</f>
        <v>0.19845297673842219</v>
      </c>
      <c r="AT82" s="209">
        <f>AU82*10^(9-14)</f>
        <v>4.0425379069071793E-5</v>
      </c>
      <c r="AU82" s="209">
        <f>EXP(LN(AR82)+$J82*(1/$H82-1/298.15)/0.0019872)</f>
        <v>4.042537906907179</v>
      </c>
      <c r="AV82" s="156">
        <f>AVERAGE(AS81:AS85)</f>
        <v>1866.3076418397741</v>
      </c>
      <c r="AW82" s="118">
        <f>MEDIAN(AS81:AS85)</f>
        <v>22.804734362745712</v>
      </c>
      <c r="AX82" s="118">
        <f>STDEV(AS81:AS85)</f>
        <v>3212.6381978016002</v>
      </c>
    </row>
    <row r="83" spans="1:58" x14ac:dyDescent="0.3">
      <c r="A83" s="33"/>
      <c r="E83" s="31" t="s">
        <v>549</v>
      </c>
      <c r="F83" s="31" t="s">
        <v>697</v>
      </c>
      <c r="G83" s="31">
        <v>100</v>
      </c>
      <c r="H83" s="31">
        <f>G83+273.15</f>
        <v>373.15</v>
      </c>
      <c r="I83" s="208">
        <f>-LOG10(EXP(LN(10^-14)+13.36*(1/298.15-1/H83)/0.0019872))</f>
        <v>12.031695910973252</v>
      </c>
      <c r="J83" s="91">
        <v>25.3</v>
      </c>
      <c r="O83" s="86"/>
      <c r="P83" s="87"/>
      <c r="Q83" s="208"/>
      <c r="R83" s="209"/>
      <c r="S83" s="209"/>
      <c r="T83" s="118"/>
      <c r="U83" s="118"/>
      <c r="V83" s="118"/>
      <c r="W83" s="119"/>
      <c r="X83" s="119"/>
      <c r="Y83" s="119"/>
      <c r="Z83" s="31">
        <v>7</v>
      </c>
      <c r="AB83" s="130">
        <v>1.7099999999999999E-3</v>
      </c>
      <c r="AC83" s="31" t="s">
        <v>600</v>
      </c>
      <c r="AD83" s="86">
        <f>AB83</f>
        <v>1.7099999999999999E-3</v>
      </c>
      <c r="AE83" s="219">
        <f>(LN(2)/AF83)/(60*60*24)</f>
        <v>25.044814116781705</v>
      </c>
      <c r="AF83" s="209">
        <f>EXP(LN(AD83)+$J83*(1/$H83-1/298.15)/0.0019872)</f>
        <v>3.2032726514271736E-7</v>
      </c>
      <c r="AQ83" s="86"/>
      <c r="AR83" s="86"/>
      <c r="AS83" s="219"/>
      <c r="AT83" s="209"/>
      <c r="AU83" s="209"/>
      <c r="AV83" s="118"/>
      <c r="AW83" s="118"/>
      <c r="AX83" s="118"/>
    </row>
    <row r="84" spans="1:58" x14ac:dyDescent="0.3">
      <c r="A84" s="33"/>
      <c r="E84" s="31" t="s">
        <v>549</v>
      </c>
      <c r="F84" s="31" t="s">
        <v>658</v>
      </c>
      <c r="G84" s="31">
        <v>100</v>
      </c>
      <c r="H84" s="31">
        <f>G84+273.15</f>
        <v>373.15</v>
      </c>
      <c r="I84" s="208">
        <f>-LOG10(EXP(LN(10^-14)+13.36*(1/298.15-1/H84)/0.0019872))</f>
        <v>12.031695910973252</v>
      </c>
      <c r="J84" s="91">
        <v>23</v>
      </c>
      <c r="O84" s="86"/>
      <c r="P84" s="87"/>
      <c r="Q84" s="208"/>
      <c r="R84" s="209"/>
      <c r="S84" s="209"/>
      <c r="T84" s="118"/>
      <c r="U84" s="118"/>
      <c r="V84" s="118"/>
      <c r="W84" s="119"/>
      <c r="X84" s="119"/>
      <c r="Y84" s="119"/>
      <c r="AD84" s="87"/>
      <c r="AE84" s="208"/>
      <c r="AF84" s="209"/>
      <c r="AO84" s="103">
        <v>0.35199999999999998</v>
      </c>
      <c r="AP84" s="31" t="s">
        <v>656</v>
      </c>
      <c r="AQ84" s="86">
        <f>AR84*10^(9-I84)</f>
        <v>3.2722520805117329E-4</v>
      </c>
      <c r="AR84" s="86">
        <f>AO84</f>
        <v>0.35199999999999998</v>
      </c>
      <c r="AS84" s="219">
        <f>(LN(2)/AT84)/(60*60*24)</f>
        <v>5575.9197381798376</v>
      </c>
      <c r="AT84" s="209">
        <f>AU84*10^(9-14)</f>
        <v>1.4387826921366738E-9</v>
      </c>
      <c r="AU84" s="209">
        <f>EXP(LN(AR84)+$J84*(1/$H84-1/298.15)/0.0019872)</f>
        <v>1.4387826921366737E-4</v>
      </c>
      <c r="AV84" s="118"/>
      <c r="AW84" s="118"/>
      <c r="AX84" s="118"/>
    </row>
    <row r="85" spans="1:58" x14ac:dyDescent="0.3">
      <c r="A85" s="33"/>
      <c r="B85" s="57"/>
      <c r="E85" s="31" t="s">
        <v>549</v>
      </c>
      <c r="G85" s="31">
        <v>30</v>
      </c>
      <c r="H85" s="31">
        <f>G85+273.15</f>
        <v>303.14999999999998</v>
      </c>
      <c r="I85" s="208">
        <f>-LOG10(EXP(LN(10^-14)+13.36*(1/298.15-1/H85)/0.0019872))</f>
        <v>13.838479812893434</v>
      </c>
      <c r="J85" s="91">
        <v>25.3</v>
      </c>
      <c r="K85" s="31">
        <v>3</v>
      </c>
      <c r="L85" s="31">
        <v>28</v>
      </c>
      <c r="M85" s="103">
        <v>2.84E-7</v>
      </c>
      <c r="N85" s="103" t="s">
        <v>600</v>
      </c>
      <c r="O85" s="86">
        <f>M85*10^(K85-5)</f>
        <v>2.8400000000000001E-9</v>
      </c>
      <c r="P85" s="86">
        <f>O85*10^5</f>
        <v>2.8400000000000002E-4</v>
      </c>
      <c r="Q85" s="219">
        <f>(LN(2)/R85)/(60*60*24)</f>
        <v>5713.025834177166</v>
      </c>
      <c r="R85" s="209">
        <f>S85*10^-5</f>
        <v>1.4042535505516179E-9</v>
      </c>
      <c r="S85" s="209">
        <f>EXP(LN(P85)+$J85*(1/$H85-1/298.15)/0.0019872)</f>
        <v>1.4042535505516177E-4</v>
      </c>
      <c r="T85" s="118"/>
      <c r="U85" s="118"/>
      <c r="V85" s="118"/>
      <c r="W85" s="119"/>
      <c r="X85" s="119"/>
      <c r="Y85" s="119"/>
      <c r="Z85" s="31">
        <v>7</v>
      </c>
      <c r="AA85" s="31">
        <v>10</v>
      </c>
      <c r="AB85" s="103">
        <v>7.8000000000000005E-7</v>
      </c>
      <c r="AC85" s="103" t="s">
        <v>600</v>
      </c>
      <c r="AD85" s="86">
        <f>AB85</f>
        <v>7.8000000000000005E-7</v>
      </c>
      <c r="AE85" s="219">
        <f>(LN(2)/AF85)/(60*60*24)</f>
        <v>20.801273550080943</v>
      </c>
      <c r="AF85" s="209">
        <f>EXP(LN(AD85)+$J85*(1/$H85-1/298.15)/0.0019872)</f>
        <v>3.8567527092614894E-7</v>
      </c>
      <c r="AM85" s="31">
        <v>8</v>
      </c>
      <c r="AN85" s="31">
        <v>8</v>
      </c>
      <c r="AO85" s="103">
        <v>1.032E-7</v>
      </c>
      <c r="AP85" s="103" t="s">
        <v>600</v>
      </c>
      <c r="AQ85" s="86">
        <f>AO85*10^(9-AM85)</f>
        <v>1.032E-6</v>
      </c>
      <c r="AR85" s="86">
        <f>AQ85*10^($I85-9)</f>
        <v>7.1147478023548677E-2</v>
      </c>
      <c r="AS85" s="219">
        <f>(LN(2)/AT85)/(60*60*24)</f>
        <v>22.804734362745712</v>
      </c>
      <c r="AT85" s="209">
        <f>AU85*10^(9-14)</f>
        <v>3.5179260080056828E-7</v>
      </c>
      <c r="AU85" s="209">
        <f>EXP(LN(AR85)+$J85*(1/$H85-1/298.15)/0.0019872)</f>
        <v>3.5179260080056826E-2</v>
      </c>
      <c r="AV85" s="118"/>
      <c r="AW85" s="118"/>
      <c r="AX85" s="118"/>
    </row>
    <row r="86" spans="1:58" ht="15" thickBot="1" x14ac:dyDescent="0.35">
      <c r="A86" s="33"/>
      <c r="I86" s="208"/>
      <c r="Q86" s="208"/>
      <c r="R86" s="208"/>
      <c r="S86" s="208"/>
      <c r="AE86" s="208"/>
      <c r="AF86" s="208"/>
      <c r="AS86" s="208"/>
      <c r="AT86" s="208"/>
      <c r="AU86" s="208"/>
    </row>
    <row r="87" spans="1:58" s="8" customFormat="1" x14ac:dyDescent="0.3">
      <c r="A87" s="36">
        <v>18</v>
      </c>
      <c r="B87" s="37" t="s">
        <v>377</v>
      </c>
      <c r="C87" s="37" t="s">
        <v>378</v>
      </c>
      <c r="D87" s="38"/>
      <c r="E87" s="39" t="s">
        <v>394</v>
      </c>
      <c r="F87" s="39" t="s">
        <v>395</v>
      </c>
      <c r="G87" s="37">
        <f>371-273</f>
        <v>98</v>
      </c>
      <c r="H87" s="37">
        <f>G87+273.15</f>
        <v>371.15</v>
      </c>
      <c r="I87" s="214">
        <f>-LOG10(EXP(LN(10^-14)+13.36*(1/298.15-1/H87)/0.0019872))</f>
        <v>12.073860345057824</v>
      </c>
      <c r="J87" s="96">
        <v>24.89</v>
      </c>
      <c r="K87" s="37"/>
      <c r="L87" s="37"/>
      <c r="M87" s="37"/>
      <c r="N87" s="37"/>
      <c r="O87" s="89"/>
      <c r="P87" s="90"/>
      <c r="Q87" s="214"/>
      <c r="R87" s="215"/>
      <c r="S87" s="215"/>
      <c r="T87" s="120"/>
      <c r="U87" s="120"/>
      <c r="V87" s="120"/>
      <c r="W87" s="121"/>
      <c r="X87" s="121"/>
      <c r="Y87" s="121"/>
      <c r="Z87" s="37">
        <v>7</v>
      </c>
      <c r="AA87" s="37"/>
      <c r="AB87" s="122">
        <f>1.395*10^-3</f>
        <v>1.395E-3</v>
      </c>
      <c r="AC87" s="37" t="s">
        <v>600</v>
      </c>
      <c r="AD87" s="89">
        <f>AB87</f>
        <v>1.395E-3</v>
      </c>
      <c r="AE87" s="218">
        <f>(LN(2)/AF87)/(60*60*24)</f>
        <v>22.293683087869589</v>
      </c>
      <c r="AF87" s="215">
        <f>EXP(LN(AD87)+$J87*(1/$H87-1/298.15)/0.0019872)</f>
        <v>3.5985695052791063E-7</v>
      </c>
      <c r="AG87" s="163">
        <f>AE87</f>
        <v>22.293683087869589</v>
      </c>
      <c r="AH87" s="158"/>
      <c r="AI87" s="158"/>
      <c r="AJ87" s="159"/>
      <c r="AK87" s="159"/>
      <c r="AL87" s="159"/>
      <c r="AM87" s="37"/>
      <c r="AN87" s="37"/>
      <c r="AO87" s="37"/>
      <c r="AP87" s="37"/>
      <c r="AQ87" s="89"/>
      <c r="AR87" s="89"/>
      <c r="AS87" s="214"/>
      <c r="AT87" s="215"/>
      <c r="AU87" s="215"/>
      <c r="AV87" s="120"/>
      <c r="AW87" s="120"/>
      <c r="AX87" s="120"/>
      <c r="AY87" s="37"/>
      <c r="AZ87" s="37"/>
      <c r="BA87" s="37"/>
      <c r="BB87" s="186"/>
      <c r="BC87" s="186"/>
      <c r="BD87" s="186"/>
      <c r="BE87" s="37"/>
      <c r="BF87" s="37"/>
    </row>
    <row r="88" spans="1:58" ht="15" thickBot="1" x14ac:dyDescent="0.35">
      <c r="A88" s="33"/>
      <c r="E88" s="40"/>
      <c r="I88" s="208"/>
      <c r="J88" s="92"/>
      <c r="O88" s="86"/>
      <c r="P88" s="87"/>
      <c r="Q88" s="208"/>
      <c r="R88" s="209"/>
      <c r="S88" s="209"/>
      <c r="T88" s="118"/>
      <c r="U88" s="118"/>
      <c r="V88" s="118"/>
      <c r="W88" s="119"/>
      <c r="X88" s="119"/>
      <c r="Y88" s="119"/>
      <c r="AB88" s="103"/>
      <c r="AD88" s="86"/>
      <c r="AE88" s="208"/>
      <c r="AF88" s="209"/>
      <c r="AQ88" s="86"/>
      <c r="AR88" s="86"/>
      <c r="AS88" s="208"/>
      <c r="AT88" s="209"/>
      <c r="AU88" s="209"/>
      <c r="AV88" s="118"/>
      <c r="AW88" s="118"/>
      <c r="AX88" s="118"/>
    </row>
    <row r="89" spans="1:58" s="8" customFormat="1" x14ac:dyDescent="0.3">
      <c r="A89" s="36">
        <v>21</v>
      </c>
      <c r="B89" s="37" t="s">
        <v>383</v>
      </c>
      <c r="C89" s="37" t="s">
        <v>384</v>
      </c>
      <c r="D89" s="38"/>
      <c r="E89" s="39" t="s">
        <v>393</v>
      </c>
      <c r="F89" s="39" t="s">
        <v>395</v>
      </c>
      <c r="G89" s="37">
        <f>323-273</f>
        <v>50</v>
      </c>
      <c r="H89" s="37">
        <f>G89+273.15</f>
        <v>323.14999999999998</v>
      </c>
      <c r="I89" s="214">
        <f>-LOG10(EXP(LN(10^-14)+13.36*(1/298.15-1/H89)/0.0019872))</f>
        <v>13.242382102408241</v>
      </c>
      <c r="J89" s="96">
        <v>24.89</v>
      </c>
      <c r="K89" s="37"/>
      <c r="L89" s="37"/>
      <c r="M89" s="37"/>
      <c r="N89" s="37"/>
      <c r="O89" s="89"/>
      <c r="P89" s="90"/>
      <c r="Q89" s="214"/>
      <c r="R89" s="215"/>
      <c r="S89" s="215"/>
      <c r="T89" s="120"/>
      <c r="U89" s="120"/>
      <c r="V89" s="120"/>
      <c r="W89" s="121"/>
      <c r="X89" s="121"/>
      <c r="Y89" s="121"/>
      <c r="Z89" s="37">
        <v>7</v>
      </c>
      <c r="AA89" s="37"/>
      <c r="AB89" s="122">
        <f>1.129*10^-4</f>
        <v>1.1290000000000001E-4</v>
      </c>
      <c r="AC89" s="37" t="s">
        <v>600</v>
      </c>
      <c r="AD89" s="89">
        <f>AB89</f>
        <v>1.1290000000000001E-4</v>
      </c>
      <c r="AE89" s="218">
        <f>(LN(2)/AF89)/(60*60*24)</f>
        <v>1.8326438187542184</v>
      </c>
      <c r="AF89" s="215">
        <f>EXP(LN(AD89)+$J89*(1/$H89-1/298.15)/0.0019872)</f>
        <v>4.3775755713894834E-6</v>
      </c>
      <c r="AG89" s="163">
        <f>AE89</f>
        <v>1.8326438187542184</v>
      </c>
      <c r="AH89" s="158"/>
      <c r="AI89" s="158"/>
      <c r="AJ89" s="159"/>
      <c r="AK89" s="159"/>
      <c r="AL89" s="159"/>
      <c r="AM89" s="37"/>
      <c r="AN89" s="37"/>
      <c r="AO89" s="37"/>
      <c r="AP89" s="37"/>
      <c r="AQ89" s="89"/>
      <c r="AR89" s="89"/>
      <c r="AS89" s="214"/>
      <c r="AT89" s="215"/>
      <c r="AU89" s="215"/>
      <c r="AV89" s="120"/>
      <c r="AW89" s="120"/>
      <c r="AX89" s="120"/>
      <c r="AY89" s="37"/>
      <c r="AZ89" s="37"/>
      <c r="BA89" s="37"/>
      <c r="BB89" s="186"/>
      <c r="BC89" s="186"/>
      <c r="BD89" s="186"/>
      <c r="BE89" s="37"/>
      <c r="BF89" s="37"/>
    </row>
    <row r="90" spans="1:58" ht="15" thickBot="1" x14ac:dyDescent="0.35">
      <c r="A90" s="33"/>
      <c r="E90" s="40"/>
      <c r="I90" s="208"/>
      <c r="J90" s="92"/>
      <c r="O90" s="86"/>
      <c r="P90" s="87"/>
      <c r="Q90" s="208"/>
      <c r="R90" s="209"/>
      <c r="S90" s="209"/>
      <c r="T90" s="118"/>
      <c r="U90" s="118"/>
      <c r="V90" s="118"/>
      <c r="W90" s="119"/>
      <c r="X90" s="119"/>
      <c r="Y90" s="119"/>
      <c r="AB90" s="103"/>
      <c r="AD90" s="86"/>
      <c r="AE90" s="208"/>
      <c r="AF90" s="209"/>
      <c r="AQ90" s="86"/>
      <c r="AR90" s="86"/>
      <c r="AS90" s="208"/>
      <c r="AT90" s="209"/>
      <c r="AU90" s="209"/>
      <c r="AV90" s="118"/>
      <c r="AW90" s="118"/>
      <c r="AX90" s="118"/>
    </row>
    <row r="91" spans="1:58" s="8" customFormat="1" x14ac:dyDescent="0.3">
      <c r="A91" s="36">
        <v>23</v>
      </c>
      <c r="B91" s="37" t="s">
        <v>387</v>
      </c>
      <c r="C91" s="37" t="s">
        <v>388</v>
      </c>
      <c r="D91" s="38"/>
      <c r="E91" s="39" t="s">
        <v>394</v>
      </c>
      <c r="F91" s="39" t="s">
        <v>395</v>
      </c>
      <c r="G91" s="37">
        <v>80</v>
      </c>
      <c r="H91" s="37">
        <f>G91+273.15</f>
        <v>353.15</v>
      </c>
      <c r="I91" s="214">
        <f>-LOG10(EXP(LN(10^-14)+13.36*(1/298.15-1/H91)/0.0019872))</f>
        <v>12.474831397607506</v>
      </c>
      <c r="J91" s="96">
        <v>24.89</v>
      </c>
      <c r="K91" s="37"/>
      <c r="L91" s="37"/>
      <c r="M91" s="37"/>
      <c r="N91" s="37"/>
      <c r="O91" s="89"/>
      <c r="P91" s="90"/>
      <c r="Q91" s="214"/>
      <c r="R91" s="215"/>
      <c r="S91" s="215"/>
      <c r="T91" s="120"/>
      <c r="U91" s="120"/>
      <c r="V91" s="120"/>
      <c r="W91" s="121"/>
      <c r="X91" s="121"/>
      <c r="Y91" s="121"/>
      <c r="Z91" s="37">
        <v>7</v>
      </c>
      <c r="AA91" s="37"/>
      <c r="AB91" s="122">
        <f>1.614*10^-4</f>
        <v>1.6140000000000002E-4</v>
      </c>
      <c r="AC91" s="37" t="s">
        <v>600</v>
      </c>
      <c r="AD91" s="89">
        <f>AB91</f>
        <v>1.6140000000000002E-4</v>
      </c>
      <c r="AE91" s="218">
        <f>(LN(2)/AF91)/(60*60*24)</f>
        <v>34.501170186745099</v>
      </c>
      <c r="AF91" s="215">
        <f>EXP(LN(AD91)+$J91*(1/$H91-1/298.15)/0.0019872)</f>
        <v>2.3252941186089272E-7</v>
      </c>
      <c r="AG91" s="163">
        <f>AE91</f>
        <v>34.501170186745099</v>
      </c>
      <c r="AH91" s="158"/>
      <c r="AI91" s="158"/>
      <c r="AJ91" s="159"/>
      <c r="AK91" s="159"/>
      <c r="AL91" s="159"/>
      <c r="AM91" s="37"/>
      <c r="AN91" s="37"/>
      <c r="AO91" s="37"/>
      <c r="AP91" s="37"/>
      <c r="AQ91" s="89"/>
      <c r="AR91" s="89"/>
      <c r="AS91" s="214"/>
      <c r="AT91" s="215"/>
      <c r="AU91" s="215"/>
      <c r="AV91" s="120"/>
      <c r="AW91" s="120"/>
      <c r="AX91" s="120"/>
      <c r="AY91" s="37"/>
      <c r="AZ91" s="37"/>
      <c r="BA91" s="37"/>
      <c r="BB91" s="186"/>
      <c r="BC91" s="186"/>
      <c r="BD91" s="186"/>
      <c r="BE91" s="37"/>
      <c r="BF91" s="37"/>
    </row>
    <row r="92" spans="1:58" x14ac:dyDescent="0.3">
      <c r="A92" s="33"/>
      <c r="E92" s="40"/>
      <c r="I92" s="208"/>
      <c r="J92" s="92"/>
      <c r="O92" s="86"/>
      <c r="P92" s="87"/>
      <c r="Q92" s="208"/>
      <c r="R92" s="209"/>
      <c r="S92" s="209"/>
      <c r="T92" s="118"/>
      <c r="U92" s="118"/>
      <c r="V92" s="118"/>
      <c r="W92" s="119"/>
      <c r="X92" s="119"/>
      <c r="Y92" s="119"/>
      <c r="AB92" s="103"/>
      <c r="AD92" s="86"/>
      <c r="AE92" s="208"/>
      <c r="AF92" s="209"/>
      <c r="AQ92" s="86"/>
      <c r="AR92" s="86"/>
      <c r="AS92" s="208"/>
      <c r="AT92" s="209"/>
      <c r="AU92" s="209"/>
      <c r="AV92" s="118"/>
      <c r="AW92" s="118"/>
      <c r="AX92" s="118"/>
    </row>
    <row r="93" spans="1:58" s="9" customFormat="1" x14ac:dyDescent="0.3">
      <c r="A93" s="41">
        <v>29</v>
      </c>
      <c r="B93" s="42" t="s">
        <v>410</v>
      </c>
      <c r="C93" s="42" t="s">
        <v>411</v>
      </c>
      <c r="D93" s="43"/>
      <c r="E93" s="42" t="s">
        <v>415</v>
      </c>
      <c r="F93" s="42" t="s">
        <v>412</v>
      </c>
      <c r="G93" s="42">
        <v>25</v>
      </c>
      <c r="H93" s="42">
        <f>G93+273.15</f>
        <v>298.14999999999998</v>
      </c>
      <c r="I93" s="216">
        <f>-LOG10(EXP(LN(10^-14)+13.36*(1/298.15-1/H93)/0.0019872))</f>
        <v>14</v>
      </c>
      <c r="J93" s="93">
        <v>24.89</v>
      </c>
      <c r="K93" s="42"/>
      <c r="L93" s="42"/>
      <c r="M93" s="42"/>
      <c r="N93" s="42"/>
      <c r="O93" s="94"/>
      <c r="P93" s="95"/>
      <c r="Q93" s="216"/>
      <c r="R93" s="217"/>
      <c r="S93" s="217"/>
      <c r="T93" s="124"/>
      <c r="U93" s="124"/>
      <c r="V93" s="124"/>
      <c r="W93" s="125"/>
      <c r="X93" s="125"/>
      <c r="Y93" s="125"/>
      <c r="Z93" s="42">
        <v>7</v>
      </c>
      <c r="AA93" s="42"/>
      <c r="AB93" s="126">
        <f>7*10^-4</f>
        <v>6.9999999999999999E-4</v>
      </c>
      <c r="AC93" s="42" t="s">
        <v>624</v>
      </c>
      <c r="AD93" s="94">
        <f>AB93/60/60</f>
        <v>1.9444444444444445E-7</v>
      </c>
      <c r="AE93" s="688">
        <f>(LN(2)/AF93)/(60*60*24)</f>
        <v>41.258760747615796</v>
      </c>
      <c r="AF93" s="217">
        <f>EXP(LN(AD93)+$J93*(1/$H93-1/298.15)/0.0019872)</f>
        <v>1.9444444444444442E-7</v>
      </c>
      <c r="AG93" s="835">
        <f>AE93</f>
        <v>41.258760747615796</v>
      </c>
      <c r="AH93" s="160"/>
      <c r="AI93" s="160"/>
      <c r="AJ93" s="161"/>
      <c r="AK93" s="161"/>
      <c r="AL93" s="161"/>
      <c r="AM93" s="42"/>
      <c r="AN93" s="42"/>
      <c r="AO93" s="42"/>
      <c r="AP93" s="42"/>
      <c r="AQ93" s="94"/>
      <c r="AR93" s="94"/>
      <c r="AS93" s="216"/>
      <c r="AT93" s="217"/>
      <c r="AU93" s="217"/>
      <c r="AV93" s="124"/>
      <c r="AW93" s="124"/>
      <c r="AX93" s="124"/>
      <c r="AY93" s="42"/>
      <c r="AZ93" s="42"/>
      <c r="BA93" s="42"/>
      <c r="BB93" s="187"/>
      <c r="BC93" s="187"/>
      <c r="BD93" s="187"/>
      <c r="BE93" s="42"/>
      <c r="BF93" s="42"/>
    </row>
    <row r="94" spans="1:58" ht="15" thickBot="1" x14ac:dyDescent="0.35">
      <c r="A94" s="33"/>
      <c r="I94" s="208"/>
      <c r="J94" s="92"/>
      <c r="O94" s="86"/>
      <c r="P94" s="87"/>
      <c r="Q94" s="208"/>
      <c r="R94" s="209"/>
      <c r="S94" s="209"/>
      <c r="T94" s="118"/>
      <c r="U94" s="118"/>
      <c r="V94" s="118"/>
      <c r="W94" s="119"/>
      <c r="X94" s="119"/>
      <c r="Y94" s="119"/>
      <c r="AB94" s="103"/>
      <c r="AD94" s="86"/>
      <c r="AE94" s="208"/>
      <c r="AF94" s="209"/>
      <c r="AQ94" s="86"/>
      <c r="AR94" s="86"/>
      <c r="AS94" s="208"/>
      <c r="AT94" s="209"/>
      <c r="AU94" s="209"/>
      <c r="AV94" s="118"/>
      <c r="AW94" s="118"/>
      <c r="AX94" s="118"/>
    </row>
    <row r="95" spans="1:58" s="8" customFormat="1" x14ac:dyDescent="0.3">
      <c r="A95" s="36">
        <v>30</v>
      </c>
      <c r="B95" s="37" t="s">
        <v>413</v>
      </c>
      <c r="C95" s="37" t="s">
        <v>414</v>
      </c>
      <c r="D95" s="38"/>
      <c r="E95" s="37" t="s">
        <v>416</v>
      </c>
      <c r="F95" s="37" t="s">
        <v>412</v>
      </c>
      <c r="G95" s="37">
        <v>25</v>
      </c>
      <c r="H95" s="37">
        <f>G95+273.15</f>
        <v>298.14999999999998</v>
      </c>
      <c r="I95" s="214">
        <f>-LOG10(EXP(LN(10^-14)+13.36*(1/298.15-1/H95)/0.0019872))</f>
        <v>14</v>
      </c>
      <c r="J95" s="96">
        <v>24.89</v>
      </c>
      <c r="K95" s="37"/>
      <c r="L95" s="37"/>
      <c r="M95" s="37"/>
      <c r="N95" s="37"/>
      <c r="O95" s="89"/>
      <c r="P95" s="90"/>
      <c r="Q95" s="214"/>
      <c r="R95" s="215"/>
      <c r="S95" s="215"/>
      <c r="T95" s="120"/>
      <c r="U95" s="120"/>
      <c r="V95" s="120"/>
      <c r="W95" s="121"/>
      <c r="X95" s="121"/>
      <c r="Y95" s="121"/>
      <c r="Z95" s="37">
        <v>7</v>
      </c>
      <c r="AA95" s="37"/>
      <c r="AB95" s="122">
        <f>6*10^-2</f>
        <v>0.06</v>
      </c>
      <c r="AC95" s="37" t="s">
        <v>624</v>
      </c>
      <c r="AD95" s="89">
        <f>AB95/60/60</f>
        <v>1.6666666666666667E-5</v>
      </c>
      <c r="AE95" s="218">
        <f>(LN(2)/AF95)/(60*60*24)</f>
        <v>0.48135220872218437</v>
      </c>
      <c r="AF95" s="215">
        <f>EXP(LN(AD95)+$J95*(1/$H95-1/298.15)/0.0019872)</f>
        <v>1.6666666666666661E-5</v>
      </c>
      <c r="AG95" s="163">
        <f>AE95</f>
        <v>0.48135220872218437</v>
      </c>
      <c r="AH95" s="158"/>
      <c r="AI95" s="158"/>
      <c r="AJ95" s="159"/>
      <c r="AK95" s="159"/>
      <c r="AL95" s="159"/>
      <c r="AM95" s="37"/>
      <c r="AN95" s="37"/>
      <c r="AO95" s="37"/>
      <c r="AP95" s="37"/>
      <c r="AQ95" s="89"/>
      <c r="AR95" s="89"/>
      <c r="AS95" s="214"/>
      <c r="AT95" s="215"/>
      <c r="AU95" s="215"/>
      <c r="AV95" s="120"/>
      <c r="AW95" s="120"/>
      <c r="AX95" s="120"/>
      <c r="AY95" s="37"/>
      <c r="AZ95" s="37"/>
      <c r="BA95" s="37"/>
      <c r="BB95" s="186"/>
      <c r="BC95" s="186"/>
      <c r="BD95" s="186"/>
      <c r="BE95" s="37"/>
      <c r="BF95" s="37"/>
    </row>
    <row r="96" spans="1:58" x14ac:dyDescent="0.3">
      <c r="A96" s="33"/>
      <c r="I96" s="208"/>
      <c r="Q96" s="208"/>
      <c r="R96" s="208"/>
      <c r="S96" s="208"/>
      <c r="AE96" s="208"/>
      <c r="AF96" s="208"/>
      <c r="AS96" s="208"/>
      <c r="AT96" s="208"/>
      <c r="AU96" s="208"/>
    </row>
    <row r="97" spans="1:58" x14ac:dyDescent="0.3">
      <c r="A97" s="33">
        <v>27</v>
      </c>
      <c r="B97" s="31" t="s">
        <v>401</v>
      </c>
      <c r="C97" s="31" t="s">
        <v>400</v>
      </c>
      <c r="E97" s="31" t="s">
        <v>402</v>
      </c>
      <c r="F97" s="31" t="s">
        <v>403</v>
      </c>
      <c r="G97" s="31">
        <v>70</v>
      </c>
      <c r="H97" s="31">
        <f>G97+273.15</f>
        <v>343.15</v>
      </c>
      <c r="I97" s="208">
        <f>-LOG10(EXP(LN(10^-14)+13.36*(1/298.15-1/H97)/0.0019872))</f>
        <v>12.715769772716893</v>
      </c>
      <c r="J97" s="92">
        <v>24.89</v>
      </c>
      <c r="O97" s="86"/>
      <c r="P97" s="87"/>
      <c r="Q97" s="208"/>
      <c r="R97" s="209"/>
      <c r="S97" s="209"/>
      <c r="T97" s="118"/>
      <c r="U97" s="118"/>
      <c r="V97" s="118"/>
      <c r="W97" s="119"/>
      <c r="X97" s="119"/>
      <c r="Y97" s="119"/>
      <c r="AD97" s="86"/>
      <c r="AE97" s="208"/>
      <c r="AF97" s="209"/>
      <c r="AM97" s="31">
        <v>8.5</v>
      </c>
      <c r="AO97" s="103">
        <f>3*10^-6</f>
        <v>3.0000000000000001E-6</v>
      </c>
      <c r="AP97" s="31" t="s">
        <v>600</v>
      </c>
      <c r="AQ97" s="86">
        <f>AO97*10^(9-AM97)</f>
        <v>9.4868329805051393E-6</v>
      </c>
      <c r="AR97" s="86">
        <f>AQ97*10^($I97-9)</f>
        <v>4.9305007299827404E-2</v>
      </c>
      <c r="AS97" s="219">
        <f>(LN(2)/AT97)/(60*60*24)</f>
        <v>4017.6524453022248</v>
      </c>
      <c r="AT97" s="209">
        <f>AU97*10^(9-14)</f>
        <v>1.9968220052028204E-9</v>
      </c>
      <c r="AU97" s="209">
        <f>EXP(LN(AR97)+$J97*(1/$H97-1/298.15)/0.0019872)</f>
        <v>1.9968220052028204E-4</v>
      </c>
      <c r="AV97" s="156">
        <f>AVERAGE(AS97:AS100)</f>
        <v>6504.8834685213915</v>
      </c>
      <c r="AW97" s="118">
        <f>MEDIAN(AS97:AS100)</f>
        <v>6084.3724911837471</v>
      </c>
      <c r="AX97" s="118">
        <f>STDEV(AS97:AS100)</f>
        <v>2423.7676182193832</v>
      </c>
      <c r="BB97" s="185" t="s">
        <v>406</v>
      </c>
      <c r="BC97" s="185" t="s">
        <v>405</v>
      </c>
    </row>
    <row r="98" spans="1:58" x14ac:dyDescent="0.3">
      <c r="A98" s="33"/>
      <c r="F98" s="31" t="s">
        <v>404</v>
      </c>
      <c r="G98" s="31">
        <v>70</v>
      </c>
      <c r="H98" s="31">
        <f>G98+273.15</f>
        <v>343.15</v>
      </c>
      <c r="I98" s="208">
        <f>-LOG10(EXP(LN(10^-14)+13.36*(1/298.15-1/H98)/0.0019872))</f>
        <v>12.715769772716893</v>
      </c>
      <c r="J98" s="92">
        <v>24.89</v>
      </c>
      <c r="O98" s="86"/>
      <c r="P98" s="87"/>
      <c r="Q98" s="208"/>
      <c r="R98" s="209"/>
      <c r="S98" s="209"/>
      <c r="T98" s="118"/>
      <c r="U98" s="118"/>
      <c r="V98" s="118"/>
      <c r="W98" s="119"/>
      <c r="X98" s="119"/>
      <c r="Y98" s="119"/>
      <c r="AD98" s="86"/>
      <c r="AE98" s="208"/>
      <c r="AF98" s="209"/>
      <c r="AM98" s="31">
        <v>8.5</v>
      </c>
      <c r="AO98" s="103">
        <f>2*10^-6</f>
        <v>1.9999999999999999E-6</v>
      </c>
      <c r="AP98" s="31" t="s">
        <v>600</v>
      </c>
      <c r="AQ98" s="86">
        <f>AO98*10^(9-AM98)</f>
        <v>6.3245553203367584E-6</v>
      </c>
      <c r="AR98" s="86">
        <f>AQ98*10^($I98-9)</f>
        <v>3.2870004866551596E-2</v>
      </c>
      <c r="AS98" s="219">
        <f>(LN(2)/AT98)/(60*60*24)</f>
        <v>6026.4786679533327</v>
      </c>
      <c r="AT98" s="209">
        <f>AU98*10^(9-14)</f>
        <v>1.3312146701352146E-9</v>
      </c>
      <c r="AU98" s="209">
        <f>EXP(LN(AR98)+$J98*(1/$H98-1/298.15)/0.0019872)</f>
        <v>1.3312146701352146E-4</v>
      </c>
      <c r="AV98" s="118"/>
      <c r="AW98" s="118"/>
      <c r="AX98" s="118"/>
      <c r="BB98" s="185" t="s">
        <v>406</v>
      </c>
      <c r="BC98" s="185" t="s">
        <v>405</v>
      </c>
    </row>
    <row r="99" spans="1:58" x14ac:dyDescent="0.3">
      <c r="A99" s="33"/>
      <c r="F99" s="31" t="s">
        <v>403</v>
      </c>
      <c r="G99" s="31">
        <v>50</v>
      </c>
      <c r="H99" s="31">
        <f>G99+273.15</f>
        <v>323.14999999999998</v>
      </c>
      <c r="I99" s="208">
        <f>-LOG10(EXP(LN(10^-14)+13.36*(1/298.15-1/H99)/0.0019872))</f>
        <v>13.242382102408241</v>
      </c>
      <c r="J99" s="92">
        <v>24.89</v>
      </c>
      <c r="O99" s="86"/>
      <c r="P99" s="87"/>
      <c r="Q99" s="208"/>
      <c r="R99" s="209"/>
      <c r="S99" s="209"/>
      <c r="T99" s="118"/>
      <c r="U99" s="118"/>
      <c r="V99" s="118"/>
      <c r="W99" s="119"/>
      <c r="X99" s="119"/>
      <c r="Y99" s="119"/>
      <c r="AD99" s="86"/>
      <c r="AE99" s="208"/>
      <c r="AF99" s="209"/>
      <c r="AM99" s="31">
        <v>8.98</v>
      </c>
      <c r="AO99" s="103">
        <f>((1+1.3)/2)*10^-7</f>
        <v>1.1499999999999998E-7</v>
      </c>
      <c r="AP99" s="31" t="s">
        <v>600</v>
      </c>
      <c r="AQ99" s="86">
        <f>AO99*10^(9-AM99)</f>
        <v>1.2041978302585332E-7</v>
      </c>
      <c r="AR99" s="86">
        <f>AQ99*10^($I99-9)</f>
        <v>2.104165728451454E-3</v>
      </c>
      <c r="AS99" s="219">
        <f>(LN(2)/AT99)/(60*60*24)</f>
        <v>9833.1364464158487</v>
      </c>
      <c r="AT99" s="209">
        <f>AU99*10^(9-14)</f>
        <v>8.1586753684889588E-10</v>
      </c>
      <c r="AU99" s="209">
        <f>EXP(LN(AR99)+$J99*(1/$H99-1/298.15)/0.0019872)</f>
        <v>8.1586753684889578E-5</v>
      </c>
      <c r="AV99" s="118"/>
      <c r="AW99" s="118"/>
      <c r="AX99" s="118"/>
      <c r="BB99" s="185" t="s">
        <v>406</v>
      </c>
      <c r="BC99" s="185" t="s">
        <v>405</v>
      </c>
    </row>
    <row r="100" spans="1:58" x14ac:dyDescent="0.3">
      <c r="A100" s="33"/>
      <c r="F100" s="31" t="s">
        <v>404</v>
      </c>
      <c r="G100" s="31">
        <v>50</v>
      </c>
      <c r="H100" s="31">
        <f>G100+273.15</f>
        <v>323.14999999999998</v>
      </c>
      <c r="I100" s="208">
        <f>-LOG10(EXP(LN(10^-14)+13.36*(1/298.15-1/H100)/0.0019872))</f>
        <v>13.242382102408241</v>
      </c>
      <c r="J100" s="92">
        <v>24.89</v>
      </c>
      <c r="O100" s="86"/>
      <c r="P100" s="87"/>
      <c r="Q100" s="208"/>
      <c r="R100" s="209"/>
      <c r="S100" s="209"/>
      <c r="T100" s="118"/>
      <c r="U100" s="118"/>
      <c r="V100" s="118"/>
      <c r="W100" s="119"/>
      <c r="X100" s="119"/>
      <c r="Y100" s="119"/>
      <c r="AD100" s="86"/>
      <c r="AE100" s="208"/>
      <c r="AF100" s="209"/>
      <c r="AM100" s="31">
        <v>8.59</v>
      </c>
      <c r="AO100" s="103">
        <f>((6+9)/2)*10^-8</f>
        <v>7.4999999999999997E-8</v>
      </c>
      <c r="AP100" s="31" t="s">
        <v>600</v>
      </c>
      <c r="AQ100" s="86">
        <f>AO100*10^(9-AM100)</f>
        <v>1.9277968370766484E-7</v>
      </c>
      <c r="AR100" s="86">
        <f>AQ100*10^($I100-9)</f>
        <v>3.3685528524187028E-3</v>
      </c>
      <c r="AS100" s="219">
        <f>(LN(2)/AT100)/(60*60*24)</f>
        <v>6142.2663144141607</v>
      </c>
      <c r="AT100" s="209">
        <f>AU100*10^(9-14)</f>
        <v>1.3061199891658524E-9</v>
      </c>
      <c r="AU100" s="209">
        <f>EXP(LN(AR100)+$J100*(1/$H100-1/298.15)/0.0019872)</f>
        <v>1.3061199891658523E-4</v>
      </c>
      <c r="AV100" s="118"/>
      <c r="AW100" s="118"/>
      <c r="AX100" s="118"/>
      <c r="BB100" s="185" t="s">
        <v>406</v>
      </c>
      <c r="BC100" s="185" t="s">
        <v>405</v>
      </c>
    </row>
    <row r="101" spans="1:58" s="16" customFormat="1" ht="15" thickBot="1" x14ac:dyDescent="0.35">
      <c r="A101" s="58"/>
      <c r="B101" s="59" t="s">
        <v>1114</v>
      </c>
      <c r="C101" s="60"/>
      <c r="D101" s="61"/>
      <c r="E101" s="60"/>
      <c r="F101" s="60"/>
      <c r="G101" s="60"/>
      <c r="H101" s="60"/>
      <c r="I101" s="225"/>
      <c r="J101" s="60"/>
      <c r="K101" s="60"/>
      <c r="L101" s="60"/>
      <c r="M101" s="60"/>
      <c r="N101" s="60"/>
      <c r="O101" s="104"/>
      <c r="P101" s="104"/>
      <c r="Q101" s="225"/>
      <c r="R101" s="225"/>
      <c r="S101" s="225"/>
      <c r="T101" s="137"/>
      <c r="U101" s="137"/>
      <c r="V101" s="137"/>
      <c r="W101" s="138"/>
      <c r="X101" s="138"/>
      <c r="Y101" s="138"/>
      <c r="Z101" s="60"/>
      <c r="AA101" s="60"/>
      <c r="AB101" s="60"/>
      <c r="AC101" s="60"/>
      <c r="AD101" s="104"/>
      <c r="AE101" s="225"/>
      <c r="AF101" s="225"/>
      <c r="AG101" s="168"/>
      <c r="AH101" s="168"/>
      <c r="AI101" s="168"/>
      <c r="AJ101" s="169"/>
      <c r="AK101" s="169"/>
      <c r="AL101" s="169"/>
      <c r="AM101" s="60"/>
      <c r="AN101" s="60"/>
      <c r="AO101" s="60"/>
      <c r="AP101" s="60"/>
      <c r="AQ101" s="104"/>
      <c r="AR101" s="104"/>
      <c r="AS101" s="225"/>
      <c r="AT101" s="225"/>
      <c r="AU101" s="225"/>
      <c r="AV101" s="137"/>
      <c r="AW101" s="137"/>
      <c r="AX101" s="137"/>
      <c r="AY101" s="60"/>
      <c r="AZ101" s="60"/>
      <c r="BA101" s="60"/>
      <c r="BB101" s="190"/>
      <c r="BC101" s="190"/>
      <c r="BD101" s="190"/>
      <c r="BE101" s="60"/>
      <c r="BF101" s="60"/>
    </row>
    <row r="102" spans="1:58" x14ac:dyDescent="0.3">
      <c r="A102" s="33">
        <v>3</v>
      </c>
      <c r="B102" s="31" t="s">
        <v>318</v>
      </c>
      <c r="C102" s="31" t="s">
        <v>319</v>
      </c>
      <c r="E102" s="31" t="s">
        <v>314</v>
      </c>
      <c r="F102" s="31" t="s">
        <v>670</v>
      </c>
      <c r="G102" s="31">
        <v>25</v>
      </c>
      <c r="H102" s="31">
        <f>G102+273.15</f>
        <v>298.14999999999998</v>
      </c>
      <c r="I102" s="208">
        <f>-LOG10(EXP(LN(10^-14)+13.36*(1/298.15-1/H102)/0.0019872))</f>
        <v>14</v>
      </c>
      <c r="J102" s="31">
        <v>24.67</v>
      </c>
      <c r="O102" s="86"/>
      <c r="P102" s="87"/>
      <c r="Q102" s="208"/>
      <c r="R102" s="209"/>
      <c r="S102" s="209"/>
      <c r="T102" s="118"/>
      <c r="U102" s="118"/>
      <c r="V102" s="118"/>
      <c r="W102" s="119"/>
      <c r="X102" s="119"/>
      <c r="Y102" s="119"/>
      <c r="Z102" s="31">
        <v>7</v>
      </c>
      <c r="AB102" s="103">
        <v>4.1030000000000004E-6</v>
      </c>
      <c r="AC102" s="31" t="s">
        <v>600</v>
      </c>
      <c r="AD102" s="86">
        <f>AB102</f>
        <v>4.1030000000000004E-6</v>
      </c>
      <c r="AE102" s="219">
        <f>(LN(2)/AF102)/(60*60*24)</f>
        <v>1.9552855988389961</v>
      </c>
      <c r="AF102" s="209">
        <f>EXP(LN(AD102)+$J102*(1/$H102-1/298.15)/0.0019872)</f>
        <v>4.1030000000000012E-6</v>
      </c>
      <c r="AG102" s="156">
        <f>AVERAGE(AE102:AE106)</f>
        <v>1.8570399911980942</v>
      </c>
      <c r="AH102" s="156">
        <f>MEDIAN(AE102:AE106)</f>
        <v>1.8392850027272747</v>
      </c>
      <c r="AI102" s="156">
        <f>STDEV(AE102:AE106)</f>
        <v>5.5576609643226284E-2</v>
      </c>
      <c r="AQ102" s="86"/>
      <c r="AR102" s="86"/>
      <c r="AS102" s="208"/>
      <c r="AT102" s="209"/>
      <c r="AU102" s="209"/>
      <c r="AV102" s="118"/>
      <c r="AW102" s="118"/>
      <c r="AX102" s="118"/>
    </row>
    <row r="103" spans="1:58" x14ac:dyDescent="0.3">
      <c r="A103" s="33"/>
      <c r="F103" s="31" t="s">
        <v>670</v>
      </c>
      <c r="G103" s="31">
        <v>30</v>
      </c>
      <c r="H103" s="31">
        <f>G103+273.15</f>
        <v>303.14999999999998</v>
      </c>
      <c r="I103" s="208">
        <f>-LOG10(EXP(LN(10^-14)+13.36*(1/298.15-1/H103)/0.0019872))</f>
        <v>13.838479812893434</v>
      </c>
      <c r="J103" s="31">
        <v>24.67</v>
      </c>
      <c r="O103" s="86"/>
      <c r="P103" s="87"/>
      <c r="Q103" s="208"/>
      <c r="R103" s="209"/>
      <c r="S103" s="209"/>
      <c r="T103" s="118"/>
      <c r="U103" s="118"/>
      <c r="V103" s="118"/>
      <c r="W103" s="119"/>
      <c r="X103" s="119"/>
      <c r="Y103" s="119"/>
      <c r="Z103" s="31">
        <v>7</v>
      </c>
      <c r="AB103" s="103">
        <v>8.6680000000000007E-6</v>
      </c>
      <c r="AC103" s="31" t="s">
        <v>600</v>
      </c>
      <c r="AD103" s="86">
        <f>AB103</f>
        <v>8.6680000000000007E-6</v>
      </c>
      <c r="AE103" s="219">
        <f>(LN(2)/AF103)/(60*60*24)</f>
        <v>1.8392850027272747</v>
      </c>
      <c r="AF103" s="209">
        <f>EXP(LN(AD103)+$J103*(1/$H103-1/298.15)/0.0019872)</f>
        <v>4.3617692745499806E-6</v>
      </c>
      <c r="AQ103" s="86"/>
      <c r="AR103" s="86"/>
      <c r="AS103" s="208"/>
      <c r="AT103" s="209"/>
      <c r="AU103" s="209"/>
      <c r="AV103" s="118"/>
      <c r="AW103" s="118"/>
      <c r="AX103" s="118"/>
    </row>
    <row r="104" spans="1:58" x14ac:dyDescent="0.3">
      <c r="A104" s="33"/>
      <c r="F104" s="31" t="s">
        <v>671</v>
      </c>
      <c r="G104" s="31">
        <v>40</v>
      </c>
      <c r="H104" s="31">
        <f>G104+273.15</f>
        <v>313.14999999999998</v>
      </c>
      <c r="I104" s="208">
        <f>-LOG10(EXP(LN(10^-14)+13.36*(1/298.15-1/H104)/0.0019872))</f>
        <v>13.530913191237214</v>
      </c>
      <c r="J104" s="31">
        <v>23.55</v>
      </c>
      <c r="O104" s="86"/>
      <c r="P104" s="87"/>
      <c r="Q104" s="208"/>
      <c r="R104" s="209"/>
      <c r="S104" s="209"/>
      <c r="T104" s="118"/>
      <c r="U104" s="118"/>
      <c r="V104" s="118"/>
      <c r="W104" s="119"/>
      <c r="X104" s="119"/>
      <c r="Y104" s="119"/>
      <c r="Z104" s="31">
        <v>7</v>
      </c>
      <c r="AB104" s="103">
        <v>2.9240000000000001E-5</v>
      </c>
      <c r="AC104" s="31" t="s">
        <v>600</v>
      </c>
      <c r="AD104" s="86">
        <f>AB104</f>
        <v>2.9240000000000001E-5</v>
      </c>
      <c r="AE104" s="219">
        <f>(LN(2)/AF104)/(60*60*24)</f>
        <v>1.8416418888360746</v>
      </c>
      <c r="AF104" s="209">
        <f>EXP(LN(AD104)+$J104*(1/$H104-1/298.15)/0.0019872)</f>
        <v>4.3561871939754155E-6</v>
      </c>
      <c r="AQ104" s="86"/>
      <c r="AR104" s="86"/>
      <c r="AS104" s="208"/>
      <c r="AT104" s="209"/>
      <c r="AU104" s="209"/>
      <c r="AV104" s="118"/>
      <c r="AW104" s="118"/>
      <c r="AX104" s="118"/>
    </row>
    <row r="105" spans="1:58" x14ac:dyDescent="0.3">
      <c r="A105" s="33"/>
      <c r="F105" s="31" t="s">
        <v>671</v>
      </c>
      <c r="G105" s="31">
        <v>50</v>
      </c>
      <c r="H105" s="31">
        <f>G105+273.15</f>
        <v>323.14999999999998</v>
      </c>
      <c r="I105" s="208">
        <f>-LOG10(EXP(LN(10^-14)+13.36*(1/298.15-1/H105)/0.0019872))</f>
        <v>13.242382102408241</v>
      </c>
      <c r="J105" s="31">
        <v>23.55</v>
      </c>
      <c r="O105" s="86"/>
      <c r="P105" s="87"/>
      <c r="Q105" s="208"/>
      <c r="R105" s="209"/>
      <c r="S105" s="209"/>
      <c r="T105" s="118"/>
      <c r="U105" s="118"/>
      <c r="V105" s="118"/>
      <c r="W105" s="119"/>
      <c r="X105" s="119"/>
      <c r="Y105" s="119"/>
      <c r="Z105" s="31">
        <v>7</v>
      </c>
      <c r="AB105" s="103">
        <v>9.5409999999999996E-5</v>
      </c>
      <c r="AC105" s="31" t="s">
        <v>600</v>
      </c>
      <c r="AD105" s="86">
        <f>AB105</f>
        <v>9.5409999999999996E-5</v>
      </c>
      <c r="AE105" s="219">
        <f>(LN(2)/AF105)/(60*60*24)</f>
        <v>1.8204950021918573</v>
      </c>
      <c r="AF105" s="209">
        <f>EXP(LN(AD105)+$J105*(1/$H105-1/298.15)/0.0019872)</f>
        <v>4.406788704378398E-6</v>
      </c>
      <c r="AQ105" s="86"/>
      <c r="AR105" s="86"/>
      <c r="AS105" s="208"/>
      <c r="AT105" s="209"/>
      <c r="AU105" s="209"/>
      <c r="AV105" s="118"/>
      <c r="AW105" s="118"/>
      <c r="AX105" s="118"/>
    </row>
    <row r="106" spans="1:58" x14ac:dyDescent="0.3">
      <c r="A106" s="33"/>
      <c r="F106" s="31" t="s">
        <v>671</v>
      </c>
      <c r="G106" s="31">
        <v>60</v>
      </c>
      <c r="H106" s="31">
        <f>G106+273.15</f>
        <v>333.15</v>
      </c>
      <c r="I106" s="208">
        <f>-LOG10(EXP(LN(10^-14)+13.36*(1/298.15-1/H106)/0.0019872))</f>
        <v>12.971172405674658</v>
      </c>
      <c r="J106" s="31">
        <v>23.55</v>
      </c>
      <c r="O106" s="86"/>
      <c r="P106" s="87"/>
      <c r="Q106" s="208"/>
      <c r="R106" s="209"/>
      <c r="S106" s="209"/>
      <c r="T106" s="118"/>
      <c r="U106" s="118"/>
      <c r="V106" s="118"/>
      <c r="W106" s="119"/>
      <c r="X106" s="119"/>
      <c r="Y106" s="119"/>
      <c r="Z106" s="31">
        <v>7</v>
      </c>
      <c r="AB106" s="103">
        <v>2.856E-4</v>
      </c>
      <c r="AC106" s="31" t="s">
        <v>600</v>
      </c>
      <c r="AD106" s="86">
        <f>AB106</f>
        <v>2.856E-4</v>
      </c>
      <c r="AE106" s="219">
        <f>(LN(2)/AF106)/(60*60*24)</f>
        <v>1.8284924633962683</v>
      </c>
      <c r="AF106" s="209">
        <f>EXP(LN(AD106)+$J106*(1/$H106-1/298.15)/0.0019872)</f>
        <v>4.3875142898512304E-6</v>
      </c>
      <c r="AQ106" s="86"/>
      <c r="AR106" s="86"/>
      <c r="AS106" s="208"/>
      <c r="AT106" s="209"/>
      <c r="AU106" s="209"/>
      <c r="AV106" s="118"/>
      <c r="AW106" s="118"/>
      <c r="AX106" s="118"/>
    </row>
    <row r="107" spans="1:58" ht="15" thickBot="1" x14ac:dyDescent="0.35">
      <c r="A107" s="33"/>
      <c r="I107" s="208"/>
      <c r="Q107" s="208"/>
      <c r="R107" s="208"/>
      <c r="S107" s="208"/>
      <c r="AE107" s="208"/>
      <c r="AF107" s="208"/>
      <c r="AS107" s="208"/>
      <c r="AT107" s="208"/>
      <c r="AU107" s="208"/>
    </row>
    <row r="108" spans="1:58" s="8" customFormat="1" x14ac:dyDescent="0.3">
      <c r="A108" s="36">
        <v>16</v>
      </c>
      <c r="B108" s="37" t="s">
        <v>374</v>
      </c>
      <c r="C108" s="37" t="s">
        <v>373</v>
      </c>
      <c r="D108" s="38"/>
      <c r="E108" s="39" t="s">
        <v>394</v>
      </c>
      <c r="F108" s="39" t="s">
        <v>699</v>
      </c>
      <c r="G108" s="37">
        <v>80</v>
      </c>
      <c r="H108" s="37">
        <f>G108+273.15</f>
        <v>353.15</v>
      </c>
      <c r="I108" s="214">
        <f>-LOG10(EXP(LN(10^-14)+13.36*(1/298.15-1/H108)/0.0019872))</f>
        <v>12.474831397607506</v>
      </c>
      <c r="J108" s="88">
        <v>26.59</v>
      </c>
      <c r="K108" s="37"/>
      <c r="L108" s="37"/>
      <c r="M108" s="37"/>
      <c r="N108" s="37"/>
      <c r="O108" s="89"/>
      <c r="P108" s="90"/>
      <c r="Q108" s="214"/>
      <c r="R108" s="215"/>
      <c r="S108" s="215"/>
      <c r="T108" s="120"/>
      <c r="U108" s="120"/>
      <c r="V108" s="120"/>
      <c r="W108" s="121"/>
      <c r="X108" s="121"/>
      <c r="Y108" s="121"/>
      <c r="Z108" s="37">
        <v>7</v>
      </c>
      <c r="AA108" s="37"/>
      <c r="AB108" s="122">
        <f>8.19*10^-5</f>
        <v>8.1899999999999999E-5</v>
      </c>
      <c r="AC108" s="37" t="s">
        <v>600</v>
      </c>
      <c r="AD108" s="89">
        <f>AB108</f>
        <v>8.1899999999999999E-5</v>
      </c>
      <c r="AE108" s="218">
        <f>(LN(2)/AF108)/(60*60*24)</f>
        <v>106.29780806062344</v>
      </c>
      <c r="AF108" s="215">
        <f>EXP(LN(AD108)+$J108*(1/$H108-1/298.15)/0.0019872)</f>
        <v>7.5472269451323161E-8</v>
      </c>
      <c r="AG108" s="885">
        <f>AVERAGE(AE108:AE110)</f>
        <v>108.40919636936849</v>
      </c>
      <c r="AH108" s="158">
        <f>MEDIAN(AE108:AE110)</f>
        <v>108.40919636936849</v>
      </c>
      <c r="AI108" s="158">
        <f>STDEV(AE108:AE110)</f>
        <v>2.9859539816632399</v>
      </c>
      <c r="AK108" s="159"/>
      <c r="AL108" s="159"/>
      <c r="AM108" s="37"/>
      <c r="AN108" s="37"/>
      <c r="AO108" s="37"/>
      <c r="AP108" s="37"/>
      <c r="AQ108" s="89"/>
      <c r="AR108" s="89"/>
      <c r="AS108" s="214"/>
      <c r="AT108" s="215"/>
      <c r="AU108" s="215"/>
      <c r="AV108" s="120"/>
      <c r="AW108" s="120"/>
      <c r="AX108" s="120"/>
      <c r="AY108" s="37"/>
      <c r="AZ108" s="37"/>
      <c r="BA108" s="37"/>
      <c r="BB108" s="186"/>
      <c r="BC108" s="186"/>
      <c r="BD108" s="186"/>
      <c r="BE108" s="37"/>
      <c r="BF108" s="37"/>
    </row>
    <row r="109" spans="1:58" x14ac:dyDescent="0.3">
      <c r="A109" s="33"/>
      <c r="E109" s="31" t="s">
        <v>549</v>
      </c>
      <c r="F109" s="31" t="s">
        <v>698</v>
      </c>
      <c r="G109" s="31">
        <v>100</v>
      </c>
      <c r="H109" s="31">
        <f>G109+273.15</f>
        <v>373.15</v>
      </c>
      <c r="I109" s="208">
        <f>-LOG10(EXP(LN(10^-14)+13.36*(1/298.15-1/H109)/0.0019872))</f>
        <v>12.031695910973252</v>
      </c>
      <c r="J109" s="91">
        <v>22.2</v>
      </c>
      <c r="O109" s="86"/>
      <c r="P109" s="87"/>
      <c r="Q109" s="208"/>
      <c r="R109" s="209"/>
      <c r="S109" s="209"/>
      <c r="T109" s="118"/>
      <c r="U109" s="118"/>
      <c r="V109" s="118"/>
      <c r="W109" s="119"/>
      <c r="X109" s="119"/>
      <c r="Y109" s="119"/>
      <c r="AD109" s="86"/>
      <c r="AE109" s="219"/>
      <c r="AF109" s="209"/>
      <c r="AO109" s="103">
        <v>0.124</v>
      </c>
      <c r="AP109" s="31" t="s">
        <v>656</v>
      </c>
      <c r="AQ109" s="86">
        <f>AR109*10^(9-I109)</f>
        <v>1.1527251647257242E-4</v>
      </c>
      <c r="AR109" s="86">
        <f>AO109</f>
        <v>0.124</v>
      </c>
      <c r="AS109" s="219">
        <f>(LN(2)/AT109)/(60*60*24)</f>
        <v>12066.32369776781</v>
      </c>
      <c r="AT109" s="209">
        <f>AU109*10^(9-14)</f>
        <v>6.6487001451158817E-10</v>
      </c>
      <c r="AU109" s="209">
        <f>EXP(LN(AR109)+$J109*(1/$H109-1/298.15)/0.0019872)</f>
        <v>6.6487001451158816E-5</v>
      </c>
      <c r="AV109" s="170">
        <f>AS109</f>
        <v>12066.32369776781</v>
      </c>
      <c r="AW109" s="118"/>
      <c r="AX109" s="118"/>
    </row>
    <row r="110" spans="1:58" x14ac:dyDescent="0.3">
      <c r="A110" s="33"/>
      <c r="E110" s="31" t="s">
        <v>549</v>
      </c>
      <c r="F110" s="31" t="s">
        <v>697</v>
      </c>
      <c r="G110" s="31">
        <v>100</v>
      </c>
      <c r="H110" s="31">
        <f>G110+273.15</f>
        <v>373.15</v>
      </c>
      <c r="I110" s="208">
        <f>-LOG10(EXP(LN(10^-14)+13.36*(1/298.15-1/H110)/0.0019872))</f>
        <v>12.031695910973252</v>
      </c>
      <c r="J110" s="91">
        <v>26.3</v>
      </c>
      <c r="O110" s="86"/>
      <c r="P110" s="87"/>
      <c r="Q110" s="208"/>
      <c r="R110" s="209"/>
      <c r="S110" s="209"/>
      <c r="T110" s="118"/>
      <c r="U110" s="118"/>
      <c r="V110" s="118"/>
      <c r="W110" s="119"/>
      <c r="X110" s="119"/>
      <c r="Y110" s="119"/>
      <c r="Z110" s="31">
        <v>7</v>
      </c>
      <c r="AB110" s="123">
        <v>5.44E-4</v>
      </c>
      <c r="AC110" s="31" t="s">
        <v>600</v>
      </c>
      <c r="AD110" s="86">
        <f>AB110</f>
        <v>5.44E-4</v>
      </c>
      <c r="AE110" s="219">
        <f>(LN(2)/AF110)/(60*60*24)</f>
        <v>110.52058467811354</v>
      </c>
      <c r="AF110" s="209">
        <f>EXP(LN(AD110)+$J110*(1/$H110-1/298.15)/0.0019872)</f>
        <v>7.2588620802194438E-8</v>
      </c>
      <c r="AQ110" s="86"/>
      <c r="AR110" s="86"/>
      <c r="AS110" s="219"/>
      <c r="AT110" s="209"/>
      <c r="AU110" s="209"/>
      <c r="AV110" s="118"/>
      <c r="AW110" s="118"/>
      <c r="AX110" s="118"/>
    </row>
    <row r="111" spans="1:58" ht="15" thickBot="1" x14ac:dyDescent="0.35">
      <c r="A111" s="33"/>
      <c r="I111" s="208"/>
      <c r="Q111" s="208"/>
      <c r="R111" s="208"/>
      <c r="S111" s="208"/>
      <c r="AE111" s="208"/>
      <c r="AF111" s="208"/>
      <c r="AS111" s="208"/>
      <c r="AT111" s="208"/>
      <c r="AU111" s="208"/>
    </row>
    <row r="112" spans="1:58" s="8" customFormat="1" x14ac:dyDescent="0.3">
      <c r="A112" s="36">
        <v>19</v>
      </c>
      <c r="B112" s="37" t="s">
        <v>379</v>
      </c>
      <c r="C112" s="37" t="s">
        <v>380</v>
      </c>
      <c r="D112" s="38"/>
      <c r="E112" s="39" t="s">
        <v>394</v>
      </c>
      <c r="F112" s="39" t="s">
        <v>395</v>
      </c>
      <c r="G112" s="37">
        <v>98.64</v>
      </c>
      <c r="H112" s="37">
        <f>G112+273.15</f>
        <v>371.78999999999996</v>
      </c>
      <c r="I112" s="214">
        <f>-LOG10(EXP(LN(10^-14)+13.36*(1/298.15-1/H112)/0.0019872))</f>
        <v>12.060318370434596</v>
      </c>
      <c r="J112" s="96">
        <v>24.89</v>
      </c>
      <c r="K112" s="37"/>
      <c r="L112" s="37"/>
      <c r="M112" s="37"/>
      <c r="N112" s="37"/>
      <c r="O112" s="89"/>
      <c r="P112" s="90"/>
      <c r="Q112" s="214"/>
      <c r="R112" s="215"/>
      <c r="S112" s="215"/>
      <c r="T112" s="120"/>
      <c r="U112" s="120"/>
      <c r="V112" s="120"/>
      <c r="W112" s="121"/>
      <c r="X112" s="121"/>
      <c r="Y112" s="121"/>
      <c r="Z112" s="37">
        <v>7</v>
      </c>
      <c r="AA112" s="37"/>
      <c r="AB112" s="122">
        <f>8.78*10^-4</f>
        <v>8.7799999999999998E-4</v>
      </c>
      <c r="AC112" s="37" t="s">
        <v>600</v>
      </c>
      <c r="AD112" s="89">
        <f>AB112</f>
        <v>8.7799999999999998E-4</v>
      </c>
      <c r="AE112" s="218">
        <f>(LN(2)/AF112)/(60*60*24)</f>
        <v>37.539677557419488</v>
      </c>
      <c r="AF112" s="215">
        <f>EXP(LN(AD112)+$J112*(1/$H112-1/298.15)/0.0019872)</f>
        <v>2.1370819714062242E-7</v>
      </c>
      <c r="AG112" s="163">
        <f>AE112</f>
        <v>37.539677557419488</v>
      </c>
      <c r="AH112" s="158"/>
      <c r="AI112" s="158"/>
      <c r="AJ112" s="159"/>
      <c r="AK112" s="159"/>
      <c r="AL112" s="159"/>
      <c r="AM112" s="37"/>
      <c r="AN112" s="37"/>
      <c r="AO112" s="37"/>
      <c r="AP112" s="37"/>
      <c r="AQ112" s="89"/>
      <c r="AR112" s="89"/>
      <c r="AS112" s="214"/>
      <c r="AT112" s="215"/>
      <c r="AU112" s="215"/>
      <c r="AV112" s="120"/>
      <c r="AW112" s="120"/>
      <c r="AX112" s="120"/>
      <c r="AY112" s="37"/>
      <c r="AZ112" s="37"/>
      <c r="BA112" s="37"/>
      <c r="BB112" s="186"/>
      <c r="BC112" s="186"/>
      <c r="BD112" s="186"/>
      <c r="BE112" s="37"/>
      <c r="BF112" s="37"/>
    </row>
    <row r="113" spans="1:58" ht="15" thickBot="1" x14ac:dyDescent="0.35">
      <c r="A113" s="33"/>
      <c r="E113" s="40"/>
      <c r="I113" s="208"/>
      <c r="J113" s="92"/>
      <c r="O113" s="86"/>
      <c r="P113" s="87"/>
      <c r="Q113" s="208"/>
      <c r="R113" s="209"/>
      <c r="S113" s="209"/>
      <c r="T113" s="118"/>
      <c r="U113" s="118"/>
      <c r="V113" s="118"/>
      <c r="W113" s="119"/>
      <c r="X113" s="119"/>
      <c r="Y113" s="119"/>
      <c r="AB113" s="103"/>
      <c r="AD113" s="86"/>
      <c r="AE113" s="208"/>
      <c r="AF113" s="209"/>
      <c r="AQ113" s="86"/>
      <c r="AR113" s="86"/>
      <c r="AS113" s="208"/>
      <c r="AT113" s="209"/>
      <c r="AU113" s="209"/>
      <c r="AV113" s="118"/>
      <c r="AW113" s="118"/>
      <c r="AX113" s="118"/>
    </row>
    <row r="114" spans="1:58" s="15" customFormat="1" ht="15" thickBot="1" x14ac:dyDescent="0.35">
      <c r="A114" s="62">
        <v>22</v>
      </c>
      <c r="B114" s="63" t="s">
        <v>385</v>
      </c>
      <c r="C114" s="63" t="s">
        <v>386</v>
      </c>
      <c r="D114" s="64"/>
      <c r="E114" s="65" t="s">
        <v>394</v>
      </c>
      <c r="F114" s="65" t="s">
        <v>395</v>
      </c>
      <c r="G114" s="63">
        <f>353-273</f>
        <v>80</v>
      </c>
      <c r="H114" s="63">
        <f>G114+273.15</f>
        <v>353.15</v>
      </c>
      <c r="I114" s="226">
        <f>-LOG10(EXP(LN(10^-14)+13.36*(1/298.15-1/H114)/0.0019872))</f>
        <v>12.474831397607506</v>
      </c>
      <c r="J114" s="105">
        <v>24.89</v>
      </c>
      <c r="K114" s="63"/>
      <c r="L114" s="63"/>
      <c r="M114" s="63"/>
      <c r="N114" s="63"/>
      <c r="O114" s="106"/>
      <c r="P114" s="107"/>
      <c r="Q114" s="226"/>
      <c r="R114" s="227"/>
      <c r="S114" s="227"/>
      <c r="T114" s="139"/>
      <c r="U114" s="139"/>
      <c r="V114" s="139"/>
      <c r="W114" s="140"/>
      <c r="X114" s="140"/>
      <c r="Y114" s="140"/>
      <c r="Z114" s="63">
        <v>7</v>
      </c>
      <c r="AA114" s="63"/>
      <c r="AB114" s="141">
        <f>2.75*10^-3</f>
        <v>2.7499999999999998E-3</v>
      </c>
      <c r="AC114" s="63" t="s">
        <v>600</v>
      </c>
      <c r="AD114" s="106">
        <f>AB114</f>
        <v>2.7499999999999998E-3</v>
      </c>
      <c r="AE114" s="692">
        <f>(LN(2)/AF114)/(60*60*24)</f>
        <v>2.0249050429602389</v>
      </c>
      <c r="AF114" s="227">
        <f>EXP(LN(AD114)+$J114*(1/$H114-1/298.15)/0.0019872)</f>
        <v>3.9619323582246297E-6</v>
      </c>
      <c r="AG114" s="837">
        <f>AE114</f>
        <v>2.0249050429602389</v>
      </c>
      <c r="AH114" s="171"/>
      <c r="AI114" s="171"/>
      <c r="AJ114" s="172"/>
      <c r="AK114" s="172"/>
      <c r="AL114" s="172"/>
      <c r="AM114" s="63"/>
      <c r="AN114" s="63"/>
      <c r="AO114" s="63"/>
      <c r="AP114" s="63"/>
      <c r="AQ114" s="106"/>
      <c r="AR114" s="106"/>
      <c r="AS114" s="226"/>
      <c r="AT114" s="227"/>
      <c r="AU114" s="227"/>
      <c r="AV114" s="139"/>
      <c r="AW114" s="139"/>
      <c r="AX114" s="139"/>
      <c r="AY114" s="63"/>
      <c r="AZ114" s="63"/>
      <c r="BA114" s="63"/>
      <c r="BB114" s="191"/>
      <c r="BC114" s="191"/>
      <c r="BD114" s="191"/>
      <c r="BE114" s="63"/>
      <c r="BF114" s="63"/>
    </row>
    <row r="115" spans="1:58" x14ac:dyDescent="0.3">
      <c r="A115" s="33"/>
      <c r="I115" s="232"/>
      <c r="N115" s="108" t="s">
        <v>790</v>
      </c>
      <c r="O115" s="108"/>
      <c r="P115" s="108"/>
      <c r="Q115" s="228">
        <f>AVERAGE(Q7:Q114)</f>
        <v>3400.0268023518274</v>
      </c>
      <c r="R115" s="229"/>
      <c r="S115" s="229"/>
      <c r="T115" s="142">
        <f>AVERAGE(T7:T114)</f>
        <v>3400.0268023518274</v>
      </c>
      <c r="U115" s="142"/>
      <c r="V115" s="142"/>
      <c r="W115" s="143"/>
      <c r="X115" s="143"/>
      <c r="Y115" s="143"/>
      <c r="Z115" s="108" t="s">
        <v>790</v>
      </c>
      <c r="AA115" s="108"/>
      <c r="AB115" s="108"/>
      <c r="AC115" s="108" t="s">
        <v>790</v>
      </c>
      <c r="AD115" s="108"/>
      <c r="AE115" s="693">
        <f>AVERAGE(AE7:AE114)</f>
        <v>58.4371110810022</v>
      </c>
      <c r="AF115" s="229"/>
      <c r="AG115" s="142">
        <f>AVERAGE(AG7:AG114)</f>
        <v>61.803212322703423</v>
      </c>
      <c r="AH115" s="173"/>
      <c r="AI115" s="173"/>
      <c r="AJ115" s="174"/>
      <c r="AK115" s="174"/>
      <c r="AL115" s="174"/>
      <c r="AM115" s="115" t="s">
        <v>790</v>
      </c>
      <c r="AN115" s="115"/>
      <c r="AO115" s="115"/>
      <c r="AP115" s="115" t="s">
        <v>790</v>
      </c>
      <c r="AQ115" s="115"/>
      <c r="AR115" s="115"/>
      <c r="AS115" s="697">
        <f>AVERAGE(AS7:AS114)</f>
        <v>18860.308759546286</v>
      </c>
      <c r="AT115" s="236"/>
      <c r="AU115" s="236"/>
      <c r="AV115" s="142">
        <f>AVERAGE(AV7:AV114)</f>
        <v>36623.878286668209</v>
      </c>
      <c r="AW115" s="152"/>
      <c r="AX115" s="152"/>
      <c r="BB115" s="192" t="s">
        <v>790</v>
      </c>
    </row>
    <row r="116" spans="1:58" x14ac:dyDescent="0.3">
      <c r="A116" s="33"/>
      <c r="I116" s="232"/>
      <c r="N116" s="108" t="s">
        <v>791</v>
      </c>
      <c r="O116" s="108"/>
      <c r="P116" s="108"/>
      <c r="Q116" s="229">
        <f>STDEV(Q7:Q114)</f>
        <v>3271.0746005632323</v>
      </c>
      <c r="R116" s="229"/>
      <c r="S116" s="229"/>
      <c r="T116" s="142"/>
      <c r="U116" s="142"/>
      <c r="V116" s="142"/>
      <c r="W116" s="143"/>
      <c r="X116" s="143"/>
      <c r="Y116" s="143"/>
      <c r="Z116" s="108" t="s">
        <v>791</v>
      </c>
      <c r="AA116" s="108"/>
      <c r="AB116" s="108"/>
      <c r="AC116" s="108" t="s">
        <v>791</v>
      </c>
      <c r="AD116" s="108"/>
      <c r="AE116" s="693">
        <f>STDEV(AE7:AE114)</f>
        <v>92.866674526180873</v>
      </c>
      <c r="AF116" s="229"/>
      <c r="AG116" s="142">
        <f>STDEV(AG7:AG114)</f>
        <v>114.83661142484365</v>
      </c>
      <c r="AH116" s="173"/>
      <c r="AI116" s="173"/>
      <c r="AJ116" s="174"/>
      <c r="AK116" s="174"/>
      <c r="AL116" s="174"/>
      <c r="AM116" s="115" t="s">
        <v>791</v>
      </c>
      <c r="AN116" s="115"/>
      <c r="AO116" s="115"/>
      <c r="AP116" s="115" t="s">
        <v>791</v>
      </c>
      <c r="AQ116" s="115"/>
      <c r="AR116" s="115"/>
      <c r="AS116" s="236">
        <f>STDEV(AS7:AS114)</f>
        <v>40393.042840522598</v>
      </c>
      <c r="AT116" s="236"/>
      <c r="AU116" s="236"/>
      <c r="AV116" s="142">
        <f>STDEV(AV7:AV114)</f>
        <v>59768.380388590995</v>
      </c>
      <c r="AW116" s="152"/>
      <c r="AX116" s="152"/>
      <c r="BB116" s="192" t="s">
        <v>791</v>
      </c>
    </row>
    <row r="117" spans="1:58" x14ac:dyDescent="0.3">
      <c r="A117" s="33"/>
      <c r="I117" s="232"/>
      <c r="N117" s="108" t="s">
        <v>800</v>
      </c>
      <c r="O117" s="108"/>
      <c r="P117" s="108"/>
      <c r="Q117" s="228">
        <f>MEDIAN(Q7:Q114)</f>
        <v>3400.0268023518274</v>
      </c>
      <c r="R117" s="229"/>
      <c r="S117" s="229"/>
      <c r="T117" s="142">
        <f>MEDIAN(T7:T114)</f>
        <v>3400.0268023518274</v>
      </c>
      <c r="U117" s="142"/>
      <c r="V117" s="142"/>
      <c r="W117" s="143"/>
      <c r="Z117" s="108" t="s">
        <v>800</v>
      </c>
      <c r="AA117" s="108"/>
      <c r="AB117" s="108"/>
      <c r="AC117" s="108" t="s">
        <v>800</v>
      </c>
      <c r="AD117" s="108"/>
      <c r="AE117" s="693">
        <f>MEDIAN(AE7:AE114)</f>
        <v>6.6152483341818238</v>
      </c>
      <c r="AF117" s="229"/>
      <c r="AG117" s="142">
        <f>MEDIAN(AG7:AG114)</f>
        <v>16.477437814431038</v>
      </c>
      <c r="AH117" s="175"/>
      <c r="AI117" s="175"/>
      <c r="AM117" s="31" t="s">
        <v>800</v>
      </c>
      <c r="AP117" s="31" t="s">
        <v>800</v>
      </c>
      <c r="AQ117" s="31"/>
      <c r="AR117" s="31"/>
      <c r="AS117" s="698">
        <f>MEDIAN(AS7:AS114)</f>
        <v>6026.4786679533327</v>
      </c>
      <c r="AT117" s="238"/>
      <c r="AU117" s="238"/>
      <c r="AV117" s="142">
        <f>MEDIAN(AV7:AV114)</f>
        <v>9285.6035831446006</v>
      </c>
      <c r="AW117" s="129"/>
      <c r="AX117" s="129"/>
      <c r="BB117" s="185" t="s">
        <v>800</v>
      </c>
    </row>
    <row r="118" spans="1:58" x14ac:dyDescent="0.3">
      <c r="A118" s="33"/>
      <c r="I118" s="232"/>
      <c r="L118" s="119"/>
      <c r="N118" s="108" t="s">
        <v>789</v>
      </c>
      <c r="O118" s="108"/>
      <c r="P118" s="108"/>
      <c r="Q118" s="229">
        <f>COUNT(Q7:Q114)</f>
        <v>2</v>
      </c>
      <c r="R118" s="229"/>
      <c r="S118" s="229"/>
      <c r="T118" s="144">
        <f>COUNT(T7:T114)</f>
        <v>1</v>
      </c>
      <c r="U118" s="142"/>
      <c r="V118" s="142"/>
      <c r="W118" s="143"/>
      <c r="Z118" s="108" t="s">
        <v>789</v>
      </c>
      <c r="AA118" s="108"/>
      <c r="AB118" s="108"/>
      <c r="AC118" s="108" t="s">
        <v>789</v>
      </c>
      <c r="AD118" s="108"/>
      <c r="AE118" s="694">
        <f>COUNT(AE7:AE114)</f>
        <v>76</v>
      </c>
      <c r="AF118" s="229"/>
      <c r="AG118" s="176">
        <f>COUNT(AG7:AG114)</f>
        <v>22</v>
      </c>
      <c r="AH118" s="175"/>
      <c r="AI118" s="175"/>
      <c r="AM118" s="31" t="s">
        <v>789</v>
      </c>
      <c r="AP118" s="31" t="s">
        <v>789</v>
      </c>
      <c r="AQ118" s="31"/>
      <c r="AR118" s="31"/>
      <c r="AS118" s="238">
        <f>COUNT(AS7:AS114)</f>
        <v>9</v>
      </c>
      <c r="AT118" s="238"/>
      <c r="AU118" s="238"/>
      <c r="AV118" s="144">
        <f>COUNT(AV7:AV114)</f>
        <v>4</v>
      </c>
      <c r="AW118" s="129"/>
      <c r="AX118" s="129"/>
      <c r="BB118" s="185" t="s">
        <v>789</v>
      </c>
    </row>
    <row r="119" spans="1:58" x14ac:dyDescent="0.3">
      <c r="A119" s="33"/>
      <c r="I119" s="232"/>
      <c r="L119" s="844" t="str">
        <f>IF(K116&lt;AG122,"Outlier Flag","")</f>
        <v/>
      </c>
      <c r="N119" s="108" t="s">
        <v>787</v>
      </c>
      <c r="O119" s="108"/>
      <c r="P119" s="108"/>
      <c r="Q119" s="228">
        <f>MIN(Q7:Q114)</f>
        <v>1087.0277705264889</v>
      </c>
      <c r="R119" s="229"/>
      <c r="S119" s="229"/>
      <c r="T119" s="142">
        <f>MIN(T7:T114)</f>
        <v>3400.0268023518274</v>
      </c>
      <c r="U119" s="142"/>
      <c r="V119" s="142"/>
      <c r="W119" s="143"/>
      <c r="Z119" s="108" t="s">
        <v>787</v>
      </c>
      <c r="AA119" s="108"/>
      <c r="AB119" s="108"/>
      <c r="AC119" s="108" t="s">
        <v>787</v>
      </c>
      <c r="AD119" s="108"/>
      <c r="AE119" s="695">
        <f>MIN(AE7:AE114)</f>
        <v>2.5232016734740042E-4</v>
      </c>
      <c r="AF119" s="229"/>
      <c r="AG119" s="177">
        <f>MIN(AG7:AG114)</f>
        <v>2.5232016734740042E-4</v>
      </c>
      <c r="AH119" s="175"/>
      <c r="AI119" s="175"/>
      <c r="AM119" s="31" t="s">
        <v>787</v>
      </c>
      <c r="AP119" s="31" t="s">
        <v>787</v>
      </c>
      <c r="AQ119" s="31"/>
      <c r="AR119" s="31"/>
      <c r="AS119" s="702">
        <f>MIN(AS7:AS114)</f>
        <v>0.19845297673842219</v>
      </c>
      <c r="AT119" s="238"/>
      <c r="AU119" s="238"/>
      <c r="AV119" s="240">
        <f>MIN(AV7:AV114)</f>
        <v>1866.3076418397741</v>
      </c>
      <c r="AW119" s="129"/>
      <c r="AX119" s="129"/>
      <c r="BB119" s="185" t="s">
        <v>787</v>
      </c>
    </row>
    <row r="120" spans="1:58" x14ac:dyDescent="0.3">
      <c r="A120" s="33"/>
      <c r="I120" s="232"/>
      <c r="L120" s="844" t="str">
        <f>IF(K117&gt;AG123,"Outlier Flag","")</f>
        <v/>
      </c>
      <c r="N120" s="108" t="s">
        <v>788</v>
      </c>
      <c r="O120" s="108"/>
      <c r="P120" s="108"/>
      <c r="Q120" s="228">
        <f>MAX(Q7:Q114)</f>
        <v>5713.025834177166</v>
      </c>
      <c r="R120" s="229"/>
      <c r="S120" s="229"/>
      <c r="T120" s="142">
        <f>MAX(T7:T114)</f>
        <v>3400.0268023518274</v>
      </c>
      <c r="U120" s="142"/>
      <c r="V120" s="142"/>
      <c r="W120" s="143"/>
      <c r="X120" s="143"/>
      <c r="Y120" s="143"/>
      <c r="Z120" s="108" t="s">
        <v>788</v>
      </c>
      <c r="AA120" s="108"/>
      <c r="AB120" s="108"/>
      <c r="AC120" s="108" t="s">
        <v>788</v>
      </c>
      <c r="AD120" s="108"/>
      <c r="AE120" s="693">
        <f>MAX(AE7:AE114)</f>
        <v>413.0194272803767</v>
      </c>
      <c r="AF120" s="229"/>
      <c r="AG120" s="142">
        <f>MAX(AG7:AG114)</f>
        <v>413.0194272803767</v>
      </c>
      <c r="AH120" s="175"/>
      <c r="AI120" s="175"/>
      <c r="AM120" s="31" t="s">
        <v>788</v>
      </c>
      <c r="AP120" s="31" t="s">
        <v>788</v>
      </c>
      <c r="AQ120" s="31"/>
      <c r="AR120" s="31"/>
      <c r="AS120" s="698">
        <f>MAX(AS7:AS114)</f>
        <v>126057.99833854387</v>
      </c>
      <c r="AT120" s="238"/>
      <c r="AU120" s="238"/>
      <c r="AV120" s="142">
        <f>MAX(AV7:AV114)</f>
        <v>126057.99833854387</v>
      </c>
      <c r="AW120" s="129"/>
      <c r="AX120" s="129"/>
      <c r="BB120" s="185" t="s">
        <v>788</v>
      </c>
    </row>
    <row r="121" spans="1:58" x14ac:dyDescent="0.3">
      <c r="A121" s="33"/>
      <c r="I121" s="232"/>
      <c r="N121" s="108"/>
      <c r="O121" s="108"/>
      <c r="P121" s="108"/>
      <c r="Q121" s="228"/>
      <c r="R121" s="229"/>
      <c r="S121" s="229"/>
      <c r="T121" s="142"/>
      <c r="U121" s="142"/>
      <c r="V121" s="142"/>
      <c r="W121" s="143"/>
      <c r="X121" s="143"/>
      <c r="Y121" s="143"/>
      <c r="Z121" s="108"/>
      <c r="AA121" s="108"/>
      <c r="AB121" s="108"/>
      <c r="AC121" s="108"/>
      <c r="AD121" s="108"/>
      <c r="AE121" s="693"/>
      <c r="AF121" s="843" t="s">
        <v>1276</v>
      </c>
      <c r="AG121" s="157">
        <f>QUARTILE(AG$7:AG114,3)-QUARTILE(AG$7:AG114,1)</f>
        <v>37.730250934309254</v>
      </c>
      <c r="AH121" s="175"/>
      <c r="AI121" s="175"/>
      <c r="AQ121" s="31"/>
      <c r="AR121" s="31"/>
      <c r="AS121" s="698"/>
      <c r="AT121" s="238"/>
      <c r="AU121" s="843" t="s">
        <v>1276</v>
      </c>
      <c r="AV121" s="157">
        <f>QUARTILE(AV$7:AV114,3)-QUARTILE(AV$7:AV114,1)</f>
        <v>35219.002846110838</v>
      </c>
      <c r="AW121" s="175"/>
      <c r="AX121" s="129"/>
    </row>
    <row r="122" spans="1:58" x14ac:dyDescent="0.3">
      <c r="A122" s="33"/>
      <c r="I122" s="232"/>
      <c r="N122" s="108"/>
      <c r="O122" s="108"/>
      <c r="P122" s="108"/>
      <c r="Q122" s="228"/>
      <c r="R122" s="229"/>
      <c r="S122" s="229"/>
      <c r="T122" s="142"/>
      <c r="U122" s="142"/>
      <c r="V122" s="142"/>
      <c r="W122" s="143"/>
      <c r="X122" s="143"/>
      <c r="Y122" s="143"/>
      <c r="Z122" s="108"/>
      <c r="AA122" s="108"/>
      <c r="AB122" s="108"/>
      <c r="AC122" s="108"/>
      <c r="AD122" s="108"/>
      <c r="AE122" s="693"/>
      <c r="AF122" s="843" t="s">
        <v>1277</v>
      </c>
      <c r="AG122" s="157">
        <f>MAX(AG117-2*AG121,0)</f>
        <v>0</v>
      </c>
      <c r="AH122" s="175"/>
      <c r="AI122" s="175"/>
      <c r="AQ122" s="31"/>
      <c r="AR122" s="31"/>
      <c r="AS122" s="698"/>
      <c r="AT122" s="238"/>
      <c r="AU122" s="843" t="s">
        <v>1277</v>
      </c>
      <c r="AV122" s="157">
        <f>MAX(AV117-2*AV121,0)</f>
        <v>0</v>
      </c>
      <c r="AW122" s="175"/>
      <c r="AX122" s="129"/>
    </row>
    <row r="123" spans="1:58" x14ac:dyDescent="0.3">
      <c r="A123" s="33"/>
      <c r="I123" s="232"/>
      <c r="N123" s="108"/>
      <c r="O123" s="108"/>
      <c r="P123" s="108"/>
      <c r="Q123" s="228"/>
      <c r="R123" s="229"/>
      <c r="S123" s="229"/>
      <c r="T123" s="142"/>
      <c r="U123" s="142"/>
      <c r="V123" s="142"/>
      <c r="W123" s="143"/>
      <c r="X123" s="143"/>
      <c r="Y123" s="143"/>
      <c r="Z123" s="108"/>
      <c r="AA123" s="108"/>
      <c r="AB123" s="108"/>
      <c r="AC123" s="108"/>
      <c r="AD123" s="108"/>
      <c r="AE123" s="693"/>
      <c r="AF123" s="843" t="s">
        <v>1278</v>
      </c>
      <c r="AG123" s="157">
        <f>AG117+2.2*AG121</f>
        <v>99.483989869911412</v>
      </c>
      <c r="AH123" s="844" t="str">
        <f>IF(AG120&gt;AG123,"Outlier Flag","")</f>
        <v>Outlier Flag</v>
      </c>
      <c r="AI123" s="175"/>
      <c r="AQ123" s="31"/>
      <c r="AR123" s="31"/>
      <c r="AS123" s="698"/>
      <c r="AT123" s="238"/>
      <c r="AU123" s="843" t="s">
        <v>1278</v>
      </c>
      <c r="AV123" s="157">
        <f>AV117+2.2*AV121</f>
        <v>86767.409844588459</v>
      </c>
      <c r="AW123" s="844" t="str">
        <f>IF(AV120&gt;AV123,"Outlier Flag","")</f>
        <v>Outlier Flag</v>
      </c>
      <c r="AX123" s="129"/>
    </row>
    <row r="124" spans="1:58" x14ac:dyDescent="0.3">
      <c r="A124" s="33"/>
      <c r="I124" s="232"/>
      <c r="N124" s="108"/>
      <c r="O124" s="108"/>
      <c r="P124" s="108"/>
      <c r="Q124" s="228"/>
      <c r="R124" s="229"/>
      <c r="S124" s="229"/>
      <c r="T124" s="142"/>
      <c r="U124" s="142"/>
      <c r="V124" s="142"/>
      <c r="W124" s="143"/>
      <c r="X124" s="143"/>
      <c r="Y124" s="143"/>
      <c r="Z124" s="108"/>
      <c r="AA124" s="108"/>
      <c r="AB124" s="108"/>
      <c r="AC124" s="108" t="s">
        <v>790</v>
      </c>
      <c r="AD124" s="108"/>
      <c r="AE124" s="693"/>
      <c r="AF124" s="229"/>
      <c r="AG124" s="142">
        <v>17.046894614659987</v>
      </c>
      <c r="AH124" s="175"/>
      <c r="AI124" s="175"/>
      <c r="AP124" s="31" t="s">
        <v>790</v>
      </c>
      <c r="AQ124" s="31"/>
      <c r="AR124" s="31"/>
      <c r="AS124" s="698"/>
      <c r="AT124" s="238"/>
      <c r="AU124" s="238"/>
      <c r="AV124" s="142">
        <v>6812.5049360429912</v>
      </c>
      <c r="AW124" s="129"/>
      <c r="AX124" s="129"/>
    </row>
    <row r="125" spans="1:58" x14ac:dyDescent="0.3">
      <c r="A125" s="33"/>
      <c r="I125" s="232"/>
      <c r="N125" s="108"/>
      <c r="O125" s="108"/>
      <c r="P125" s="108"/>
      <c r="Q125" s="228"/>
      <c r="R125" s="229"/>
      <c r="S125" s="229"/>
      <c r="T125" s="142"/>
      <c r="U125" s="142"/>
      <c r="V125" s="142"/>
      <c r="W125" s="143"/>
      <c r="X125" s="143"/>
      <c r="Y125" s="143"/>
      <c r="Z125" s="108"/>
      <c r="AA125" s="108"/>
      <c r="AB125" s="108"/>
      <c r="AC125" s="108" t="s">
        <v>791</v>
      </c>
      <c r="AD125" s="108"/>
      <c r="AE125" s="693"/>
      <c r="AF125" s="229"/>
      <c r="AG125" s="142">
        <v>19.176117137040936</v>
      </c>
      <c r="AH125" s="175"/>
      <c r="AI125" s="175"/>
      <c r="AP125" s="31" t="s">
        <v>791</v>
      </c>
      <c r="AQ125" s="31"/>
      <c r="AR125" s="31"/>
      <c r="AS125" s="698"/>
      <c r="AT125" s="238"/>
      <c r="AU125" s="238"/>
      <c r="AV125" s="142">
        <v>5106.9614361925178</v>
      </c>
      <c r="AW125" s="129"/>
      <c r="AX125" s="129"/>
    </row>
    <row r="126" spans="1:58" x14ac:dyDescent="0.3">
      <c r="A126" s="33"/>
      <c r="I126" s="232"/>
      <c r="N126" s="108"/>
      <c r="O126" s="108"/>
      <c r="P126" s="108"/>
      <c r="Q126" s="228"/>
      <c r="R126" s="229"/>
      <c r="S126" s="229"/>
      <c r="T126" s="142"/>
      <c r="U126" s="142"/>
      <c r="V126" s="142"/>
      <c r="W126" s="143"/>
      <c r="X126" s="143"/>
      <c r="Y126" s="143"/>
      <c r="Z126" s="108"/>
      <c r="AA126" s="108"/>
      <c r="AB126" s="108"/>
      <c r="AC126" s="108" t="s">
        <v>800</v>
      </c>
      <c r="AD126" s="108"/>
      <c r="AE126" s="693"/>
      <c r="AF126" s="229"/>
      <c r="AG126" s="142">
        <v>11.14800459554187</v>
      </c>
      <c r="AH126" s="175"/>
      <c r="AI126" s="175"/>
      <c r="AP126" s="31" t="s">
        <v>800</v>
      </c>
      <c r="AQ126" s="31"/>
      <c r="AR126" s="31"/>
      <c r="AS126" s="698"/>
      <c r="AT126" s="238"/>
      <c r="AU126" s="238"/>
      <c r="AV126" s="142">
        <v>6504.8834685213915</v>
      </c>
      <c r="AW126" s="129"/>
      <c r="AX126" s="129"/>
    </row>
    <row r="127" spans="1:58" x14ac:dyDescent="0.3">
      <c r="A127" s="33"/>
      <c r="I127" s="232"/>
      <c r="N127" s="108"/>
      <c r="O127" s="108"/>
      <c r="P127" s="108"/>
      <c r="Q127" s="228"/>
      <c r="R127" s="229"/>
      <c r="S127" s="229"/>
      <c r="T127" s="142"/>
      <c r="U127" s="142"/>
      <c r="V127" s="142"/>
      <c r="W127" s="143"/>
      <c r="X127" s="143"/>
      <c r="Y127" s="143"/>
      <c r="Z127" s="108"/>
      <c r="AA127" s="108"/>
      <c r="AB127" s="108"/>
      <c r="AC127" s="108" t="s">
        <v>789</v>
      </c>
      <c r="AD127" s="108"/>
      <c r="AE127" s="693"/>
      <c r="AF127" s="229"/>
      <c r="AG127" s="142">
        <v>18</v>
      </c>
      <c r="AH127" s="175"/>
      <c r="AI127" s="175"/>
      <c r="AP127" s="31" t="s">
        <v>789</v>
      </c>
      <c r="AQ127" s="31"/>
      <c r="AR127" s="31"/>
      <c r="AS127" s="698"/>
      <c r="AT127" s="238"/>
      <c r="AU127" s="238"/>
      <c r="AV127" s="142">
        <v>3</v>
      </c>
      <c r="AW127" s="129"/>
      <c r="AX127" s="129"/>
    </row>
    <row r="128" spans="1:58" x14ac:dyDescent="0.3">
      <c r="A128" s="33"/>
      <c r="I128" s="232"/>
      <c r="N128" s="108"/>
      <c r="O128" s="108"/>
      <c r="P128" s="108"/>
      <c r="Q128" s="228"/>
      <c r="R128" s="229"/>
      <c r="S128" s="229"/>
      <c r="T128" s="142"/>
      <c r="U128" s="142"/>
      <c r="V128" s="142"/>
      <c r="W128" s="143"/>
      <c r="X128" s="143"/>
      <c r="Y128" s="143"/>
      <c r="Z128" s="108"/>
      <c r="AA128" s="108"/>
      <c r="AB128" s="108"/>
      <c r="AC128" s="108" t="s">
        <v>787</v>
      </c>
      <c r="AD128" s="108"/>
      <c r="AE128" s="693"/>
      <c r="AF128" s="229"/>
      <c r="AG128" s="142">
        <v>2.5232016734740042E-4</v>
      </c>
      <c r="AH128" s="175"/>
      <c r="AI128" s="175"/>
      <c r="AP128" s="31" t="s">
        <v>787</v>
      </c>
      <c r="AQ128" s="31"/>
      <c r="AR128" s="31"/>
      <c r="AS128" s="698"/>
      <c r="AT128" s="238"/>
      <c r="AU128" s="238"/>
      <c r="AV128" s="142">
        <v>1866.3076418397741</v>
      </c>
      <c r="AW128" s="129"/>
      <c r="AX128" s="129"/>
    </row>
    <row r="129" spans="1:58" x14ac:dyDescent="0.3">
      <c r="A129" s="33"/>
      <c r="I129" s="232"/>
      <c r="N129" s="108"/>
      <c r="O129" s="108"/>
      <c r="P129" s="108"/>
      <c r="Q129" s="228"/>
      <c r="R129" s="229"/>
      <c r="S129" s="229"/>
      <c r="T129" s="142"/>
      <c r="U129" s="142"/>
      <c r="V129" s="142"/>
      <c r="W129" s="143"/>
      <c r="X129" s="143"/>
      <c r="Y129" s="143"/>
      <c r="Z129" s="108"/>
      <c r="AA129" s="108"/>
      <c r="AB129" s="108"/>
      <c r="AC129" s="108" t="s">
        <v>788</v>
      </c>
      <c r="AD129" s="108"/>
      <c r="AE129" s="693"/>
      <c r="AF129" s="229"/>
      <c r="AG129" s="142">
        <v>69.496170307438163</v>
      </c>
      <c r="AH129" s="175"/>
      <c r="AI129" s="175"/>
      <c r="AP129" s="31" t="s">
        <v>788</v>
      </c>
      <c r="AQ129" s="31"/>
      <c r="AR129" s="31"/>
      <c r="AS129" s="698"/>
      <c r="AT129" s="238"/>
      <c r="AU129" s="238"/>
      <c r="AV129" s="142">
        <v>12066.32369776781</v>
      </c>
      <c r="AW129" s="129"/>
      <c r="AX129" s="129"/>
    </row>
    <row r="130" spans="1:58" s="26" customFormat="1" ht="15" thickBot="1" x14ac:dyDescent="0.35">
      <c r="A130" s="66"/>
      <c r="B130" s="67" t="s">
        <v>1108</v>
      </c>
      <c r="C130" s="67"/>
      <c r="D130" s="67"/>
      <c r="E130" s="67"/>
      <c r="F130" s="67"/>
      <c r="G130" s="67"/>
      <c r="H130" s="67"/>
      <c r="I130" s="230"/>
      <c r="J130" s="67"/>
      <c r="K130" s="67"/>
      <c r="L130" s="67"/>
      <c r="M130" s="67"/>
      <c r="N130" s="67"/>
      <c r="O130" s="67"/>
      <c r="P130" s="67"/>
      <c r="Q130" s="230"/>
      <c r="R130" s="230"/>
      <c r="S130" s="230"/>
      <c r="T130" s="67"/>
      <c r="U130" s="67"/>
      <c r="V130" s="67"/>
      <c r="W130" s="67"/>
      <c r="X130" s="67"/>
      <c r="Y130" s="67"/>
      <c r="Z130" s="67"/>
      <c r="AA130" s="67"/>
      <c r="AB130" s="67"/>
      <c r="AC130" s="67"/>
      <c r="AD130" s="67"/>
      <c r="AE130" s="230"/>
      <c r="AF130" s="230"/>
      <c r="AG130" s="178"/>
      <c r="AH130" s="178"/>
      <c r="AI130" s="178"/>
      <c r="AJ130" s="178"/>
      <c r="AK130" s="178"/>
      <c r="AL130" s="178"/>
      <c r="AM130" s="67"/>
      <c r="AN130" s="67"/>
      <c r="AO130" s="67"/>
      <c r="AP130" s="67"/>
      <c r="AQ130" s="67"/>
      <c r="AR130" s="67"/>
      <c r="AS130" s="230"/>
      <c r="AT130" s="230"/>
      <c r="AU130" s="230"/>
      <c r="AV130" s="67"/>
      <c r="AW130" s="67"/>
      <c r="AX130" s="67"/>
      <c r="AY130" s="67"/>
      <c r="AZ130" s="67"/>
      <c r="BA130" s="67"/>
      <c r="BB130" s="67"/>
      <c r="BC130" s="67"/>
      <c r="BD130" s="67"/>
      <c r="BE130" s="67"/>
      <c r="BF130" s="67"/>
    </row>
    <row r="131" spans="1:58" s="8" customFormat="1" ht="15" thickTop="1" x14ac:dyDescent="0.3">
      <c r="A131" s="36">
        <v>10</v>
      </c>
      <c r="B131" s="37" t="s">
        <v>344</v>
      </c>
      <c r="C131" s="37" t="s">
        <v>345</v>
      </c>
      <c r="D131" s="38"/>
      <c r="E131" s="37" t="s">
        <v>349</v>
      </c>
      <c r="F131" s="37" t="s">
        <v>350</v>
      </c>
      <c r="G131" s="37">
        <v>25</v>
      </c>
      <c r="H131" s="37">
        <f>G131+273.15</f>
        <v>298.14999999999998</v>
      </c>
      <c r="I131" s="214">
        <f>-LOG10(EXP(LN(10^-14)+13.36*(1/298.15-1/H131)/0.0019872))</f>
        <v>14</v>
      </c>
      <c r="J131" s="812">
        <v>24.89</v>
      </c>
      <c r="K131" s="37"/>
      <c r="L131" s="37"/>
      <c r="M131" s="37"/>
      <c r="N131" s="37"/>
      <c r="O131" s="89"/>
      <c r="P131" s="90"/>
      <c r="Q131" s="214"/>
      <c r="R131" s="215"/>
      <c r="S131" s="215"/>
      <c r="T131" s="120"/>
      <c r="U131" s="120"/>
      <c r="V131" s="120"/>
      <c r="W131" s="121"/>
      <c r="X131" s="121"/>
      <c r="Y131" s="121"/>
      <c r="Z131" s="37">
        <v>7</v>
      </c>
      <c r="AA131" s="37"/>
      <c r="AB131" s="37">
        <f>1.83*10^-8</f>
        <v>1.8300000000000002E-8</v>
      </c>
      <c r="AC131" s="37" t="s">
        <v>611</v>
      </c>
      <c r="AD131" s="90">
        <f>AB131/60</f>
        <v>3.0500000000000003E-10</v>
      </c>
      <c r="AE131" s="218">
        <f>(LN(2)/AF131)/(60*60*24)</f>
        <v>26303.399383725926</v>
      </c>
      <c r="AF131" s="215">
        <f>EXP(LN(AD131)+$J131*(1/$H131-1/298.15)/0.0019872)</f>
        <v>3.0499999999999983E-10</v>
      </c>
      <c r="AG131" s="163">
        <f>AE131</f>
        <v>26303.399383725926</v>
      </c>
      <c r="AH131" s="158"/>
      <c r="AI131" s="158"/>
      <c r="AJ131" s="159"/>
      <c r="AK131" s="159"/>
      <c r="AL131" s="159"/>
      <c r="AM131" s="37"/>
      <c r="AN131" s="37"/>
      <c r="AO131" s="37"/>
      <c r="AP131" s="37"/>
      <c r="AQ131" s="89"/>
      <c r="AR131" s="89"/>
      <c r="AS131" s="214"/>
      <c r="AT131" s="215"/>
      <c r="AU131" s="215"/>
      <c r="AV131" s="120"/>
      <c r="AW131" s="120"/>
      <c r="AX131" s="120"/>
      <c r="AY131" s="37"/>
      <c r="AZ131" s="37"/>
      <c r="BA131" s="37"/>
      <c r="BB131" s="186" t="s">
        <v>351</v>
      </c>
      <c r="BC131" s="186"/>
      <c r="BD131" s="186"/>
      <c r="BE131" s="37"/>
      <c r="BF131" s="37"/>
    </row>
    <row r="132" spans="1:58" s="7" customFormat="1" ht="15" thickBot="1" x14ac:dyDescent="0.35">
      <c r="A132" s="52"/>
      <c r="B132" s="54"/>
      <c r="C132" s="54"/>
      <c r="D132" s="55"/>
      <c r="E132" s="54"/>
      <c r="F132" s="54"/>
      <c r="G132" s="54"/>
      <c r="H132" s="54"/>
      <c r="I132" s="223"/>
      <c r="J132" s="54"/>
      <c r="K132" s="54"/>
      <c r="L132" s="54"/>
      <c r="M132" s="54"/>
      <c r="N132" s="54"/>
      <c r="O132" s="101"/>
      <c r="P132" s="102"/>
      <c r="Q132" s="223"/>
      <c r="R132" s="224"/>
      <c r="S132" s="224"/>
      <c r="T132" s="135"/>
      <c r="U132" s="135"/>
      <c r="V132" s="135"/>
      <c r="W132" s="136"/>
      <c r="X132" s="136"/>
      <c r="Y132" s="136"/>
      <c r="Z132" s="54"/>
      <c r="AA132" s="54"/>
      <c r="AB132" s="54"/>
      <c r="AC132" s="54"/>
      <c r="AD132" s="102"/>
      <c r="AE132" s="223"/>
      <c r="AF132" s="224"/>
      <c r="AG132" s="166"/>
      <c r="AH132" s="166"/>
      <c r="AI132" s="166"/>
      <c r="AJ132" s="167"/>
      <c r="AK132" s="167"/>
      <c r="AL132" s="167"/>
      <c r="AM132" s="54"/>
      <c r="AN132" s="54"/>
      <c r="AO132" s="54"/>
      <c r="AP132" s="54"/>
      <c r="AQ132" s="101"/>
      <c r="AR132" s="101"/>
      <c r="AS132" s="223"/>
      <c r="AT132" s="224"/>
      <c r="AU132" s="224"/>
      <c r="AV132" s="135"/>
      <c r="AW132" s="135"/>
      <c r="AX132" s="135"/>
      <c r="AY132" s="54"/>
      <c r="AZ132" s="54"/>
      <c r="BA132" s="54"/>
      <c r="BB132" s="189"/>
      <c r="BC132" s="189"/>
      <c r="BD132" s="189"/>
      <c r="BE132" s="54"/>
      <c r="BF132" s="54"/>
    </row>
    <row r="133" spans="1:58" ht="15" thickTop="1" x14ac:dyDescent="0.3">
      <c r="A133" s="33"/>
      <c r="I133" s="232"/>
      <c r="N133" s="108" t="s">
        <v>790</v>
      </c>
      <c r="O133" s="108"/>
      <c r="P133" s="108"/>
      <c r="Q133" s="228"/>
      <c r="R133" s="229"/>
      <c r="S133" s="229"/>
      <c r="T133" s="142"/>
      <c r="U133" s="142"/>
      <c r="V133" s="142"/>
      <c r="W133" s="143"/>
      <c r="X133" s="143"/>
      <c r="Y133" s="143"/>
      <c r="Z133" s="108" t="s">
        <v>790</v>
      </c>
      <c r="AA133" s="108"/>
      <c r="AB133" s="108"/>
      <c r="AC133" s="108" t="s">
        <v>790</v>
      </c>
      <c r="AD133" s="108"/>
      <c r="AE133" s="693">
        <f>AVERAGE(AE131)</f>
        <v>26303.399383725926</v>
      </c>
      <c r="AF133" s="229"/>
      <c r="AG133" s="142">
        <f>AVERAGE(AG131)</f>
        <v>26303.399383725926</v>
      </c>
      <c r="AH133" s="173"/>
      <c r="AI133" s="173"/>
      <c r="AJ133" s="174"/>
      <c r="AK133" s="174"/>
      <c r="AL133" s="174"/>
      <c r="AM133" s="115" t="s">
        <v>790</v>
      </c>
      <c r="AN133" s="115"/>
      <c r="AO133" s="115"/>
      <c r="AP133" s="115" t="s">
        <v>790</v>
      </c>
      <c r="AQ133" s="115"/>
      <c r="AR133" s="115"/>
      <c r="AS133" s="697"/>
      <c r="AT133" s="236"/>
      <c r="AU133" s="236"/>
      <c r="AV133" s="142"/>
      <c r="AW133" s="152"/>
      <c r="AX133" s="152"/>
      <c r="BB133" s="192" t="s">
        <v>790</v>
      </c>
    </row>
    <row r="134" spans="1:58" x14ac:dyDescent="0.3">
      <c r="A134" s="33"/>
      <c r="I134" s="232"/>
      <c r="N134" s="108" t="s">
        <v>791</v>
      </c>
      <c r="O134" s="108"/>
      <c r="P134" s="108"/>
      <c r="Q134" s="229"/>
      <c r="R134" s="229"/>
      <c r="S134" s="229"/>
      <c r="T134" s="142"/>
      <c r="U134" s="142"/>
      <c r="V134" s="142"/>
      <c r="W134" s="143"/>
      <c r="X134" s="143"/>
      <c r="Y134" s="143"/>
      <c r="Z134" s="108" t="s">
        <v>791</v>
      </c>
      <c r="AA134" s="108"/>
      <c r="AB134" s="108"/>
      <c r="AC134" s="108" t="s">
        <v>791</v>
      </c>
      <c r="AD134" s="108"/>
      <c r="AE134" s="693" t="e">
        <f>STDEV(AE131)</f>
        <v>#DIV/0!</v>
      </c>
      <c r="AF134" s="229"/>
      <c r="AG134" s="142" t="e">
        <f>STDEV(AG131)</f>
        <v>#DIV/0!</v>
      </c>
      <c r="AH134" s="173"/>
      <c r="AI134" s="173"/>
      <c r="AJ134" s="174"/>
      <c r="AK134" s="174"/>
      <c r="AL134" s="174"/>
      <c r="AM134" s="115" t="s">
        <v>791</v>
      </c>
      <c r="AN134" s="115"/>
      <c r="AO134" s="115"/>
      <c r="AP134" s="115" t="s">
        <v>791</v>
      </c>
      <c r="AQ134" s="115"/>
      <c r="AR134" s="115"/>
      <c r="AS134" s="236"/>
      <c r="AT134" s="236"/>
      <c r="AU134" s="236"/>
      <c r="AV134" s="142"/>
      <c r="AW134" s="152"/>
      <c r="AX134" s="152"/>
      <c r="BB134" s="192" t="s">
        <v>791</v>
      </c>
    </row>
    <row r="135" spans="1:58" x14ac:dyDescent="0.3">
      <c r="A135" s="33"/>
      <c r="I135" s="232"/>
      <c r="N135" s="108" t="s">
        <v>800</v>
      </c>
      <c r="O135" s="108"/>
      <c r="P135" s="108"/>
      <c r="Q135" s="228"/>
      <c r="R135" s="229"/>
      <c r="S135" s="229"/>
      <c r="T135" s="142"/>
      <c r="U135" s="142"/>
      <c r="V135" s="142"/>
      <c r="W135" s="143"/>
      <c r="X135" s="143"/>
      <c r="Y135" s="143"/>
      <c r="Z135" s="108" t="s">
        <v>800</v>
      </c>
      <c r="AA135" s="108"/>
      <c r="AB135" s="108"/>
      <c r="AC135" s="108" t="s">
        <v>800</v>
      </c>
      <c r="AD135" s="108"/>
      <c r="AE135" s="693">
        <f>MEDIAN(AE131)</f>
        <v>26303.399383725926</v>
      </c>
      <c r="AF135" s="229"/>
      <c r="AG135" s="142">
        <f>MEDIAN(AG131)</f>
        <v>26303.399383725926</v>
      </c>
      <c r="AH135" s="175"/>
      <c r="AI135" s="175"/>
      <c r="AM135" s="31" t="s">
        <v>800</v>
      </c>
      <c r="AP135" s="31" t="s">
        <v>800</v>
      </c>
      <c r="AQ135" s="31"/>
      <c r="AR135" s="31"/>
      <c r="AS135" s="698"/>
      <c r="AT135" s="238"/>
      <c r="AU135" s="238"/>
      <c r="AV135" s="142"/>
      <c r="AW135" s="129"/>
      <c r="AX135" s="129"/>
      <c r="BB135" s="185" t="s">
        <v>800</v>
      </c>
    </row>
    <row r="136" spans="1:58" x14ac:dyDescent="0.3">
      <c r="A136" s="33"/>
      <c r="I136" s="232"/>
      <c r="N136" s="108" t="s">
        <v>789</v>
      </c>
      <c r="O136" s="108"/>
      <c r="P136" s="108"/>
      <c r="Q136" s="229"/>
      <c r="R136" s="229"/>
      <c r="S136" s="229"/>
      <c r="T136" s="144"/>
      <c r="U136" s="142"/>
      <c r="V136" s="142"/>
      <c r="W136" s="143"/>
      <c r="X136" s="143"/>
      <c r="Y136" s="143"/>
      <c r="Z136" s="108" t="s">
        <v>789</v>
      </c>
      <c r="AA136" s="108"/>
      <c r="AB136" s="108"/>
      <c r="AC136" s="108" t="s">
        <v>789</v>
      </c>
      <c r="AD136" s="108"/>
      <c r="AE136" s="694">
        <f>COUNT(AE131)</f>
        <v>1</v>
      </c>
      <c r="AF136" s="229"/>
      <c r="AG136" s="176">
        <f>COUNT(AG131)</f>
        <v>1</v>
      </c>
      <c r="AH136" s="175"/>
      <c r="AI136" s="175"/>
      <c r="AM136" s="31" t="s">
        <v>789</v>
      </c>
      <c r="AP136" s="31" t="s">
        <v>789</v>
      </c>
      <c r="AQ136" s="31"/>
      <c r="AR136" s="31"/>
      <c r="AS136" s="238"/>
      <c r="AT136" s="238"/>
      <c r="AU136" s="238"/>
      <c r="AV136" s="144"/>
      <c r="AW136" s="129"/>
      <c r="AX136" s="129"/>
      <c r="BB136" s="185" t="s">
        <v>789</v>
      </c>
    </row>
    <row r="137" spans="1:58" x14ac:dyDescent="0.3">
      <c r="A137" s="33"/>
      <c r="I137" s="232"/>
      <c r="N137" s="108" t="s">
        <v>787</v>
      </c>
      <c r="O137" s="108"/>
      <c r="P137" s="108"/>
      <c r="Q137" s="228"/>
      <c r="R137" s="229"/>
      <c r="S137" s="229"/>
      <c r="T137" s="142"/>
      <c r="U137" s="142"/>
      <c r="V137" s="142"/>
      <c r="W137" s="143"/>
      <c r="X137" s="143"/>
      <c r="Y137" s="143"/>
      <c r="Z137" s="108" t="s">
        <v>787</v>
      </c>
      <c r="AA137" s="108"/>
      <c r="AB137" s="108"/>
      <c r="AC137" s="108" t="s">
        <v>787</v>
      </c>
      <c r="AD137" s="108"/>
      <c r="AE137" s="693">
        <f>MIN(AE131)</f>
        <v>26303.399383725926</v>
      </c>
      <c r="AF137" s="229"/>
      <c r="AG137" s="142">
        <f>MIN(AG131)</f>
        <v>26303.399383725926</v>
      </c>
      <c r="AH137" s="175"/>
      <c r="AI137" s="175"/>
      <c r="AM137" s="31" t="s">
        <v>787</v>
      </c>
      <c r="AP137" s="31" t="s">
        <v>787</v>
      </c>
      <c r="AQ137" s="31"/>
      <c r="AR137" s="31"/>
      <c r="AS137" s="703"/>
      <c r="AT137" s="238"/>
      <c r="AU137" s="238"/>
      <c r="AV137" s="240"/>
      <c r="AW137" s="129"/>
      <c r="AX137" s="129"/>
      <c r="BB137" s="185" t="s">
        <v>787</v>
      </c>
    </row>
    <row r="138" spans="1:58" x14ac:dyDescent="0.3">
      <c r="A138" s="33"/>
      <c r="I138" s="232"/>
      <c r="N138" s="108" t="s">
        <v>788</v>
      </c>
      <c r="O138" s="108"/>
      <c r="P138" s="108"/>
      <c r="Q138" s="228"/>
      <c r="R138" s="229"/>
      <c r="S138" s="229"/>
      <c r="T138" s="142"/>
      <c r="U138" s="142"/>
      <c r="V138" s="142"/>
      <c r="W138" s="143"/>
      <c r="X138" s="143"/>
      <c r="Y138" s="143"/>
      <c r="Z138" s="108" t="s">
        <v>788</v>
      </c>
      <c r="AA138" s="108"/>
      <c r="AB138" s="108"/>
      <c r="AC138" s="108" t="s">
        <v>788</v>
      </c>
      <c r="AD138" s="108"/>
      <c r="AE138" s="693">
        <f>MAX(AE131)</f>
        <v>26303.399383725926</v>
      </c>
      <c r="AF138" s="229"/>
      <c r="AG138" s="142">
        <f>MAX(AG131)</f>
        <v>26303.399383725926</v>
      </c>
      <c r="AH138" s="175"/>
      <c r="AI138" s="175"/>
      <c r="AM138" s="31" t="s">
        <v>788</v>
      </c>
      <c r="AP138" s="31" t="s">
        <v>788</v>
      </c>
      <c r="AQ138" s="31"/>
      <c r="AR138" s="31"/>
      <c r="AS138" s="698"/>
      <c r="AT138" s="238"/>
      <c r="AU138" s="238"/>
      <c r="AV138" s="142"/>
      <c r="AW138" s="129"/>
      <c r="AX138" s="129"/>
      <c r="BB138" s="185" t="s">
        <v>788</v>
      </c>
    </row>
    <row r="139" spans="1:58" ht="15" thickBot="1" x14ac:dyDescent="0.35">
      <c r="A139" s="33"/>
      <c r="I139" s="232"/>
      <c r="O139" s="86"/>
      <c r="P139" s="87"/>
      <c r="Q139" s="208"/>
      <c r="R139" s="209"/>
      <c r="S139" s="209"/>
      <c r="T139" s="118"/>
      <c r="U139" s="118"/>
      <c r="V139" s="118"/>
      <c r="W139" s="119"/>
      <c r="X139" s="119"/>
      <c r="Y139" s="119"/>
      <c r="AD139" s="87"/>
      <c r="AE139" s="208"/>
      <c r="AF139" s="209"/>
      <c r="AQ139" s="86"/>
      <c r="AR139" s="86"/>
      <c r="AS139" s="208"/>
      <c r="AT139" s="209"/>
      <c r="AU139" s="209"/>
      <c r="AV139" s="118"/>
      <c r="AW139" s="118"/>
      <c r="AX139" s="118"/>
    </row>
    <row r="140" spans="1:58" s="27" customFormat="1" ht="15" thickTop="1" x14ac:dyDescent="0.3">
      <c r="A140" s="68"/>
      <c r="B140" s="69" t="s">
        <v>1109</v>
      </c>
      <c r="C140" s="70"/>
      <c r="D140" s="70"/>
      <c r="E140" s="70"/>
      <c r="F140" s="70"/>
      <c r="G140" s="70"/>
      <c r="H140" s="70"/>
      <c r="I140" s="231"/>
      <c r="J140" s="70"/>
      <c r="K140" s="70"/>
      <c r="L140" s="70"/>
      <c r="M140" s="70"/>
      <c r="N140" s="70"/>
      <c r="O140" s="70"/>
      <c r="P140" s="70"/>
      <c r="Q140" s="231"/>
      <c r="R140" s="231"/>
      <c r="S140" s="231"/>
      <c r="T140" s="70"/>
      <c r="U140" s="70"/>
      <c r="V140" s="70"/>
      <c r="W140" s="70"/>
      <c r="X140" s="70"/>
      <c r="Y140" s="70"/>
      <c r="Z140" s="70"/>
      <c r="AA140" s="70"/>
      <c r="AB140" s="145"/>
      <c r="AC140" s="70"/>
      <c r="AD140" s="70"/>
      <c r="AE140" s="231"/>
      <c r="AF140" s="231"/>
      <c r="AG140" s="179"/>
      <c r="AH140" s="179"/>
      <c r="AI140" s="179"/>
      <c r="AJ140" s="179"/>
      <c r="AK140" s="179"/>
      <c r="AL140" s="179"/>
      <c r="AM140" s="70"/>
      <c r="AN140" s="70"/>
      <c r="AO140" s="70"/>
      <c r="AP140" s="70"/>
      <c r="AQ140" s="70"/>
      <c r="AR140" s="70"/>
      <c r="AS140" s="231"/>
      <c r="AT140" s="231"/>
      <c r="AU140" s="231"/>
      <c r="AV140" s="70"/>
      <c r="AW140" s="70"/>
      <c r="AX140" s="70"/>
      <c r="AY140" s="70"/>
      <c r="AZ140" s="70"/>
      <c r="BA140" s="70"/>
      <c r="BB140" s="70"/>
      <c r="BC140" s="70"/>
      <c r="BD140" s="70"/>
      <c r="BE140" s="70"/>
      <c r="BF140" s="70"/>
    </row>
    <row r="141" spans="1:58" s="5" customFormat="1" x14ac:dyDescent="0.3">
      <c r="A141" s="71"/>
      <c r="B141" s="72"/>
      <c r="C141" s="40"/>
      <c r="D141" s="32"/>
      <c r="E141" s="40"/>
      <c r="F141" s="40"/>
      <c r="G141" s="40"/>
      <c r="H141" s="40"/>
      <c r="I141" s="208"/>
      <c r="J141" s="40"/>
      <c r="K141" s="40"/>
      <c r="L141" s="40"/>
      <c r="M141" s="40"/>
      <c r="N141" s="40"/>
      <c r="O141" s="40"/>
      <c r="P141" s="40"/>
      <c r="Q141" s="232"/>
      <c r="R141" s="232"/>
      <c r="S141" s="232"/>
      <c r="T141" s="40"/>
      <c r="U141" s="40"/>
      <c r="V141" s="40"/>
      <c r="W141" s="40"/>
      <c r="X141" s="40"/>
      <c r="Y141" s="40"/>
      <c r="Z141" s="40"/>
      <c r="AA141" s="40"/>
      <c r="AB141" s="146"/>
      <c r="AC141" s="40"/>
      <c r="AD141" s="40"/>
      <c r="AE141" s="232"/>
      <c r="AF141" s="232"/>
      <c r="AG141" s="157"/>
      <c r="AH141" s="157"/>
      <c r="AI141" s="157"/>
      <c r="AJ141" s="157"/>
      <c r="AK141" s="157"/>
      <c r="AL141" s="157"/>
      <c r="AM141" s="40"/>
      <c r="AN141" s="40"/>
      <c r="AO141" s="40"/>
      <c r="AP141" s="40"/>
      <c r="AQ141" s="40"/>
      <c r="AR141" s="40"/>
      <c r="AS141" s="232"/>
      <c r="AT141" s="232"/>
      <c r="AU141" s="232"/>
      <c r="AV141" s="40"/>
      <c r="AW141" s="40"/>
      <c r="AX141" s="40"/>
      <c r="AY141" s="40"/>
      <c r="AZ141" s="40"/>
      <c r="BA141" s="40"/>
      <c r="BB141" s="185"/>
      <c r="BC141" s="185"/>
      <c r="BD141" s="185"/>
      <c r="BE141" s="40"/>
      <c r="BF141" s="40"/>
    </row>
    <row r="142" spans="1:58" x14ac:dyDescent="0.3">
      <c r="A142" s="33"/>
      <c r="B142" s="29" t="s">
        <v>1112</v>
      </c>
      <c r="I142" s="208"/>
      <c r="Q142" s="208"/>
      <c r="R142" s="208"/>
      <c r="S142" s="208"/>
      <c r="AE142" s="208"/>
      <c r="AF142" s="208"/>
      <c r="AS142" s="208"/>
      <c r="AT142" s="208"/>
      <c r="AU142" s="208"/>
    </row>
    <row r="143" spans="1:58" x14ac:dyDescent="0.3">
      <c r="A143" s="33"/>
      <c r="I143" s="208"/>
      <c r="Q143" s="208"/>
      <c r="R143" s="208"/>
      <c r="S143" s="208"/>
      <c r="AE143" s="208"/>
      <c r="AF143" s="208"/>
      <c r="AS143" s="208"/>
      <c r="AT143" s="208"/>
      <c r="AU143" s="208"/>
    </row>
    <row r="144" spans="1:58" x14ac:dyDescent="0.3">
      <c r="A144" s="33"/>
      <c r="I144" s="208"/>
      <c r="Q144" s="208"/>
      <c r="R144" s="208"/>
      <c r="S144" s="208"/>
      <c r="AE144" s="208"/>
      <c r="AF144" s="208"/>
      <c r="AS144" s="208"/>
      <c r="AT144" s="208"/>
      <c r="AU144" s="208"/>
    </row>
    <row r="145" spans="1:58" x14ac:dyDescent="0.3">
      <c r="A145" s="33">
        <v>6</v>
      </c>
      <c r="B145" s="31" t="s">
        <v>335</v>
      </c>
      <c r="C145" s="31" t="s">
        <v>336</v>
      </c>
      <c r="E145" s="31" t="s">
        <v>337</v>
      </c>
      <c r="F145" s="31" t="s">
        <v>1268</v>
      </c>
      <c r="G145" s="31">
        <v>25</v>
      </c>
      <c r="H145" s="31">
        <f>G145+273.15</f>
        <v>298.14999999999998</v>
      </c>
      <c r="I145" s="208">
        <f>-LOG10(EXP(LN(10^-14)+13.36*(1/298.15-1/H145)/0.0019872))</f>
        <v>14</v>
      </c>
      <c r="J145" s="91">
        <v>26.5</v>
      </c>
      <c r="O145" s="86"/>
      <c r="P145" s="87"/>
      <c r="Q145" s="208"/>
      <c r="R145" s="209"/>
      <c r="S145" s="209"/>
      <c r="T145" s="118"/>
      <c r="U145" s="118"/>
      <c r="V145" s="118"/>
      <c r="W145" s="119"/>
      <c r="X145" s="119"/>
      <c r="Y145" s="119"/>
      <c r="Z145" s="31">
        <v>7</v>
      </c>
      <c r="AB145" s="103">
        <v>3.9E-2</v>
      </c>
      <c r="AC145" s="31" t="s">
        <v>623</v>
      </c>
      <c r="AD145" s="86">
        <f>AB145/30.5/24/60/60</f>
        <v>1.4799635701275044E-8</v>
      </c>
      <c r="AE145" s="219">
        <f>(LN(2)/AF145)/(60*60*24)</f>
        <v>542.07664120713719</v>
      </c>
      <c r="AF145" s="209">
        <f>EXP(LN(AD145)+$J145*(1/$H145-1/298.15)/0.0019872)</f>
        <v>1.4799635701275033E-8</v>
      </c>
      <c r="AG145" s="170">
        <f>AVERAGE(AE145:AE146)</f>
        <v>56028.358793074178</v>
      </c>
      <c r="AH145" s="170">
        <f>MEDIAN(AE145:AE146)</f>
        <v>56028.358793074178</v>
      </c>
      <c r="AI145" s="156">
        <f>STDEV(AE145:AE146)</f>
        <v>78469.45274483056</v>
      </c>
      <c r="AP145" s="103"/>
      <c r="AQ145" s="86"/>
      <c r="AR145" s="86"/>
      <c r="AS145" s="208"/>
      <c r="AT145" s="209"/>
      <c r="AU145" s="209"/>
      <c r="AV145" s="118"/>
      <c r="AW145" s="118"/>
      <c r="AX145" s="118"/>
    </row>
    <row r="146" spans="1:58" x14ac:dyDescent="0.3">
      <c r="A146" s="33"/>
      <c r="E146" s="31" t="s">
        <v>550</v>
      </c>
      <c r="F146" s="31" t="s">
        <v>697</v>
      </c>
      <c r="G146" s="31">
        <v>100</v>
      </c>
      <c r="H146" s="31">
        <f>G146+273.15</f>
        <v>373.15</v>
      </c>
      <c r="I146" s="208">
        <f>-LOG10(EXP(LN(10^-14)+13.36*(1/298.15-1/H146)/0.0019872))</f>
        <v>12.031695910973252</v>
      </c>
      <c r="J146" s="91">
        <v>26.5</v>
      </c>
      <c r="O146" s="86"/>
      <c r="P146" s="87"/>
      <c r="Q146" s="208"/>
      <c r="R146" s="209"/>
      <c r="S146" s="209"/>
      <c r="T146" s="118"/>
      <c r="U146" s="118"/>
      <c r="V146" s="118"/>
      <c r="W146" s="119"/>
      <c r="X146" s="119"/>
      <c r="Y146" s="119"/>
      <c r="AB146" s="130">
        <v>5.7700000000000004E-7</v>
      </c>
      <c r="AC146" s="31" t="s">
        <v>600</v>
      </c>
      <c r="AD146" s="86">
        <f>AB146</f>
        <v>5.7700000000000004E-7</v>
      </c>
      <c r="AE146" s="219">
        <f>(LN(2)/AF146)/(60*60*24)</f>
        <v>111514.64094494122</v>
      </c>
      <c r="AF146" s="209">
        <f>EXP(LN(AD146)+$J146*(1/$H146-1/298.15)/0.0019872)</f>
        <v>7.1941556230247991E-11</v>
      </c>
      <c r="AQ146" s="86"/>
      <c r="AR146" s="86"/>
      <c r="AS146" s="219"/>
      <c r="AT146" s="209"/>
      <c r="AU146" s="209"/>
      <c r="AV146" s="118"/>
      <c r="AW146" s="118"/>
      <c r="AX146" s="118"/>
    </row>
    <row r="147" spans="1:58" x14ac:dyDescent="0.3">
      <c r="A147" s="33"/>
      <c r="E147" s="31" t="s">
        <v>550</v>
      </c>
      <c r="F147" s="31" t="s">
        <v>658</v>
      </c>
      <c r="G147" s="31">
        <v>100</v>
      </c>
      <c r="H147" s="31">
        <f>G147+273.15</f>
        <v>373.15</v>
      </c>
      <c r="I147" s="208">
        <f>-LOG10(EXP(LN(10^-14)+13.36*(1/298.15-1/H147)/0.0019872))</f>
        <v>12.031695910973252</v>
      </c>
      <c r="J147" s="91">
        <v>26.2</v>
      </c>
      <c r="O147" s="86"/>
      <c r="P147" s="87"/>
      <c r="Q147" s="208"/>
      <c r="R147" s="209"/>
      <c r="S147" s="209"/>
      <c r="T147" s="118"/>
      <c r="U147" s="118"/>
      <c r="V147" s="118"/>
      <c r="W147" s="119"/>
      <c r="X147" s="119"/>
      <c r="Y147" s="119"/>
      <c r="AD147" s="87"/>
      <c r="AE147" s="208"/>
      <c r="AF147" s="209"/>
      <c r="AM147" s="31" t="s">
        <v>655</v>
      </c>
      <c r="AO147" s="103">
        <v>1.6100000000000001E-4</v>
      </c>
      <c r="AP147" s="31" t="s">
        <v>656</v>
      </c>
      <c r="AQ147" s="86">
        <f>AR147*10^(9-I147)</f>
        <v>1.4966834800067872E-7</v>
      </c>
      <c r="AR147" s="86">
        <f>AO147</f>
        <v>1.6100000000000001E-4</v>
      </c>
      <c r="AS147" s="653">
        <f>(LN(2)/AT147)/(60*60*24)</f>
        <v>36098020.097215608</v>
      </c>
      <c r="AT147" s="209">
        <f>AU147*10^(9-14)</f>
        <v>2.2224312553516516E-13</v>
      </c>
      <c r="AU147" s="209">
        <f>EXP(LN(AR147)+$J147*(1/$H147-1/298.15)/0.0019872)</f>
        <v>2.2224312553516514E-8</v>
      </c>
      <c r="AV147" s="118">
        <f>AS147</f>
        <v>36098020.097215608</v>
      </c>
      <c r="AW147" s="118"/>
      <c r="AX147" s="118"/>
    </row>
    <row r="148" spans="1:58" ht="15" thickBot="1" x14ac:dyDescent="0.35">
      <c r="A148" s="33"/>
      <c r="I148" s="208"/>
      <c r="J148" s="91"/>
      <c r="O148" s="86"/>
      <c r="P148" s="87"/>
      <c r="Q148" s="208"/>
      <c r="R148" s="209"/>
      <c r="S148" s="209"/>
      <c r="T148" s="118"/>
      <c r="U148" s="118"/>
      <c r="V148" s="118"/>
      <c r="W148" s="119"/>
      <c r="X148" s="119"/>
      <c r="Y148" s="119"/>
      <c r="AB148" s="103"/>
      <c r="AD148" s="86"/>
      <c r="AE148" s="208"/>
      <c r="AF148" s="209"/>
      <c r="AQ148" s="86"/>
      <c r="AR148" s="86"/>
      <c r="AS148" s="208"/>
      <c r="AT148" s="209"/>
      <c r="AU148" s="209"/>
      <c r="AV148" s="118"/>
      <c r="AW148" s="118"/>
      <c r="AX148" s="118"/>
    </row>
    <row r="149" spans="1:58" s="8" customFormat="1" x14ac:dyDescent="0.3">
      <c r="A149" s="36">
        <v>7</v>
      </c>
      <c r="B149" s="37" t="s">
        <v>338</v>
      </c>
      <c r="C149" s="37" t="s">
        <v>339</v>
      </c>
      <c r="D149" s="38"/>
      <c r="E149" s="37" t="s">
        <v>337</v>
      </c>
      <c r="F149" s="37"/>
      <c r="G149" s="37">
        <v>25</v>
      </c>
      <c r="H149" s="37">
        <f>G149+273.15</f>
        <v>298.14999999999998</v>
      </c>
      <c r="I149" s="214">
        <f>-LOG10(EXP(LN(10^-14)+13.36*(1/298.15-1/H149)/0.0019872))</f>
        <v>14</v>
      </c>
      <c r="J149" s="96">
        <v>24.89</v>
      </c>
      <c r="K149" s="37"/>
      <c r="L149" s="37"/>
      <c r="M149" s="37"/>
      <c r="N149" s="37"/>
      <c r="O149" s="89"/>
      <c r="P149" s="90"/>
      <c r="Q149" s="214"/>
      <c r="R149" s="215"/>
      <c r="S149" s="215"/>
      <c r="T149" s="120"/>
      <c r="U149" s="120"/>
      <c r="V149" s="120"/>
      <c r="W149" s="121"/>
      <c r="X149" s="121"/>
      <c r="Y149" s="121"/>
      <c r="Z149" s="37">
        <v>7</v>
      </c>
      <c r="AA149" s="37"/>
      <c r="AB149" s="122">
        <v>4.4999999999999998E-2</v>
      </c>
      <c r="AC149" s="37" t="s">
        <v>623</v>
      </c>
      <c r="AD149" s="89">
        <f>AB149/30.5/24/60/60</f>
        <v>1.707650273224044E-8</v>
      </c>
      <c r="AE149" s="218">
        <f>(LN(2)/AF149)/(60*60*24)</f>
        <v>469.79975571285172</v>
      </c>
      <c r="AF149" s="215">
        <f>EXP(LN(AD149)+$J149*(1/$H149-1/298.15)/0.0019872)</f>
        <v>1.707650273224044E-8</v>
      </c>
      <c r="AG149" s="163">
        <f>AE149</f>
        <v>469.79975571285172</v>
      </c>
      <c r="AH149" s="158"/>
      <c r="AI149" s="158"/>
      <c r="AJ149" s="159"/>
      <c r="AK149" s="159"/>
      <c r="AL149" s="159"/>
      <c r="AM149" s="37"/>
      <c r="AN149" s="37"/>
      <c r="AO149" s="37"/>
      <c r="AP149" s="37"/>
      <c r="AQ149" s="89"/>
      <c r="AR149" s="89"/>
      <c r="AS149" s="214"/>
      <c r="AT149" s="215"/>
      <c r="AU149" s="215"/>
      <c r="AV149" s="120"/>
      <c r="AW149" s="120"/>
      <c r="AX149" s="120"/>
      <c r="AY149" s="37"/>
      <c r="AZ149" s="37"/>
      <c r="BA149" s="37"/>
      <c r="BB149" s="186"/>
      <c r="BC149" s="186"/>
      <c r="BD149" s="186"/>
      <c r="BE149" s="37"/>
      <c r="BF149" s="37"/>
    </row>
    <row r="150" spans="1:58" x14ac:dyDescent="0.3">
      <c r="A150" s="33"/>
      <c r="E150" s="31" t="s">
        <v>353</v>
      </c>
      <c r="F150" s="31" t="s">
        <v>673</v>
      </c>
      <c r="G150" s="31">
        <v>15</v>
      </c>
      <c r="H150" s="31">
        <f>G150+273.15</f>
        <v>288.14999999999998</v>
      </c>
      <c r="I150" s="208">
        <f>-LOG10(EXP(LN(10^-14)+13.36*(1/298.15-1/H150)/0.0019872))</f>
        <v>14.339856635234117</v>
      </c>
      <c r="J150" s="91">
        <v>28.4</v>
      </c>
      <c r="O150" s="86"/>
      <c r="P150" s="87"/>
      <c r="Q150" s="208"/>
      <c r="R150" s="209"/>
      <c r="S150" s="209"/>
      <c r="T150" s="118"/>
      <c r="U150" s="118"/>
      <c r="V150" s="118"/>
      <c r="W150" s="119"/>
      <c r="X150" s="119"/>
      <c r="Y150" s="119"/>
      <c r="AD150" s="87"/>
      <c r="AE150" s="208"/>
      <c r="AF150" s="209"/>
      <c r="AM150" s="31">
        <v>9</v>
      </c>
      <c r="AN150" s="31">
        <f>580*365</f>
        <v>211700</v>
      </c>
      <c r="AP150" s="31" t="s">
        <v>605</v>
      </c>
      <c r="AQ150" s="86">
        <f>(LN(2)/AN150)/(60*60*24)*10^(9-AM150)</f>
        <v>3.7895780878773754E-11</v>
      </c>
      <c r="AR150" s="86">
        <f>AQ150*10^($I150-9)</f>
        <v>8.2879571260034506E-6</v>
      </c>
      <c r="AS150" s="219">
        <f>(LN(2)/AT150)/(60*60*24)</f>
        <v>18340.640119077867</v>
      </c>
      <c r="AT150" s="209">
        <f>AU150*10^(9-14)</f>
        <v>4.3741858299108055E-10</v>
      </c>
      <c r="AU150" s="209">
        <f>EXP(LN(AR150)+$J150*(1/$H150-1/298.15)/0.0019872)</f>
        <v>4.3741858299108049E-5</v>
      </c>
      <c r="AV150" s="170">
        <f>AS150</f>
        <v>18340.640119077867</v>
      </c>
      <c r="AW150" s="118"/>
      <c r="AX150" s="118"/>
    </row>
    <row r="151" spans="1:58" x14ac:dyDescent="0.3">
      <c r="A151" s="33"/>
      <c r="I151" s="208"/>
      <c r="J151" s="91"/>
      <c r="O151" s="86"/>
      <c r="P151" s="87"/>
      <c r="Q151" s="208"/>
      <c r="R151" s="209"/>
      <c r="S151" s="209"/>
      <c r="T151" s="118"/>
      <c r="U151" s="118"/>
      <c r="V151" s="118"/>
      <c r="W151" s="119"/>
      <c r="X151" s="119"/>
      <c r="Y151" s="119"/>
      <c r="AD151" s="87"/>
      <c r="AE151" s="208"/>
      <c r="AF151" s="209"/>
      <c r="AQ151" s="86"/>
      <c r="AR151" s="86"/>
      <c r="AS151" s="219"/>
      <c r="AT151" s="209"/>
      <c r="AU151" s="209"/>
      <c r="AV151" s="118"/>
      <c r="AW151" s="118"/>
      <c r="AX151" s="118"/>
    </row>
    <row r="152" spans="1:58" s="9" customFormat="1" x14ac:dyDescent="0.3">
      <c r="A152" s="41">
        <v>8</v>
      </c>
      <c r="B152" s="42" t="s">
        <v>340</v>
      </c>
      <c r="C152" s="42" t="s">
        <v>341</v>
      </c>
      <c r="D152" s="43"/>
      <c r="E152" s="42" t="s">
        <v>337</v>
      </c>
      <c r="F152" s="42"/>
      <c r="G152" s="42">
        <v>25</v>
      </c>
      <c r="H152" s="42">
        <f>G152+273.15</f>
        <v>298.14999999999998</v>
      </c>
      <c r="I152" s="216">
        <f>-LOG10(EXP(LN(10^-14)+13.36*(1/298.15-1/H152)/0.0019872))</f>
        <v>14</v>
      </c>
      <c r="J152" s="93">
        <v>24.89</v>
      </c>
      <c r="K152" s="42"/>
      <c r="L152" s="42"/>
      <c r="M152" s="42"/>
      <c r="N152" s="42"/>
      <c r="O152" s="94"/>
      <c r="P152" s="95"/>
      <c r="Q152" s="216"/>
      <c r="R152" s="217"/>
      <c r="S152" s="217"/>
      <c r="T152" s="124"/>
      <c r="U152" s="124"/>
      <c r="V152" s="124"/>
      <c r="W152" s="125"/>
      <c r="X152" s="125"/>
      <c r="Y152" s="125"/>
      <c r="Z152" s="42">
        <v>7</v>
      </c>
      <c r="AA152" s="42"/>
      <c r="AB152" s="126">
        <v>6.5000000000000002E-2</v>
      </c>
      <c r="AC152" s="42" t="s">
        <v>623</v>
      </c>
      <c r="AD152" s="94">
        <f>AB152/30.5/24/60/60</f>
        <v>2.4666059502125078E-8</v>
      </c>
      <c r="AE152" s="688">
        <f>(LN(2)/AF152)/(60*60*24)</f>
        <v>325.24598472428175</v>
      </c>
      <c r="AF152" s="217">
        <f>EXP(LN(AD152)+$J152*(1/$H152-1/298.15)/0.0019872)</f>
        <v>2.4666059502125095E-8</v>
      </c>
      <c r="AG152" s="835">
        <f>AE152</f>
        <v>325.24598472428175</v>
      </c>
      <c r="AH152" s="160"/>
      <c r="AI152" s="160"/>
      <c r="AJ152" s="161"/>
      <c r="AK152" s="161"/>
      <c r="AL152" s="161"/>
      <c r="AM152" s="42"/>
      <c r="AN152" s="42"/>
      <c r="AO152" s="42"/>
      <c r="AP152" s="42"/>
      <c r="AQ152" s="94"/>
      <c r="AR152" s="94"/>
      <c r="AS152" s="216"/>
      <c r="AT152" s="217"/>
      <c r="AU152" s="217"/>
      <c r="AV152" s="124"/>
      <c r="AW152" s="124"/>
      <c r="AX152" s="124"/>
      <c r="AY152" s="42"/>
      <c r="AZ152" s="42"/>
      <c r="BA152" s="42"/>
      <c r="BB152" s="187"/>
      <c r="BC152" s="187"/>
      <c r="BD152" s="187"/>
      <c r="BE152" s="42"/>
      <c r="BF152" s="42"/>
    </row>
    <row r="153" spans="1:58" x14ac:dyDescent="0.3">
      <c r="A153" s="33"/>
      <c r="I153" s="208"/>
      <c r="J153" s="92"/>
      <c r="O153" s="86"/>
      <c r="P153" s="87"/>
      <c r="Q153" s="208"/>
      <c r="R153" s="209"/>
      <c r="S153" s="209"/>
      <c r="T153" s="118"/>
      <c r="U153" s="118"/>
      <c r="V153" s="118"/>
      <c r="W153" s="119"/>
      <c r="X153" s="119"/>
      <c r="Y153" s="119"/>
      <c r="AB153" s="103"/>
      <c r="AD153" s="86"/>
      <c r="AE153" s="208"/>
      <c r="AF153" s="209"/>
      <c r="AQ153" s="86"/>
      <c r="AR153" s="86"/>
      <c r="AS153" s="208"/>
      <c r="AT153" s="209"/>
      <c r="AU153" s="209"/>
      <c r="AV153" s="118"/>
      <c r="AW153" s="118"/>
      <c r="AX153" s="118"/>
    </row>
    <row r="154" spans="1:58" s="9" customFormat="1" x14ac:dyDescent="0.3">
      <c r="A154" s="41">
        <v>9</v>
      </c>
      <c r="B154" s="42" t="s">
        <v>342</v>
      </c>
      <c r="C154" s="42" t="s">
        <v>343</v>
      </c>
      <c r="D154" s="43"/>
      <c r="E154" s="42" t="s">
        <v>337</v>
      </c>
      <c r="F154" s="42"/>
      <c r="G154" s="42">
        <v>25</v>
      </c>
      <c r="H154" s="42">
        <f>G154+273.15</f>
        <v>298.14999999999998</v>
      </c>
      <c r="I154" s="216">
        <f>-LOG10(EXP(LN(10^-14)+13.36*(1/298.15-1/H154)/0.0019872))</f>
        <v>14</v>
      </c>
      <c r="J154" s="93">
        <v>24.89</v>
      </c>
      <c r="K154" s="42"/>
      <c r="L154" s="42"/>
      <c r="M154" s="42"/>
      <c r="N154" s="42"/>
      <c r="O154" s="94"/>
      <c r="P154" s="95"/>
      <c r="Q154" s="216"/>
      <c r="R154" s="217"/>
      <c r="S154" s="217"/>
      <c r="T154" s="124"/>
      <c r="U154" s="124"/>
      <c r="V154" s="124"/>
      <c r="W154" s="125"/>
      <c r="X154" s="125"/>
      <c r="Y154" s="125"/>
      <c r="Z154" s="42">
        <v>7</v>
      </c>
      <c r="AA154" s="42"/>
      <c r="AB154" s="126">
        <v>7.9000000000000001E-2</v>
      </c>
      <c r="AC154" s="42" t="s">
        <v>623</v>
      </c>
      <c r="AD154" s="94">
        <f>AB154/30.5/24/60/60</f>
        <v>2.9978749241044324E-8</v>
      </c>
      <c r="AE154" s="688">
        <f>(LN(2)/AF154)/(60*60*24)</f>
        <v>267.60745578580185</v>
      </c>
      <c r="AF154" s="217">
        <f>EXP(LN(AD154)+$J154*(1/$H154-1/298.15)/0.0019872)</f>
        <v>2.9978749241044304E-8</v>
      </c>
      <c r="AG154" s="835">
        <f>AE154</f>
        <v>267.60745578580185</v>
      </c>
      <c r="AH154" s="160"/>
      <c r="AI154" s="160"/>
      <c r="AJ154" s="161"/>
      <c r="AK154" s="161"/>
      <c r="AL154" s="161"/>
      <c r="AM154" s="42"/>
      <c r="AN154" s="42"/>
      <c r="AO154" s="42"/>
      <c r="AP154" s="42"/>
      <c r="AQ154" s="94"/>
      <c r="AR154" s="94"/>
      <c r="AS154" s="216"/>
      <c r="AT154" s="217"/>
      <c r="AU154" s="217"/>
      <c r="AV154" s="124"/>
      <c r="AW154" s="124"/>
      <c r="AX154" s="124"/>
      <c r="AY154" s="42"/>
      <c r="AZ154" s="42"/>
      <c r="BA154" s="42"/>
      <c r="BB154" s="187"/>
      <c r="BC154" s="187"/>
      <c r="BD154" s="187"/>
      <c r="BE154" s="42"/>
      <c r="BF154" s="42"/>
    </row>
    <row r="155" spans="1:58" ht="15" thickBot="1" x14ac:dyDescent="0.35">
      <c r="A155" s="33"/>
      <c r="I155" s="208"/>
      <c r="J155" s="92"/>
      <c r="O155" s="86"/>
      <c r="P155" s="87"/>
      <c r="Q155" s="208"/>
      <c r="R155" s="209"/>
      <c r="S155" s="209"/>
      <c r="T155" s="118"/>
      <c r="U155" s="118"/>
      <c r="V155" s="118"/>
      <c r="W155" s="119"/>
      <c r="X155" s="119"/>
      <c r="Y155" s="119"/>
      <c r="AD155" s="87"/>
      <c r="AE155" s="208"/>
      <c r="AF155" s="209"/>
      <c r="AQ155" s="86"/>
      <c r="AR155" s="86"/>
      <c r="AS155" s="208"/>
      <c r="AT155" s="209"/>
      <c r="AU155" s="209"/>
      <c r="AV155" s="118"/>
      <c r="AW155" s="118"/>
      <c r="AX155" s="118"/>
    </row>
    <row r="156" spans="1:58" s="8" customFormat="1" ht="28.8" x14ac:dyDescent="0.3">
      <c r="A156" s="36">
        <v>26</v>
      </c>
      <c r="B156" s="73" t="s">
        <v>397</v>
      </c>
      <c r="C156" s="37" t="s">
        <v>398</v>
      </c>
      <c r="D156" s="38"/>
      <c r="E156" s="74" t="s">
        <v>399</v>
      </c>
      <c r="F156" s="37" t="s">
        <v>548</v>
      </c>
      <c r="G156" s="37">
        <v>25</v>
      </c>
      <c r="H156" s="37">
        <f>G156+273.15</f>
        <v>298.14999999999998</v>
      </c>
      <c r="I156" s="214">
        <f>-LOG10(EXP(LN(10^-14)+13.36*(1/298.15-1/H156)/0.0019872))</f>
        <v>14</v>
      </c>
      <c r="J156" s="812">
        <v>24.89</v>
      </c>
      <c r="K156" s="37"/>
      <c r="L156" s="37"/>
      <c r="M156" s="37"/>
      <c r="N156" s="37"/>
      <c r="O156" s="89"/>
      <c r="P156" s="90"/>
      <c r="Q156" s="214"/>
      <c r="R156" s="215"/>
      <c r="S156" s="215"/>
      <c r="T156" s="120"/>
      <c r="U156" s="120"/>
      <c r="V156" s="120"/>
      <c r="W156" s="121"/>
      <c r="X156" s="121"/>
      <c r="Y156" s="121"/>
      <c r="Z156" s="37">
        <v>7</v>
      </c>
      <c r="AA156" s="37">
        <v>14600</v>
      </c>
      <c r="AB156" s="122">
        <f>0.693/(AA156*24*3600)</f>
        <v>5.4937214611872143E-10</v>
      </c>
      <c r="AC156" s="122" t="s">
        <v>600</v>
      </c>
      <c r="AD156" s="89">
        <f>AB156</f>
        <v>5.4937214611872143E-10</v>
      </c>
      <c r="AE156" s="218">
        <f>(LN(2)/AF156)/(60*60*24)</f>
        <v>14603.10077370159</v>
      </c>
      <c r="AF156" s="215">
        <f>EXP(LN(AD156)+$J156*(1/$H156-1/298.15)/0.0019872)</f>
        <v>5.4937214611872143E-10</v>
      </c>
      <c r="AG156" s="163">
        <f>AE156</f>
        <v>14603.10077370159</v>
      </c>
      <c r="AH156" s="158"/>
      <c r="AI156" s="158"/>
      <c r="AJ156" s="159"/>
      <c r="AK156" s="159"/>
      <c r="AL156" s="159"/>
      <c r="AM156" s="37"/>
      <c r="AN156" s="37"/>
      <c r="AO156" s="37"/>
      <c r="AP156" s="37"/>
      <c r="AQ156" s="89"/>
      <c r="AR156" s="89"/>
      <c r="AS156" s="218"/>
      <c r="AT156" s="215"/>
      <c r="AU156" s="215"/>
      <c r="AV156" s="120"/>
      <c r="AW156" s="120"/>
      <c r="AX156" s="120"/>
      <c r="AY156" s="37"/>
      <c r="AZ156" s="37"/>
      <c r="BA156" s="37"/>
      <c r="BB156" s="186"/>
      <c r="BC156" s="186"/>
      <c r="BD156" s="186"/>
      <c r="BE156" s="37"/>
      <c r="BF156" s="37"/>
    </row>
    <row r="157" spans="1:58" ht="15" thickBot="1" x14ac:dyDescent="0.35">
      <c r="A157" s="33"/>
      <c r="I157" s="208"/>
      <c r="Q157" s="208"/>
      <c r="R157" s="208"/>
      <c r="S157" s="208"/>
      <c r="AE157" s="208"/>
      <c r="AF157" s="208"/>
      <c r="AS157" s="208"/>
      <c r="AT157" s="208"/>
      <c r="AU157" s="208"/>
    </row>
    <row r="158" spans="1:58" s="8" customFormat="1" x14ac:dyDescent="0.3">
      <c r="A158" s="36">
        <v>31</v>
      </c>
      <c r="B158" s="37" t="s">
        <v>672</v>
      </c>
      <c r="C158" s="37" t="s">
        <v>460</v>
      </c>
      <c r="D158" s="38"/>
      <c r="E158" s="37" t="s">
        <v>674</v>
      </c>
      <c r="F158" s="37" t="s">
        <v>461</v>
      </c>
      <c r="G158" s="37">
        <v>25</v>
      </c>
      <c r="H158" s="37">
        <f>G158+273.15</f>
        <v>298.14999999999998</v>
      </c>
      <c r="I158" s="214">
        <f>-LOG10(EXP(LN(10^-14)+13.36*(1/298.15-1/H158)/0.0019872))</f>
        <v>14</v>
      </c>
      <c r="J158" s="96">
        <v>24.89</v>
      </c>
      <c r="K158" s="37"/>
      <c r="L158" s="37"/>
      <c r="M158" s="37"/>
      <c r="N158" s="37"/>
      <c r="O158" s="89"/>
      <c r="P158" s="90"/>
      <c r="Q158" s="214"/>
      <c r="R158" s="215"/>
      <c r="S158" s="215"/>
      <c r="T158" s="120"/>
      <c r="U158" s="120"/>
      <c r="V158" s="120"/>
      <c r="W158" s="121"/>
      <c r="X158" s="121"/>
      <c r="Y158" s="121"/>
      <c r="Z158" s="37"/>
      <c r="AA158" s="37"/>
      <c r="AB158" s="122">
        <v>1.2899999999999999E-6</v>
      </c>
      <c r="AC158" s="122" t="s">
        <v>611</v>
      </c>
      <c r="AD158" s="89">
        <f>AB158/60</f>
        <v>2.1499999999999997E-8</v>
      </c>
      <c r="AE158" s="218">
        <f>(LN(2)/AF158)/(60*60*24)</f>
        <v>373.14124707146124</v>
      </c>
      <c r="AF158" s="215">
        <f>EXP(LN(AD158)+$J158*(1/$H158-1/298.15)/0.0019872)</f>
        <v>2.1499999999999964E-8</v>
      </c>
      <c r="AG158" s="163">
        <f>AVERAGE(AE158:AE160)</f>
        <v>478.73820172921768</v>
      </c>
      <c r="AH158" s="163">
        <f>MEDIAN(AE158:AE160)</f>
        <v>481.42278240534807</v>
      </c>
      <c r="AI158" s="158">
        <f>STDEV(AE158:AE160)</f>
        <v>104.28058430247876</v>
      </c>
      <c r="AJ158" s="159"/>
      <c r="AK158" s="159"/>
      <c r="AL158" s="159"/>
      <c r="AM158" s="37"/>
      <c r="AN158" s="37"/>
      <c r="AO158" s="37"/>
      <c r="AP158" s="37"/>
      <c r="AQ158" s="89"/>
      <c r="AR158" s="89"/>
      <c r="AS158" s="214"/>
      <c r="AT158" s="215"/>
      <c r="AU158" s="215"/>
      <c r="AV158" s="120"/>
      <c r="AW158" s="120"/>
      <c r="AX158" s="120"/>
      <c r="AY158" s="37"/>
      <c r="AZ158" s="37"/>
      <c r="BA158" s="37"/>
      <c r="BB158" s="186"/>
      <c r="BC158" s="186"/>
      <c r="BD158" s="186"/>
      <c r="BE158" s="37"/>
      <c r="BF158" s="37"/>
    </row>
    <row r="159" spans="1:58" x14ac:dyDescent="0.3">
      <c r="A159" s="33"/>
      <c r="G159" s="31">
        <v>10</v>
      </c>
      <c r="H159" s="31">
        <f>G159+273.15</f>
        <v>283.14999999999998</v>
      </c>
      <c r="I159" s="208">
        <f>-LOG10(EXP(LN(10^-14)+13.36*(1/298.15-1/H159)/0.0019872))</f>
        <v>14.518786982744363</v>
      </c>
      <c r="J159" s="92">
        <v>24.89</v>
      </c>
      <c r="O159" s="86"/>
      <c r="P159" s="87"/>
      <c r="Q159" s="208"/>
      <c r="R159" s="209"/>
      <c r="S159" s="209"/>
      <c r="T159" s="118"/>
      <c r="U159" s="118"/>
      <c r="V159" s="118"/>
      <c r="W159" s="119"/>
      <c r="X159" s="119"/>
      <c r="Y159" s="119"/>
      <c r="AB159" s="103">
        <v>1.08E-7</v>
      </c>
      <c r="AC159" s="31" t="s">
        <v>611</v>
      </c>
      <c r="AD159" s="86">
        <f>AB159/60</f>
        <v>1.8E-9</v>
      </c>
      <c r="AE159" s="219">
        <f>(LN(2)/AF159)/(60*60*24)</f>
        <v>481.42278240534807</v>
      </c>
      <c r="AF159" s="209">
        <f>EXP(LN(AD159)+$J159*(1/$H159-1/298.15)/0.0019872)</f>
        <v>1.6664223433617217E-8</v>
      </c>
      <c r="AQ159" s="86"/>
      <c r="AR159" s="86"/>
      <c r="AS159" s="208"/>
      <c r="AT159" s="209"/>
      <c r="AU159" s="209"/>
      <c r="AV159" s="118"/>
      <c r="AW159" s="118"/>
      <c r="AX159" s="118"/>
    </row>
    <row r="160" spans="1:58" x14ac:dyDescent="0.3">
      <c r="A160" s="33"/>
      <c r="G160" s="31">
        <v>0</v>
      </c>
      <c r="H160" s="31">
        <f>G160+273.15</f>
        <v>273.14999999999998</v>
      </c>
      <c r="I160" s="208">
        <f>-LOG10(EXP(LN(10^-14)+13.36*(1/298.15-1/H160)/0.0019872))</f>
        <v>14.896299555580367</v>
      </c>
      <c r="J160" s="92">
        <v>24.89</v>
      </c>
      <c r="O160" s="86"/>
      <c r="P160" s="87"/>
      <c r="Q160" s="208"/>
      <c r="R160" s="209"/>
      <c r="S160" s="209"/>
      <c r="T160" s="118"/>
      <c r="U160" s="118"/>
      <c r="V160" s="118"/>
      <c r="W160" s="119"/>
      <c r="X160" s="119"/>
      <c r="Y160" s="119"/>
      <c r="AB160" s="103">
        <v>1.77E-8</v>
      </c>
      <c r="AC160" s="31" t="s">
        <v>611</v>
      </c>
      <c r="AD160" s="86">
        <f>AB160/60</f>
        <v>2.9500000000000002E-10</v>
      </c>
      <c r="AE160" s="219">
        <f>(LN(2)/AF160)/(60*60*24)</f>
        <v>581.65057571084355</v>
      </c>
      <c r="AF160" s="209">
        <f>EXP(LN(AD160)+$J160*(1/$H160-1/298.15)/0.0019872)</f>
        <v>1.3792708452548071E-8</v>
      </c>
      <c r="AQ160" s="86"/>
      <c r="AR160" s="86"/>
      <c r="AS160" s="208"/>
      <c r="AT160" s="209"/>
      <c r="AU160" s="209"/>
      <c r="AV160" s="118"/>
      <c r="AW160" s="118"/>
      <c r="AX160" s="118"/>
    </row>
    <row r="161" spans="1:58" x14ac:dyDescent="0.3">
      <c r="A161" s="33"/>
      <c r="I161" s="208"/>
      <c r="J161" s="91"/>
      <c r="O161" s="86"/>
      <c r="P161" s="87"/>
      <c r="Q161" s="208"/>
      <c r="R161" s="209"/>
      <c r="S161" s="209"/>
      <c r="T161" s="118"/>
      <c r="U161" s="118"/>
      <c r="V161" s="118"/>
      <c r="W161" s="119"/>
      <c r="X161" s="119"/>
      <c r="Y161" s="119"/>
      <c r="AB161" s="103"/>
      <c r="AD161" s="86"/>
      <c r="AE161" s="219"/>
      <c r="AF161" s="209"/>
      <c r="AQ161" s="86"/>
      <c r="AR161" s="86"/>
      <c r="AS161" s="208"/>
      <c r="AT161" s="209"/>
      <c r="AU161" s="209"/>
      <c r="AV161" s="118"/>
      <c r="AW161" s="118"/>
      <c r="AX161" s="118"/>
    </row>
    <row r="162" spans="1:58" s="10" customFormat="1" ht="15" thickBot="1" x14ac:dyDescent="0.35">
      <c r="A162" s="49"/>
      <c r="B162" s="75" t="s">
        <v>1113</v>
      </c>
      <c r="C162" s="50"/>
      <c r="D162" s="51"/>
      <c r="E162" s="50"/>
      <c r="F162" s="50"/>
      <c r="G162" s="50"/>
      <c r="H162" s="50"/>
      <c r="I162" s="221"/>
      <c r="J162" s="97"/>
      <c r="K162" s="50"/>
      <c r="L162" s="50"/>
      <c r="M162" s="50"/>
      <c r="N162" s="50"/>
      <c r="O162" s="98"/>
      <c r="P162" s="99"/>
      <c r="Q162" s="221"/>
      <c r="R162" s="222"/>
      <c r="S162" s="222"/>
      <c r="T162" s="133"/>
      <c r="U162" s="133"/>
      <c r="V162" s="133"/>
      <c r="W162" s="134"/>
      <c r="X162" s="134"/>
      <c r="Y162" s="134"/>
      <c r="Z162" s="50"/>
      <c r="AA162" s="50"/>
      <c r="AB162" s="147"/>
      <c r="AC162" s="50"/>
      <c r="AD162" s="98"/>
      <c r="AE162" s="690"/>
      <c r="AF162" s="222"/>
      <c r="AG162" s="164"/>
      <c r="AH162" s="164"/>
      <c r="AI162" s="164"/>
      <c r="AJ162" s="165"/>
      <c r="AK162" s="165"/>
      <c r="AL162" s="165"/>
      <c r="AM162" s="50"/>
      <c r="AN162" s="50"/>
      <c r="AO162" s="50"/>
      <c r="AP162" s="50"/>
      <c r="AQ162" s="98"/>
      <c r="AR162" s="98"/>
      <c r="AS162" s="221"/>
      <c r="AT162" s="222"/>
      <c r="AU162" s="222"/>
      <c r="AV162" s="133"/>
      <c r="AW162" s="133"/>
      <c r="AX162" s="133"/>
      <c r="AY162" s="50"/>
      <c r="AZ162" s="50"/>
      <c r="BA162" s="50"/>
      <c r="BB162" s="188"/>
      <c r="BC162" s="188"/>
      <c r="BD162" s="188"/>
      <c r="BE162" s="50"/>
      <c r="BF162" s="50"/>
    </row>
    <row r="163" spans="1:58" s="24" customFormat="1" ht="15" thickBot="1" x14ac:dyDescent="0.35">
      <c r="A163" s="76">
        <v>28</v>
      </c>
      <c r="B163" s="77" t="s">
        <v>407</v>
      </c>
      <c r="C163" s="77" t="s">
        <v>409</v>
      </c>
      <c r="D163" s="78"/>
      <c r="E163" s="77" t="s">
        <v>408</v>
      </c>
      <c r="F163" s="77" t="s">
        <v>395</v>
      </c>
      <c r="G163" s="77">
        <v>25</v>
      </c>
      <c r="H163" s="77">
        <f>G163+273.15</f>
        <v>298.14999999999998</v>
      </c>
      <c r="I163" s="233">
        <f>-LOG10(EXP(LN(10^-14)+13.36*(1/298.15-1/H163)/0.0019872))</f>
        <v>14</v>
      </c>
      <c r="J163" s="111">
        <v>24.89</v>
      </c>
      <c r="K163" s="77"/>
      <c r="L163" s="77"/>
      <c r="M163" s="77"/>
      <c r="N163" s="77"/>
      <c r="O163" s="112"/>
      <c r="P163" s="113"/>
      <c r="Q163" s="233"/>
      <c r="R163" s="234"/>
      <c r="S163" s="234"/>
      <c r="T163" s="148"/>
      <c r="U163" s="148"/>
      <c r="V163" s="148"/>
      <c r="W163" s="149"/>
      <c r="X163" s="149"/>
      <c r="Y163" s="149"/>
      <c r="Z163" s="77">
        <v>7</v>
      </c>
      <c r="AA163" s="77"/>
      <c r="AB163" s="77">
        <f>3.2*10^-11</f>
        <v>3.1999999999999999E-11</v>
      </c>
      <c r="AC163" s="77" t="s">
        <v>600</v>
      </c>
      <c r="AD163" s="112">
        <f>AB163</f>
        <v>3.1999999999999999E-11</v>
      </c>
      <c r="AE163" s="696">
        <f>(LN(2)/AF163)/(60*60*24)</f>
        <v>250704.27537613772</v>
      </c>
      <c r="AF163" s="234">
        <f>EXP(LN(AD163)+$J163*(1/$H163-1/298.15)/0.0019872)</f>
        <v>3.1999999999999986E-11</v>
      </c>
      <c r="AG163" s="898">
        <f>AE163</f>
        <v>250704.27537613772</v>
      </c>
      <c r="AH163" s="180"/>
      <c r="AI163" s="180"/>
      <c r="AK163" s="181"/>
      <c r="AL163" s="181"/>
      <c r="AM163" s="77"/>
      <c r="AN163" s="77"/>
      <c r="AO163" s="77"/>
      <c r="AP163" s="77"/>
      <c r="AQ163" s="112"/>
      <c r="AR163" s="112"/>
      <c r="AS163" s="233"/>
      <c r="AT163" s="234"/>
      <c r="AU163" s="234"/>
      <c r="AV163" s="148"/>
      <c r="AW163" s="148"/>
      <c r="AX163" s="148"/>
      <c r="AY163" s="77"/>
      <c r="AZ163" s="77"/>
      <c r="BA163" s="77"/>
      <c r="BB163" s="194"/>
      <c r="BC163" s="194"/>
      <c r="BD163" s="194"/>
      <c r="BE163" s="77"/>
      <c r="BF163" s="77"/>
    </row>
    <row r="164" spans="1:58" s="10" customFormat="1" ht="15" thickTop="1" x14ac:dyDescent="0.3">
      <c r="A164" s="49"/>
      <c r="B164" s="50"/>
      <c r="C164" s="50"/>
      <c r="D164" s="51"/>
      <c r="E164" s="50"/>
      <c r="F164" s="50"/>
      <c r="G164" s="50"/>
      <c r="H164" s="50"/>
      <c r="I164" s="687"/>
      <c r="J164" s="50"/>
      <c r="K164" s="50"/>
      <c r="L164" s="50"/>
      <c r="M164" s="50"/>
      <c r="N164" s="50"/>
      <c r="O164" s="114"/>
      <c r="P164" s="114"/>
      <c r="Q164" s="221"/>
      <c r="R164" s="221"/>
      <c r="S164" s="221"/>
      <c r="T164" s="150"/>
      <c r="U164" s="150"/>
      <c r="V164" s="150"/>
      <c r="W164" s="151"/>
      <c r="X164" s="151"/>
      <c r="Y164" s="151"/>
      <c r="Z164" s="50"/>
      <c r="AA164" s="50"/>
      <c r="AB164" s="50"/>
      <c r="AC164" s="50"/>
      <c r="AD164" s="114"/>
      <c r="AE164" s="221"/>
      <c r="AF164" s="221"/>
      <c r="AG164" s="164"/>
      <c r="AH164" s="164"/>
      <c r="AI164" s="164"/>
      <c r="AJ164" s="165"/>
      <c r="AK164" s="165"/>
      <c r="AL164" s="165"/>
      <c r="AM164" s="50"/>
      <c r="AN164" s="50"/>
      <c r="AO164" s="50"/>
      <c r="AP164" s="50"/>
      <c r="AQ164" s="114"/>
      <c r="AR164" s="114"/>
      <c r="AS164" s="221"/>
      <c r="AT164" s="221"/>
      <c r="AU164" s="221"/>
      <c r="AV164" s="150"/>
      <c r="AW164" s="150"/>
      <c r="AX164" s="150"/>
      <c r="AY164" s="50"/>
      <c r="AZ164" s="50"/>
      <c r="BA164" s="50"/>
      <c r="BB164" s="188"/>
      <c r="BC164" s="188"/>
      <c r="BD164" s="188"/>
      <c r="BE164" s="50"/>
      <c r="BF164" s="50"/>
    </row>
    <row r="165" spans="1:58" x14ac:dyDescent="0.3">
      <c r="A165" s="33"/>
      <c r="I165" s="232"/>
      <c r="Q165" s="208"/>
      <c r="R165" s="208"/>
      <c r="S165" s="208"/>
      <c r="AE165" s="208"/>
      <c r="AF165" s="208"/>
      <c r="AS165" s="208"/>
      <c r="AT165" s="208"/>
      <c r="AU165" s="208"/>
    </row>
    <row r="166" spans="1:58" x14ac:dyDescent="0.3">
      <c r="A166" s="33"/>
      <c r="I166" s="232"/>
      <c r="N166" s="115" t="s">
        <v>790</v>
      </c>
      <c r="O166" s="115"/>
      <c r="P166" s="115"/>
      <c r="Q166" s="235"/>
      <c r="R166" s="236"/>
      <c r="S166" s="236"/>
      <c r="T166" s="142"/>
      <c r="U166" s="152"/>
      <c r="V166" s="152"/>
      <c r="W166" s="153"/>
      <c r="X166" s="153"/>
      <c r="Y166" s="153"/>
      <c r="Z166" s="115" t="s">
        <v>790</v>
      </c>
      <c r="AA166" s="115"/>
      <c r="AB166" s="115"/>
      <c r="AC166" s="115" t="s">
        <v>790</v>
      </c>
      <c r="AD166" s="115"/>
      <c r="AE166" s="697">
        <f>AVERAGE(AE142:AE163)</f>
        <v>37986.29615373983</v>
      </c>
      <c r="AF166" s="236"/>
      <c r="AG166" s="142">
        <f>AVERAGE(AG142:AG163)</f>
        <v>46125.303762980802</v>
      </c>
      <c r="AH166" s="173"/>
      <c r="AI166" s="173"/>
      <c r="AJ166" s="174"/>
      <c r="AK166" s="174"/>
      <c r="AL166" s="174"/>
      <c r="AM166" s="115" t="s">
        <v>790</v>
      </c>
      <c r="AN166" s="115"/>
      <c r="AO166" s="115"/>
      <c r="AP166" s="115" t="s">
        <v>790</v>
      </c>
      <c r="AQ166" s="115"/>
      <c r="AR166" s="115"/>
      <c r="AS166" s="704">
        <f>AVERAGE(AS142:AS163)</f>
        <v>18058180.368667342</v>
      </c>
      <c r="AT166" s="236"/>
      <c r="AU166" s="236"/>
      <c r="AV166" s="176">
        <f>AVERAGE(AV142:AV163)</f>
        <v>18058180.368667342</v>
      </c>
      <c r="AW166" s="152"/>
      <c r="AX166" s="152"/>
      <c r="BB166" s="192" t="s">
        <v>790</v>
      </c>
    </row>
    <row r="167" spans="1:58" x14ac:dyDescent="0.3">
      <c r="A167" s="33"/>
      <c r="I167" s="232"/>
      <c r="N167" s="115" t="s">
        <v>791</v>
      </c>
      <c r="O167" s="115"/>
      <c r="P167" s="115"/>
      <c r="Q167" s="236"/>
      <c r="R167" s="236"/>
      <c r="S167" s="236"/>
      <c r="T167" s="142"/>
      <c r="U167" s="152"/>
      <c r="V167" s="152"/>
      <c r="W167" s="153"/>
      <c r="X167" s="153"/>
      <c r="Y167" s="153"/>
      <c r="Z167" s="115" t="s">
        <v>791</v>
      </c>
      <c r="AA167" s="115"/>
      <c r="AB167" s="115"/>
      <c r="AC167" s="115" t="s">
        <v>791</v>
      </c>
      <c r="AD167" s="115"/>
      <c r="AE167" s="697">
        <f>STDEV(AE142:AE163)</f>
        <v>82376.651028228152</v>
      </c>
      <c r="AF167" s="236"/>
      <c r="AG167" s="142">
        <f>STDEV(AG142:AG163)</f>
        <v>92477.819866273087</v>
      </c>
      <c r="AH167" s="173"/>
      <c r="AI167" s="173"/>
      <c r="AJ167" s="174"/>
      <c r="AK167" s="174"/>
      <c r="AL167" s="174"/>
      <c r="AM167" s="115" t="s">
        <v>791</v>
      </c>
      <c r="AN167" s="115"/>
      <c r="AO167" s="115"/>
      <c r="AP167" s="115" t="s">
        <v>791</v>
      </c>
      <c r="AQ167" s="115"/>
      <c r="AR167" s="115"/>
      <c r="AS167" s="704">
        <f>STDEV(AS142:AS163)</f>
        <v>25512186.007149935</v>
      </c>
      <c r="AT167" s="236"/>
      <c r="AU167" s="236"/>
      <c r="AV167" s="176">
        <f>STDEV(AV142:AV163)</f>
        <v>25512186.007149935</v>
      </c>
      <c r="AW167" s="152"/>
      <c r="AX167" s="152"/>
      <c r="BB167" s="192" t="s">
        <v>791</v>
      </c>
    </row>
    <row r="168" spans="1:58" x14ac:dyDescent="0.3">
      <c r="A168" s="33"/>
      <c r="I168" s="232"/>
      <c r="N168" s="31" t="s">
        <v>800</v>
      </c>
      <c r="O168" s="31"/>
      <c r="P168" s="31"/>
      <c r="Q168" s="237"/>
      <c r="R168" s="238"/>
      <c r="S168" s="238"/>
      <c r="T168" s="142"/>
      <c r="U168" s="129"/>
      <c r="V168" s="129"/>
      <c r="W168" s="146"/>
      <c r="X168" s="146"/>
      <c r="Y168" s="146"/>
      <c r="Z168" s="31" t="s">
        <v>800</v>
      </c>
      <c r="AC168" s="31" t="s">
        <v>800</v>
      </c>
      <c r="AD168" s="31"/>
      <c r="AE168" s="698">
        <f>MEDIAN(AE142:AE163)</f>
        <v>511.74971180624266</v>
      </c>
      <c r="AF168" s="238"/>
      <c r="AG168" s="142">
        <f>MEDIAN(AG142:AG163)</f>
        <v>478.73820172921768</v>
      </c>
      <c r="AH168" s="175"/>
      <c r="AI168" s="175"/>
      <c r="AM168" s="31" t="s">
        <v>800</v>
      </c>
      <c r="AP168" s="31" t="s">
        <v>800</v>
      </c>
      <c r="AQ168" s="31"/>
      <c r="AR168" s="31"/>
      <c r="AS168" s="699">
        <f>MEDIAN(AS142:AS163)</f>
        <v>18058180.368667345</v>
      </c>
      <c r="AT168" s="238"/>
      <c r="AU168" s="238"/>
      <c r="AV168" s="176">
        <f>MEDIAN(AV142:AV163)</f>
        <v>18058180.368667345</v>
      </c>
      <c r="AW168" s="129"/>
      <c r="AX168" s="129"/>
      <c r="BB168" s="185" t="s">
        <v>800</v>
      </c>
    </row>
    <row r="169" spans="1:58" x14ac:dyDescent="0.3">
      <c r="A169" s="33"/>
      <c r="I169" s="232"/>
      <c r="N169" s="31" t="s">
        <v>789</v>
      </c>
      <c r="O169" s="31"/>
      <c r="P169" s="31"/>
      <c r="Q169" s="238"/>
      <c r="R169" s="238"/>
      <c r="S169" s="238"/>
      <c r="T169" s="144"/>
      <c r="U169" s="129"/>
      <c r="V169" s="129"/>
      <c r="W169" s="146"/>
      <c r="X169" s="146"/>
      <c r="Y169" s="146"/>
      <c r="Z169" s="31" t="s">
        <v>789</v>
      </c>
      <c r="AC169" s="31" t="s">
        <v>789</v>
      </c>
      <c r="AD169" s="31"/>
      <c r="AE169" s="699">
        <f>COUNT(AE142:AE163)</f>
        <v>10</v>
      </c>
      <c r="AF169" s="238"/>
      <c r="AG169" s="176">
        <f>COUNT(AG142:AG163)</f>
        <v>7</v>
      </c>
      <c r="AH169" s="175"/>
      <c r="AI169" s="175"/>
      <c r="AM169" s="31" t="s">
        <v>789</v>
      </c>
      <c r="AP169" s="31" t="s">
        <v>789</v>
      </c>
      <c r="AQ169" s="31"/>
      <c r="AR169" s="31"/>
      <c r="AS169" s="238">
        <f>COUNT(AS142:AS163)</f>
        <v>2</v>
      </c>
      <c r="AT169" s="238"/>
      <c r="AU169" s="238"/>
      <c r="AV169" s="144">
        <f>COUNT(AV142:AV163)</f>
        <v>2</v>
      </c>
      <c r="AW169" s="129"/>
      <c r="AX169" s="129"/>
      <c r="BB169" s="185" t="s">
        <v>789</v>
      </c>
    </row>
    <row r="170" spans="1:58" x14ac:dyDescent="0.3">
      <c r="A170" s="33"/>
      <c r="I170" s="232"/>
      <c r="N170" s="31" t="s">
        <v>787</v>
      </c>
      <c r="O170" s="31"/>
      <c r="P170" s="31"/>
      <c r="Q170" s="237"/>
      <c r="R170" s="238"/>
      <c r="S170" s="238"/>
      <c r="T170" s="142"/>
      <c r="U170" s="129"/>
      <c r="V170" s="129"/>
      <c r="W170" s="146"/>
      <c r="X170" s="146"/>
      <c r="Y170" s="146"/>
      <c r="Z170" s="31" t="s">
        <v>787</v>
      </c>
      <c r="AC170" s="31" t="s">
        <v>787</v>
      </c>
      <c r="AD170" s="31"/>
      <c r="AE170" s="698">
        <f>MIN(AE142:AE163)</f>
        <v>267.60745578580185</v>
      </c>
      <c r="AF170" s="238"/>
      <c r="AG170" s="142">
        <f>MIN(AG142:AG163)</f>
        <v>267.60745578580185</v>
      </c>
      <c r="AH170" s="175"/>
      <c r="AI170" s="175"/>
      <c r="AM170" s="31" t="s">
        <v>787</v>
      </c>
      <c r="AP170" s="31" t="s">
        <v>787</v>
      </c>
      <c r="AQ170" s="31"/>
      <c r="AR170" s="31"/>
      <c r="AS170" s="703">
        <f>MIN(AS142:AS163)</f>
        <v>18340.640119077867</v>
      </c>
      <c r="AT170" s="238"/>
      <c r="AU170" s="238"/>
      <c r="AV170" s="240">
        <f>MIN(AV142:AV163)</f>
        <v>18340.640119077867</v>
      </c>
      <c r="AW170" s="129"/>
      <c r="AX170" s="129"/>
      <c r="BB170" s="185" t="s">
        <v>787</v>
      </c>
    </row>
    <row r="171" spans="1:58" x14ac:dyDescent="0.3">
      <c r="A171" s="33"/>
      <c r="I171" s="232"/>
      <c r="N171" s="31" t="s">
        <v>788</v>
      </c>
      <c r="O171" s="31"/>
      <c r="P171" s="31"/>
      <c r="Q171" s="237"/>
      <c r="R171" s="238"/>
      <c r="S171" s="238"/>
      <c r="T171" s="142"/>
      <c r="U171" s="129"/>
      <c r="V171" s="129"/>
      <c r="W171" s="146"/>
      <c r="X171" s="146"/>
      <c r="Y171" s="146"/>
      <c r="Z171" s="31" t="s">
        <v>788</v>
      </c>
      <c r="AC171" s="31" t="s">
        <v>788</v>
      </c>
      <c r="AD171" s="31"/>
      <c r="AE171" s="698">
        <f>MAX(AE142:AE163)</f>
        <v>250704.27537613772</v>
      </c>
      <c r="AF171" s="238"/>
      <c r="AG171" s="142">
        <f>MAX(AG142:AG163)</f>
        <v>250704.27537613772</v>
      </c>
      <c r="AH171" s="175"/>
      <c r="AI171" s="175"/>
      <c r="AM171" s="31" t="s">
        <v>788</v>
      </c>
      <c r="AP171" s="31" t="s">
        <v>788</v>
      </c>
      <c r="AQ171" s="31"/>
      <c r="AR171" s="31"/>
      <c r="AS171" s="699">
        <f>MAX(AS142:AS163)</f>
        <v>36098020.097215608</v>
      </c>
      <c r="AT171" s="238"/>
      <c r="AU171" s="238"/>
      <c r="AV171" s="176">
        <f>MAX(AV142:AV163)</f>
        <v>36098020.097215608</v>
      </c>
      <c r="AW171" s="129"/>
      <c r="AX171" s="129"/>
      <c r="BB171" s="185" t="s">
        <v>788</v>
      </c>
    </row>
    <row r="172" spans="1:58" x14ac:dyDescent="0.3">
      <c r="A172" s="33"/>
      <c r="I172" s="232"/>
      <c r="O172" s="31"/>
      <c r="P172" s="31"/>
      <c r="Q172" s="237"/>
      <c r="R172" s="238"/>
      <c r="S172" s="238"/>
      <c r="T172" s="142"/>
      <c r="U172" s="129"/>
      <c r="V172" s="129"/>
      <c r="W172" s="146"/>
      <c r="X172" s="146"/>
      <c r="Y172" s="146"/>
      <c r="AD172" s="31"/>
      <c r="AE172" s="698"/>
      <c r="AF172" s="843" t="s">
        <v>1276</v>
      </c>
      <c r="AG172" s="157">
        <f>QUARTILE(AG$142:AG163,3)-QUARTILE(AG$142:AG163,1)</f>
        <v>34918.206913169321</v>
      </c>
      <c r="AH172" s="175"/>
      <c r="AI172" s="175"/>
      <c r="AQ172" s="31"/>
      <c r="AR172" s="31"/>
      <c r="AS172" s="699"/>
      <c r="AT172" s="238"/>
      <c r="AU172" s="40"/>
      <c r="AV172" s="40"/>
      <c r="AW172" s="175"/>
      <c r="AX172" s="129"/>
    </row>
    <row r="173" spans="1:58" x14ac:dyDescent="0.3">
      <c r="A173" s="33"/>
      <c r="I173" s="232"/>
      <c r="O173" s="31"/>
      <c r="P173" s="31"/>
      <c r="Q173" s="237"/>
      <c r="R173" s="238"/>
      <c r="S173" s="238"/>
      <c r="T173" s="142"/>
      <c r="U173" s="129"/>
      <c r="V173" s="129"/>
      <c r="W173" s="146"/>
      <c r="X173" s="146"/>
      <c r="Y173" s="146"/>
      <c r="AD173" s="31"/>
      <c r="AE173" s="698"/>
      <c r="AF173" s="843" t="s">
        <v>1277</v>
      </c>
      <c r="AG173" s="157">
        <f>MAX(AG168-2*AG172,0)</f>
        <v>0</v>
      </c>
      <c r="AH173" s="175"/>
      <c r="AI173" s="175"/>
      <c r="AQ173" s="31"/>
      <c r="AR173" s="31"/>
      <c r="AS173" s="699"/>
      <c r="AT173" s="238"/>
      <c r="AU173" s="40"/>
      <c r="AV173" s="40"/>
      <c r="AW173" s="175"/>
      <c r="AX173" s="129"/>
    </row>
    <row r="174" spans="1:58" x14ac:dyDescent="0.3">
      <c r="A174" s="33"/>
      <c r="I174" s="232"/>
      <c r="O174" s="31"/>
      <c r="P174" s="31"/>
      <c r="Q174" s="237"/>
      <c r="R174" s="238"/>
      <c r="S174" s="238"/>
      <c r="T174" s="142"/>
      <c r="U174" s="129"/>
      <c r="V174" s="129"/>
      <c r="W174" s="146"/>
      <c r="X174" s="146"/>
      <c r="Y174" s="146"/>
      <c r="AD174" s="31"/>
      <c r="AE174" s="698"/>
      <c r="AF174" s="843" t="s">
        <v>1278</v>
      </c>
      <c r="AG174" s="157">
        <f>AG168+2.2*AG172</f>
        <v>77298.793410701721</v>
      </c>
      <c r="AH174" s="844" t="str">
        <f>IF(AV171&gt;AG174,"Outlier Flag","")</f>
        <v>Outlier Flag</v>
      </c>
      <c r="AI174" s="175"/>
      <c r="AQ174" s="31"/>
      <c r="AR174" s="31"/>
      <c r="AS174" s="699"/>
      <c r="AT174" s="238"/>
      <c r="AU174" s="40"/>
      <c r="AV174" s="40"/>
      <c r="AX174" s="129"/>
    </row>
    <row r="175" spans="1:58" x14ac:dyDescent="0.3">
      <c r="A175" s="33"/>
      <c r="I175" s="232"/>
      <c r="O175" s="31"/>
      <c r="P175" s="31"/>
      <c r="Q175" s="237"/>
      <c r="R175" s="238"/>
      <c r="S175" s="238"/>
      <c r="T175" s="142"/>
      <c r="U175" s="129"/>
      <c r="V175" s="129"/>
      <c r="W175" s="146"/>
      <c r="X175" s="146"/>
      <c r="Y175" s="146"/>
      <c r="AC175" s="115" t="s">
        <v>790</v>
      </c>
      <c r="AD175" s="115"/>
      <c r="AE175" s="697">
        <v>37986.29615373983</v>
      </c>
      <c r="AF175" s="236"/>
      <c r="AG175" s="142">
        <v>12028.808494121318</v>
      </c>
      <c r="AH175" s="175"/>
      <c r="AI175" s="175"/>
      <c r="AQ175" s="31"/>
      <c r="AR175" s="31"/>
      <c r="AS175" s="699"/>
      <c r="AT175" s="238"/>
      <c r="AU175" s="238"/>
      <c r="AV175" s="176"/>
      <c r="AW175" s="129"/>
      <c r="AX175" s="129"/>
    </row>
    <row r="176" spans="1:58" x14ac:dyDescent="0.3">
      <c r="A176" s="33"/>
      <c r="I176" s="232"/>
      <c r="O176" s="31"/>
      <c r="P176" s="31"/>
      <c r="Q176" s="237"/>
      <c r="R176" s="238"/>
      <c r="S176" s="238"/>
      <c r="T176" s="142"/>
      <c r="U176" s="129"/>
      <c r="V176" s="129"/>
      <c r="W176" s="146"/>
      <c r="X176" s="146"/>
      <c r="Y176" s="146"/>
      <c r="AC176" s="115" t="s">
        <v>791</v>
      </c>
      <c r="AD176" s="115"/>
      <c r="AE176" s="697">
        <v>82376.651028228152</v>
      </c>
      <c r="AF176" s="236"/>
      <c r="AG176" s="142">
        <v>22293.054700063421</v>
      </c>
      <c r="AH176" s="175"/>
      <c r="AI176" s="175"/>
      <c r="AQ176" s="31"/>
      <c r="AR176" s="31"/>
      <c r="AS176" s="699"/>
      <c r="AT176" s="238"/>
      <c r="AU176" s="238"/>
      <c r="AV176" s="176"/>
      <c r="AW176" s="129"/>
      <c r="AX176" s="129"/>
    </row>
    <row r="177" spans="1:58" x14ac:dyDescent="0.3">
      <c r="A177" s="33"/>
      <c r="I177" s="232"/>
      <c r="O177" s="31"/>
      <c r="P177" s="31"/>
      <c r="Q177" s="237"/>
      <c r="R177" s="238"/>
      <c r="S177" s="238"/>
      <c r="T177" s="142"/>
      <c r="U177" s="129"/>
      <c r="V177" s="129"/>
      <c r="W177" s="146"/>
      <c r="X177" s="146"/>
      <c r="Y177" s="146"/>
      <c r="AC177" s="31" t="s">
        <v>800</v>
      </c>
      <c r="AD177" s="31"/>
      <c r="AE177" s="698">
        <v>511.74971180624266</v>
      </c>
      <c r="AF177" s="238"/>
      <c r="AG177" s="142">
        <v>474.26897872103501</v>
      </c>
      <c r="AH177" s="175"/>
      <c r="AI177" s="175"/>
      <c r="AQ177" s="31"/>
      <c r="AR177" s="31"/>
      <c r="AS177" s="699"/>
      <c r="AT177" s="238"/>
      <c r="AU177" s="238"/>
      <c r="AV177" s="176"/>
      <c r="AW177" s="129"/>
      <c r="AX177" s="129"/>
    </row>
    <row r="178" spans="1:58" x14ac:dyDescent="0.3">
      <c r="A178" s="33"/>
      <c r="I178" s="232"/>
      <c r="O178" s="31"/>
      <c r="P178" s="31"/>
      <c r="Q178" s="237"/>
      <c r="R178" s="238"/>
      <c r="S178" s="238"/>
      <c r="T178" s="142"/>
      <c r="U178" s="129"/>
      <c r="V178" s="129"/>
      <c r="W178" s="146"/>
      <c r="X178" s="146"/>
      <c r="Y178" s="146"/>
      <c r="AC178" s="31" t="s">
        <v>789</v>
      </c>
      <c r="AD178" s="31"/>
      <c r="AE178" s="699">
        <v>10</v>
      </c>
      <c r="AF178" s="238"/>
      <c r="AG178" s="176">
        <v>6</v>
      </c>
      <c r="AH178" s="175"/>
      <c r="AI178" s="175"/>
      <c r="AQ178" s="31"/>
      <c r="AR178" s="31"/>
      <c r="AS178" s="699"/>
      <c r="AT178" s="238"/>
      <c r="AU178" s="238"/>
      <c r="AV178" s="176"/>
      <c r="AW178" s="129"/>
      <c r="AX178" s="129"/>
    </row>
    <row r="179" spans="1:58" x14ac:dyDescent="0.3">
      <c r="A179" s="33"/>
      <c r="I179" s="232"/>
      <c r="O179" s="31"/>
      <c r="P179" s="31"/>
      <c r="Q179" s="237"/>
      <c r="R179" s="238"/>
      <c r="S179" s="238"/>
      <c r="T179" s="142"/>
      <c r="U179" s="129"/>
      <c r="V179" s="129"/>
      <c r="W179" s="146"/>
      <c r="X179" s="146"/>
      <c r="Y179" s="146"/>
      <c r="AC179" s="31" t="s">
        <v>787</v>
      </c>
      <c r="AD179" s="31"/>
      <c r="AE179" s="698">
        <v>267.60745578580185</v>
      </c>
      <c r="AF179" s="238"/>
      <c r="AG179" s="142">
        <v>267.60745578580185</v>
      </c>
      <c r="AH179" s="175"/>
      <c r="AI179" s="175"/>
      <c r="AQ179" s="31"/>
      <c r="AR179" s="31"/>
      <c r="AS179" s="699"/>
      <c r="AT179" s="238"/>
      <c r="AU179" s="238"/>
      <c r="AV179" s="176"/>
      <c r="AW179" s="129"/>
      <c r="AX179" s="129"/>
    </row>
    <row r="180" spans="1:58" ht="15" thickBot="1" x14ac:dyDescent="0.35">
      <c r="A180" s="33"/>
      <c r="I180" s="232"/>
      <c r="O180" s="31"/>
      <c r="P180" s="31"/>
      <c r="Q180" s="237"/>
      <c r="R180" s="238"/>
      <c r="S180" s="238"/>
      <c r="T180" s="142"/>
      <c r="U180" s="129"/>
      <c r="V180" s="129"/>
      <c r="W180" s="146"/>
      <c r="X180" s="146"/>
      <c r="Y180" s="146"/>
      <c r="AC180" s="31" t="s">
        <v>788</v>
      </c>
      <c r="AD180" s="31"/>
      <c r="AE180" s="698">
        <v>250704.27537613772</v>
      </c>
      <c r="AF180" s="238"/>
      <c r="AG180" s="142">
        <v>56028.358793074178</v>
      </c>
      <c r="AH180" s="175"/>
      <c r="AI180" s="175"/>
      <c r="AQ180" s="31"/>
      <c r="AR180" s="31"/>
      <c r="AS180" s="699"/>
      <c r="AT180" s="238"/>
      <c r="AU180" s="238"/>
      <c r="AV180" s="176"/>
      <c r="AW180" s="129"/>
      <c r="AX180" s="129"/>
    </row>
    <row r="181" spans="1:58" s="23" customFormat="1" ht="15" thickTop="1" x14ac:dyDescent="0.3">
      <c r="A181" s="79"/>
      <c r="B181" s="80"/>
      <c r="C181" s="80"/>
      <c r="D181" s="81"/>
      <c r="E181" s="80"/>
      <c r="F181" s="80"/>
      <c r="G181" s="80"/>
      <c r="H181" s="80"/>
      <c r="I181" s="239"/>
      <c r="J181" s="80"/>
      <c r="K181" s="80"/>
      <c r="L181" s="80"/>
      <c r="M181" s="80"/>
      <c r="N181" s="80"/>
      <c r="O181" s="116"/>
      <c r="P181" s="116"/>
      <c r="Q181" s="239"/>
      <c r="R181" s="239"/>
      <c r="S181" s="239"/>
      <c r="T181" s="154"/>
      <c r="U181" s="154"/>
      <c r="V181" s="154"/>
      <c r="W181" s="155"/>
      <c r="X181" s="155"/>
      <c r="Y181" s="155"/>
      <c r="Z181" s="80"/>
      <c r="AA181" s="80"/>
      <c r="AB181" s="80"/>
      <c r="AC181" s="80"/>
      <c r="AD181" s="116"/>
      <c r="AE181" s="239"/>
      <c r="AF181" s="239"/>
      <c r="AG181" s="182"/>
      <c r="AH181" s="182"/>
      <c r="AI181" s="182"/>
      <c r="AJ181" s="183"/>
      <c r="AK181" s="183"/>
      <c r="AL181" s="183"/>
      <c r="AM181" s="80"/>
      <c r="AN181" s="80"/>
      <c r="AO181" s="80"/>
      <c r="AP181" s="80"/>
      <c r="AQ181" s="116"/>
      <c r="AR181" s="116"/>
      <c r="AS181" s="239"/>
      <c r="AT181" s="239"/>
      <c r="AU181" s="239"/>
      <c r="AV181" s="154"/>
      <c r="AW181" s="154"/>
      <c r="AX181" s="154"/>
      <c r="AY181" s="80"/>
      <c r="AZ181" s="80"/>
      <c r="BA181" s="80"/>
      <c r="BB181" s="193"/>
      <c r="BC181" s="193"/>
      <c r="BD181" s="193"/>
      <c r="BE181" s="80"/>
      <c r="BF181" s="80"/>
    </row>
    <row r="182" spans="1:58" s="13" customFormat="1" x14ac:dyDescent="0.3">
      <c r="A182" s="82"/>
      <c r="B182" s="30" t="s">
        <v>1110</v>
      </c>
      <c r="C182" s="29"/>
      <c r="D182" s="29"/>
      <c r="E182" s="29"/>
      <c r="F182" s="29"/>
      <c r="G182" s="29"/>
      <c r="H182" s="29"/>
      <c r="I182" s="213"/>
      <c r="J182" s="29"/>
      <c r="K182" s="29"/>
      <c r="L182" s="29"/>
      <c r="M182" s="29"/>
      <c r="N182" s="29"/>
      <c r="O182" s="29"/>
      <c r="P182" s="29"/>
      <c r="Q182" s="213"/>
      <c r="R182" s="213"/>
      <c r="S182" s="213"/>
      <c r="T182" s="29"/>
      <c r="U182" s="29"/>
      <c r="V182" s="29"/>
      <c r="W182" s="29"/>
      <c r="X182" s="29"/>
      <c r="Y182" s="29"/>
      <c r="Z182" s="29"/>
      <c r="AA182" s="29"/>
      <c r="AB182" s="29"/>
      <c r="AC182" s="29"/>
      <c r="AD182" s="29"/>
      <c r="AE182" s="213"/>
      <c r="AF182" s="213"/>
      <c r="AG182" s="184"/>
      <c r="AH182" s="184"/>
      <c r="AI182" s="184"/>
      <c r="AJ182" s="184"/>
      <c r="AK182" s="184"/>
      <c r="AL182" s="184"/>
      <c r="AM182" s="29"/>
      <c r="AN182" s="29"/>
      <c r="AO182" s="29"/>
      <c r="AP182" s="29"/>
      <c r="AQ182" s="29"/>
      <c r="AR182" s="29"/>
      <c r="AS182" s="213"/>
      <c r="AT182" s="213"/>
      <c r="AU182" s="213"/>
      <c r="AV182" s="29"/>
      <c r="AW182" s="29"/>
      <c r="AX182" s="29"/>
      <c r="AY182" s="29"/>
      <c r="AZ182" s="29"/>
      <c r="BA182" s="29"/>
      <c r="BB182" s="29"/>
      <c r="BC182" s="29"/>
      <c r="BD182" s="29"/>
      <c r="BE182" s="29"/>
      <c r="BF182" s="29"/>
    </row>
    <row r="183" spans="1:58" x14ac:dyDescent="0.3">
      <c r="A183" s="33"/>
      <c r="I183" s="208"/>
      <c r="Q183" s="208"/>
      <c r="R183" s="208"/>
      <c r="S183" s="208"/>
      <c r="AE183" s="208"/>
      <c r="AF183" s="208"/>
      <c r="AS183" s="208"/>
      <c r="AT183" s="208"/>
      <c r="AU183" s="208"/>
    </row>
    <row r="184" spans="1:58" x14ac:dyDescent="0.3">
      <c r="A184" s="33">
        <v>13</v>
      </c>
      <c r="B184" s="31" t="s">
        <v>370</v>
      </c>
      <c r="C184" s="31" t="s">
        <v>371</v>
      </c>
      <c r="E184" s="40" t="s">
        <v>1269</v>
      </c>
      <c r="F184" s="40"/>
      <c r="G184" s="31">
        <v>100</v>
      </c>
      <c r="H184" s="31">
        <f>G184+273.15</f>
        <v>373.15</v>
      </c>
      <c r="I184" s="208">
        <f>-LOG10(EXP(LN(10^-14)+13.36*(1/298.15-1/H184)/0.0019872))</f>
        <v>12.031695910973252</v>
      </c>
      <c r="J184" s="91">
        <v>21.16</v>
      </c>
      <c r="O184" s="86"/>
      <c r="P184" s="87"/>
      <c r="Q184" s="208"/>
      <c r="R184" s="209"/>
      <c r="S184" s="209"/>
      <c r="T184" s="118"/>
      <c r="U184" s="118"/>
      <c r="V184" s="118"/>
      <c r="W184" s="119"/>
      <c r="X184" s="119"/>
      <c r="Y184" s="119"/>
      <c r="Z184" s="31">
        <v>7</v>
      </c>
      <c r="AB184" s="103">
        <f>4.42*10^-6</f>
        <v>4.42E-6</v>
      </c>
      <c r="AC184" s="31" t="s">
        <v>600</v>
      </c>
      <c r="AD184" s="86">
        <f>AB184</f>
        <v>4.42E-6</v>
      </c>
      <c r="AE184" s="219">
        <f>(LN(2)/AF184)/(60*60*24)</f>
        <v>2378.773606531789</v>
      </c>
      <c r="AF184" s="209">
        <f>EXP(LN(AD184)+$J184*(1/$H184-1/298.15)/0.0019872)</f>
        <v>3.3725516333322379E-9</v>
      </c>
      <c r="AG184" s="170">
        <f>AVERAGE(AE184:AE185)</f>
        <v>3370.142971596425</v>
      </c>
      <c r="AH184" s="170">
        <f>MEDIAN(AE184:AE185)</f>
        <v>3370.142971596425</v>
      </c>
      <c r="AI184" s="156">
        <f>STDEV(AE184:AE185)</f>
        <v>1402.0080013956103</v>
      </c>
      <c r="AQ184" s="86"/>
      <c r="AR184" s="86"/>
      <c r="AS184" s="208"/>
      <c r="AT184" s="209"/>
      <c r="AU184" s="209"/>
      <c r="AV184" s="118"/>
      <c r="AW184" s="118"/>
      <c r="AX184" s="118"/>
    </row>
    <row r="185" spans="1:58" x14ac:dyDescent="0.3">
      <c r="A185" s="33"/>
      <c r="E185" s="31" t="s">
        <v>549</v>
      </c>
      <c r="F185" s="31" t="s">
        <v>697</v>
      </c>
      <c r="G185" s="31">
        <v>100</v>
      </c>
      <c r="H185" s="31">
        <f>G185+273.15</f>
        <v>373.15</v>
      </c>
      <c r="I185" s="208">
        <f>-LOG10(EXP(LN(10^-14)+13.36*(1/298.15-1/H185)/0.0019872))</f>
        <v>12.031695910973252</v>
      </c>
      <c r="J185" s="91">
        <v>22.9</v>
      </c>
      <c r="O185" s="86"/>
      <c r="P185" s="87"/>
      <c r="Q185" s="208"/>
      <c r="R185" s="209"/>
      <c r="S185" s="209"/>
      <c r="T185" s="118"/>
      <c r="U185" s="118"/>
      <c r="V185" s="118"/>
      <c r="W185" s="119"/>
      <c r="X185" s="119"/>
      <c r="Y185" s="119"/>
      <c r="AB185" s="123">
        <v>4.3499999999999999E-6</v>
      </c>
      <c r="AC185" s="31" t="s">
        <v>600</v>
      </c>
      <c r="AD185" s="86">
        <f>AB185</f>
        <v>4.3499999999999999E-6</v>
      </c>
      <c r="AE185" s="219">
        <f>(LN(2)/AF185)/(60*60*24)</f>
        <v>4361.5123366610605</v>
      </c>
      <c r="AF185" s="209">
        <f>EXP(LN(AD185)+$J185*(1/$H185-1/298.15)/0.0019872)</f>
        <v>1.8393933555116403E-9</v>
      </c>
      <c r="AQ185" s="86"/>
      <c r="AR185" s="86"/>
      <c r="AS185" s="219"/>
      <c r="AT185" s="209"/>
      <c r="AU185" s="209"/>
      <c r="AV185" s="118"/>
      <c r="AW185" s="118"/>
      <c r="AX185" s="118"/>
    </row>
    <row r="186" spans="1:58" x14ac:dyDescent="0.3">
      <c r="A186" s="33"/>
      <c r="E186" s="31" t="s">
        <v>549</v>
      </c>
      <c r="F186" s="31" t="s">
        <v>658</v>
      </c>
      <c r="G186" s="31">
        <v>100</v>
      </c>
      <c r="H186" s="31">
        <f>G186+273.15</f>
        <v>373.15</v>
      </c>
      <c r="I186" s="208">
        <f>-LOG10(EXP(LN(10^-14)+13.36*(1/298.15-1/H186)/0.0019872))</f>
        <v>12.031695910973252</v>
      </c>
      <c r="J186" s="91">
        <v>21.6</v>
      </c>
      <c r="O186" s="86"/>
      <c r="P186" s="87"/>
      <c r="Q186" s="208"/>
      <c r="R186" s="209"/>
      <c r="S186" s="209"/>
      <c r="T186" s="118"/>
      <c r="U186" s="118"/>
      <c r="V186" s="118"/>
      <c r="W186" s="119"/>
      <c r="X186" s="119"/>
      <c r="Y186" s="119"/>
      <c r="AD186" s="87"/>
      <c r="AE186" s="208"/>
      <c r="AF186" s="209"/>
      <c r="AO186" s="103">
        <v>8.9800000000000004E-4</v>
      </c>
      <c r="AP186" s="31" t="s">
        <v>657</v>
      </c>
      <c r="AQ186" s="86">
        <f>AR186*10^(9-I186)</f>
        <v>8.3479612735782289E-7</v>
      </c>
      <c r="AR186" s="86">
        <f>AO186</f>
        <v>8.9800000000000004E-4</v>
      </c>
      <c r="AS186" s="653">
        <f>(LN(2)/AT186)/(60*60*24)</f>
        <v>1359325.3935457019</v>
      </c>
      <c r="AT186" s="209">
        <f>AU186*10^(9-14)</f>
        <v>5.901851646506946E-12</v>
      </c>
      <c r="AU186" s="209">
        <f>EXP(LN(AR186)+$J186*(1/$H186-1/298.15)/0.0019872)</f>
        <v>5.9018516465069457E-7</v>
      </c>
      <c r="AV186" s="118">
        <f>AS186</f>
        <v>1359325.3935457019</v>
      </c>
      <c r="AW186" s="118"/>
      <c r="AX186" s="118"/>
    </row>
    <row r="187" spans="1:58" ht="15" thickBot="1" x14ac:dyDescent="0.35">
      <c r="A187" s="33"/>
      <c r="I187" s="208"/>
      <c r="Q187" s="208"/>
      <c r="R187" s="208"/>
      <c r="S187" s="208"/>
      <c r="AE187" s="208"/>
      <c r="AF187" s="208"/>
      <c r="AS187" s="208"/>
      <c r="AT187" s="208"/>
      <c r="AU187" s="208"/>
    </row>
    <row r="188" spans="1:58" s="8" customFormat="1" x14ac:dyDescent="0.3">
      <c r="A188" s="36">
        <v>24</v>
      </c>
      <c r="B188" s="37" t="s">
        <v>389</v>
      </c>
      <c r="C188" s="37" t="s">
        <v>390</v>
      </c>
      <c r="D188" s="38"/>
      <c r="E188" s="39" t="s">
        <v>394</v>
      </c>
      <c r="F188" s="39" t="s">
        <v>395</v>
      </c>
      <c r="G188" s="37">
        <f>363-273</f>
        <v>90</v>
      </c>
      <c r="H188" s="37">
        <f>G188+273.15</f>
        <v>363.15</v>
      </c>
      <c r="I188" s="214">
        <f>-LOG10(EXP(LN(10^-14)+13.36*(1/298.15-1/H188)/0.0019872))</f>
        <v>12.247162380895993</v>
      </c>
      <c r="J188" s="96">
        <v>24.89</v>
      </c>
      <c r="K188" s="37"/>
      <c r="L188" s="37"/>
      <c r="M188" s="37"/>
      <c r="N188" s="37"/>
      <c r="O188" s="89"/>
      <c r="P188" s="90"/>
      <c r="Q188" s="214"/>
      <c r="R188" s="215"/>
      <c r="S188" s="215"/>
      <c r="T188" s="120"/>
      <c r="U188" s="120"/>
      <c r="V188" s="120"/>
      <c r="W188" s="121"/>
      <c r="X188" s="121"/>
      <c r="Y188" s="121"/>
      <c r="Z188" s="37">
        <v>7</v>
      </c>
      <c r="AA188" s="37"/>
      <c r="AB188" s="122">
        <f>5.18*10^-4</f>
        <v>5.1800000000000001E-4</v>
      </c>
      <c r="AC188" s="37" t="s">
        <v>600</v>
      </c>
      <c r="AD188" s="89">
        <f>AB188</f>
        <v>5.1800000000000001E-4</v>
      </c>
      <c r="AE188" s="218">
        <f>(LN(2)/AF188)/(60*60*24)</f>
        <v>28.54699686519815</v>
      </c>
      <c r="AF188" s="215">
        <f>EXP(LN(AD188)+$J188*(1/$H188-1/298.15)/0.0019872)</f>
        <v>2.8102909913500343E-7</v>
      </c>
      <c r="AG188" s="163">
        <f>AE188</f>
        <v>28.54699686519815</v>
      </c>
      <c r="AH188" s="158"/>
      <c r="AI188" s="158"/>
      <c r="AJ188" s="159"/>
      <c r="AK188" s="159"/>
      <c r="AL188" s="159"/>
      <c r="AM188" s="37"/>
      <c r="AN188" s="37"/>
      <c r="AO188" s="37"/>
      <c r="AP188" s="37"/>
      <c r="AQ188" s="89"/>
      <c r="AR188" s="89"/>
      <c r="AS188" s="214"/>
      <c r="AT188" s="215"/>
      <c r="AU188" s="215"/>
      <c r="AV188" s="120"/>
      <c r="AW188" s="120"/>
      <c r="AX188" s="120"/>
      <c r="AY188" s="37"/>
      <c r="AZ188" s="37"/>
      <c r="BA188" s="37"/>
      <c r="BB188" s="186"/>
      <c r="BC188" s="186"/>
      <c r="BD188" s="186"/>
      <c r="BE188" s="37"/>
      <c r="BF188" s="37"/>
    </row>
    <row r="189" spans="1:58" x14ac:dyDescent="0.3">
      <c r="A189" s="33"/>
      <c r="E189" s="40"/>
      <c r="I189" s="208"/>
      <c r="J189" s="92"/>
      <c r="O189" s="86"/>
      <c r="P189" s="87"/>
      <c r="Q189" s="208"/>
      <c r="R189" s="209"/>
      <c r="S189" s="209"/>
      <c r="T189" s="118"/>
      <c r="U189" s="118"/>
      <c r="V189" s="118"/>
      <c r="W189" s="119"/>
      <c r="X189" s="119"/>
      <c r="Y189" s="119"/>
      <c r="AB189" s="103"/>
      <c r="AD189" s="86"/>
      <c r="AE189" s="208"/>
      <c r="AF189" s="209"/>
      <c r="AQ189" s="86"/>
      <c r="AR189" s="86"/>
      <c r="AS189" s="208"/>
      <c r="AT189" s="209"/>
      <c r="AU189" s="209"/>
      <c r="AV189" s="118"/>
      <c r="AW189" s="118"/>
      <c r="AX189" s="118"/>
    </row>
    <row r="190" spans="1:58" s="9" customFormat="1" x14ac:dyDescent="0.3">
      <c r="A190" s="41">
        <v>33</v>
      </c>
      <c r="B190" s="83" t="s">
        <v>551</v>
      </c>
      <c r="C190" s="83" t="s">
        <v>552</v>
      </c>
      <c r="D190" s="84"/>
      <c r="E190" s="42" t="s">
        <v>557</v>
      </c>
      <c r="F190" s="42"/>
      <c r="G190" s="42">
        <v>87</v>
      </c>
      <c r="H190" s="42">
        <f>G190+273.15</f>
        <v>360.15</v>
      </c>
      <c r="I190" s="216">
        <f>-LOG10(EXP(LN(10^-14)+13.36*(1/298.15-1/H190)/0.0019872))</f>
        <v>12.314135569777017</v>
      </c>
      <c r="J190" s="93">
        <v>24.89</v>
      </c>
      <c r="K190" s="42">
        <v>3.14</v>
      </c>
      <c r="L190" s="42">
        <v>120</v>
      </c>
      <c r="M190" s="42">
        <f>0.00024</f>
        <v>2.4000000000000001E-4</v>
      </c>
      <c r="N190" s="42" t="s">
        <v>1256</v>
      </c>
      <c r="O190" s="94">
        <f>M190*10^(K190-5)/3600</f>
        <v>9.2025617640192318E-10</v>
      </c>
      <c r="P190" s="94">
        <f>O190*10^5</f>
        <v>9.2025617640192315E-5</v>
      </c>
      <c r="Q190" s="217">
        <f>(LN(2)/R190)/(60*60*24)</f>
        <v>12056154.118961323</v>
      </c>
      <c r="R190" s="217">
        <f>S190*10^-5</f>
        <v>6.6543084410466803E-13</v>
      </c>
      <c r="S190" s="217">
        <f>EXP(LN(P190)+$J190*(1/$H190-1/298.15)/0.0019872)</f>
        <v>6.6543084410466796E-8</v>
      </c>
      <c r="T190" s="124">
        <f>Q190</f>
        <v>12056154.118961323</v>
      </c>
      <c r="U190" s="124"/>
      <c r="V190" s="124"/>
      <c r="W190" s="125"/>
      <c r="X190" s="125"/>
      <c r="Y190" s="125"/>
      <c r="Z190" s="42"/>
      <c r="AA190" s="42"/>
      <c r="AB190" s="42"/>
      <c r="AC190" s="42"/>
      <c r="AD190" s="94"/>
      <c r="AE190" s="700"/>
      <c r="AF190" s="217"/>
      <c r="AG190" s="160"/>
      <c r="AH190" s="160"/>
      <c r="AI190" s="160"/>
      <c r="AJ190" s="161"/>
      <c r="AK190" s="161"/>
      <c r="AL190" s="161"/>
      <c r="AM190" s="42"/>
      <c r="AN190" s="42"/>
      <c r="AO190" s="42"/>
      <c r="AP190" s="42"/>
      <c r="AQ190" s="94"/>
      <c r="AR190" s="94"/>
      <c r="AS190" s="216"/>
      <c r="AT190" s="217"/>
      <c r="AU190" s="217"/>
      <c r="AV190" s="124"/>
      <c r="AW190" s="124"/>
      <c r="AX190" s="124"/>
      <c r="AY190" s="42"/>
      <c r="AZ190" s="42"/>
      <c r="BA190" s="42"/>
      <c r="BB190" s="187"/>
      <c r="BC190" s="187"/>
      <c r="BD190" s="187"/>
      <c r="BE190" s="42"/>
      <c r="BF190" s="42"/>
    </row>
    <row r="191" spans="1:58" x14ac:dyDescent="0.3">
      <c r="A191" s="33"/>
      <c r="B191" s="47"/>
      <c r="C191" s="47"/>
      <c r="D191" s="48"/>
      <c r="G191" s="31">
        <v>68.7</v>
      </c>
      <c r="H191" s="31">
        <f>G191+273.15</f>
        <v>341.84999999999997</v>
      </c>
      <c r="I191" s="208">
        <f>-LOG10(EXP(LN(10^-14)+13.36*(1/298.15-1/H191)/0.0019872))</f>
        <v>12.748127123403114</v>
      </c>
      <c r="J191" s="92">
        <v>24.89</v>
      </c>
      <c r="M191" s="838"/>
      <c r="O191" s="86"/>
      <c r="P191" s="87"/>
      <c r="Q191" s="208"/>
      <c r="R191" s="209"/>
      <c r="S191" s="209"/>
      <c r="T191" s="118"/>
      <c r="U191" s="118"/>
      <c r="V191" s="118"/>
      <c r="W191" s="119"/>
      <c r="X191" s="119"/>
      <c r="Y191" s="119"/>
      <c r="Z191" s="31">
        <v>7.25</v>
      </c>
      <c r="AA191" s="31">
        <v>72</v>
      </c>
      <c r="AB191" s="103">
        <v>4.0000000000000002E-4</v>
      </c>
      <c r="AC191" s="31" t="s">
        <v>1256</v>
      </c>
      <c r="AD191" s="86">
        <f>AB191/3600</f>
        <v>1.1111111111111112E-7</v>
      </c>
      <c r="AE191" s="219">
        <f>(LN(2)/AF191)/(60*60*24)</f>
        <v>15517.558170114384</v>
      </c>
      <c r="AF191" s="209">
        <f>EXP(LN(AD191)+$J191*(1/$H191-1/298.15)/0.0019872)</f>
        <v>5.1699737317480723E-10</v>
      </c>
      <c r="AG191" s="170">
        <f>AE191</f>
        <v>15517.558170114384</v>
      </c>
      <c r="AO191" s="103"/>
      <c r="AQ191" s="86"/>
      <c r="AR191" s="86"/>
      <c r="AS191" s="219"/>
      <c r="AT191" s="209"/>
      <c r="AU191" s="209"/>
      <c r="AV191" s="118">
        <f>AVERAGE(AS191:AS192)</f>
        <v>13541484.06511372</v>
      </c>
      <c r="AW191" s="118"/>
      <c r="AX191" s="118"/>
    </row>
    <row r="192" spans="1:58" x14ac:dyDescent="0.3">
      <c r="A192" s="33"/>
      <c r="B192" s="47"/>
      <c r="C192" s="47"/>
      <c r="D192" s="48"/>
      <c r="G192" s="31">
        <v>68.7</v>
      </c>
      <c r="H192" s="31">
        <f>G192+273.15</f>
        <v>341.84999999999997</v>
      </c>
      <c r="I192" s="208">
        <f>-LOG10(EXP(LN(10^-14)+13.36*(1/298.15-1/H192)/0.0019872))</f>
        <v>12.748127123403114</v>
      </c>
      <c r="J192" s="92">
        <v>24.89</v>
      </c>
      <c r="O192" s="86"/>
      <c r="P192" s="87"/>
      <c r="Q192" s="208"/>
      <c r="R192" s="209"/>
      <c r="S192" s="209"/>
      <c r="T192" s="118"/>
      <c r="U192" s="118"/>
      <c r="V192" s="118"/>
      <c r="W192" s="119"/>
      <c r="X192" s="119"/>
      <c r="Y192" s="119"/>
      <c r="AD192" s="86"/>
      <c r="AE192" s="701"/>
      <c r="AF192" s="209"/>
      <c r="AM192" s="31">
        <v>9.99</v>
      </c>
      <c r="AN192" s="31">
        <v>365</v>
      </c>
      <c r="AO192" s="103">
        <f>0.00008/3600</f>
        <v>2.2222222222222224E-8</v>
      </c>
      <c r="AP192" s="31" t="s">
        <v>600</v>
      </c>
      <c r="AQ192" s="86">
        <f>AO192*10^(9-AM192)</f>
        <v>2.273984427290563E-9</v>
      </c>
      <c r="AR192" s="86">
        <f>AQ192*10^($I192-9)</f>
        <v>1.2732527112405767E-5</v>
      </c>
      <c r="AS192" s="653">
        <f>(LN(2)/AT192)/(60*60*24)</f>
        <v>13541484.06511372</v>
      </c>
      <c r="AT192" s="209">
        <f>AU192*10^(9-14)</f>
        <v>5.9244147638917087E-13</v>
      </c>
      <c r="AU192" s="209">
        <f>EXP(LN(AR192)+$J192*(1/$H192-1/298.15)/0.0019872)</f>
        <v>5.9244147638917079E-8</v>
      </c>
      <c r="AV192" s="118"/>
      <c r="AW192" s="118"/>
      <c r="AX192" s="118"/>
    </row>
    <row r="193" spans="1:50" x14ac:dyDescent="0.3">
      <c r="A193" s="33"/>
      <c r="B193" s="47"/>
      <c r="C193" s="47"/>
      <c r="D193" s="48"/>
      <c r="E193" s="31" t="s">
        <v>676</v>
      </c>
      <c r="F193" s="31" t="s">
        <v>556</v>
      </c>
      <c r="G193" s="31">
        <v>25</v>
      </c>
      <c r="H193" s="31">
        <f>G193+273.15</f>
        <v>298.14999999999998</v>
      </c>
      <c r="I193" s="208">
        <f>-LOG10(EXP(LN(10^-14)+13.36*(1/298.15-1/H193)/0.0019872))</f>
        <v>14</v>
      </c>
      <c r="J193" s="92">
        <v>24.89</v>
      </c>
      <c r="O193" s="86"/>
      <c r="P193" s="87"/>
      <c r="Q193" s="208"/>
      <c r="R193" s="209"/>
      <c r="S193" s="209"/>
      <c r="T193" s="118"/>
      <c r="U193" s="118"/>
      <c r="V193" s="118"/>
      <c r="W193" s="119"/>
      <c r="X193" s="119"/>
      <c r="Y193" s="119"/>
      <c r="Z193" s="31">
        <v>7</v>
      </c>
      <c r="AB193" s="131" t="s">
        <v>1270</v>
      </c>
      <c r="AC193" s="31" t="s">
        <v>600</v>
      </c>
      <c r="AD193" s="86"/>
      <c r="AE193" s="701"/>
      <c r="AF193" s="209"/>
      <c r="AO193" s="103"/>
      <c r="AQ193" s="86"/>
      <c r="AR193" s="86"/>
      <c r="AS193" s="208"/>
      <c r="AT193" s="209"/>
      <c r="AU193" s="209"/>
      <c r="AV193" s="118"/>
      <c r="AW193" s="118"/>
      <c r="AX193" s="118"/>
    </row>
    <row r="194" spans="1:50" x14ac:dyDescent="0.3">
      <c r="I194" s="208"/>
      <c r="Q194" s="208"/>
      <c r="R194" s="208"/>
      <c r="S194" s="208"/>
      <c r="AE194" s="208"/>
      <c r="AF194" s="208"/>
      <c r="AS194" s="208"/>
      <c r="AT194" s="208"/>
      <c r="AU194" s="208"/>
    </row>
  </sheetData>
  <sheetProtection formatCells="0" formatColumns="0" formatRows="0" insertColumns="0" insertRows="0" insertHyperlinks="0" deleteColumns="0" deleteRows="0" sort="0"/>
  <mergeCells count="1">
    <mergeCell ref="A1:C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73"/>
  <sheetViews>
    <sheetView zoomScale="90" zoomScaleNormal="90" workbookViewId="0">
      <selection sqref="A1:B1"/>
    </sheetView>
  </sheetViews>
  <sheetFormatPr defaultRowHeight="14.4" x14ac:dyDescent="0.3"/>
  <cols>
    <col min="1" max="1" width="5.6640625" style="31" customWidth="1"/>
    <col min="2" max="2" width="33.44140625" style="31" customWidth="1"/>
    <col min="3" max="3" width="41.6640625" style="31" customWidth="1"/>
    <col min="4" max="4" width="28" style="40" customWidth="1"/>
    <col min="5" max="5" width="35.109375" style="31" customWidth="1"/>
    <col min="6" max="6" width="41.5546875" style="31" customWidth="1"/>
    <col min="7" max="8" width="12.33203125" style="31" customWidth="1"/>
    <col min="9" max="9" width="8.88671875" style="583" customWidth="1"/>
    <col min="10" max="10" width="9.33203125" style="31" bestFit="1" customWidth="1"/>
    <col min="11" max="12" width="10.109375" style="31" customWidth="1"/>
    <col min="13" max="13" width="11.44140625" style="103" customWidth="1"/>
    <col min="14" max="14" width="10.33203125" style="31" customWidth="1"/>
    <col min="15" max="15" width="10.33203125" style="250" customWidth="1"/>
    <col min="16" max="16" width="12.33203125" style="247" bestFit="1" customWidth="1"/>
    <col min="17" max="18" width="10.33203125" style="583" customWidth="1"/>
    <col min="19" max="19" width="12.33203125" style="586" bestFit="1" customWidth="1"/>
    <col min="20" max="22" width="10.33203125" style="184" customWidth="1"/>
    <col min="23" max="23" width="15" style="157" customWidth="1"/>
    <col min="24" max="24" width="16.44140625" style="157" customWidth="1"/>
    <col min="25" max="25" width="15" style="157" customWidth="1"/>
    <col min="26" max="27" width="8.88671875" style="31"/>
    <col min="28" max="28" width="11.44140625" style="103" customWidth="1"/>
    <col min="29" max="29" width="10.109375" style="31" customWidth="1"/>
    <col min="30" max="30" width="14.88671875" style="250" bestFit="1" customWidth="1"/>
    <col min="31" max="31" width="10.33203125" style="583" customWidth="1"/>
    <col min="32" max="32" width="10.33203125" style="586" customWidth="1"/>
    <col min="33" max="35" width="10.109375" style="184" customWidth="1"/>
    <col min="36" max="38" width="16.6640625" style="157" customWidth="1"/>
    <col min="39" max="40" width="10.109375" style="31" customWidth="1"/>
    <col min="41" max="41" width="11.44140625" style="103" customWidth="1"/>
    <col min="42" max="42" width="10.33203125" style="31" customWidth="1"/>
    <col min="43" max="43" width="10.33203125" style="250" customWidth="1"/>
    <col min="44" max="44" width="12.33203125" style="250" bestFit="1" customWidth="1"/>
    <col min="45" max="45" width="10.33203125" style="583" customWidth="1"/>
    <col min="46" max="46" width="10.33203125" style="586" customWidth="1"/>
    <col min="47" max="47" width="12.33203125" style="586" bestFit="1" customWidth="1"/>
    <col min="48" max="48" width="18.44140625" style="184" customWidth="1"/>
    <col min="49" max="49" width="10.33203125" style="184" customWidth="1"/>
    <col min="50" max="50" width="20.5546875" style="184" customWidth="1"/>
    <col min="51" max="53" width="14.6640625" style="31" customWidth="1"/>
    <col min="54" max="54" width="17.88671875" style="185" customWidth="1"/>
    <col min="55" max="55" width="16.5546875" style="185" bestFit="1" customWidth="1"/>
    <col min="56" max="56" width="9.109375" style="185"/>
    <col min="57" max="58" width="8.88671875" style="31"/>
  </cols>
  <sheetData>
    <row r="1" spans="1:58" x14ac:dyDescent="0.3">
      <c r="A1" s="899" t="s">
        <v>739</v>
      </c>
      <c r="B1" s="899"/>
      <c r="C1" s="657"/>
      <c r="D1" s="582"/>
      <c r="J1" s="601"/>
      <c r="K1" s="108" t="s">
        <v>626</v>
      </c>
      <c r="M1" s="31"/>
      <c r="O1" s="86" t="s">
        <v>601</v>
      </c>
      <c r="P1" s="87"/>
      <c r="Q1" s="583" t="s">
        <v>602</v>
      </c>
      <c r="R1" s="586"/>
      <c r="T1" s="118"/>
      <c r="U1" s="118"/>
      <c r="V1" s="118"/>
      <c r="W1" s="587"/>
      <c r="X1" s="587"/>
      <c r="Y1" s="587"/>
      <c r="Z1" s="108" t="s">
        <v>89</v>
      </c>
      <c r="AB1" s="31"/>
      <c r="AD1" s="87" t="s">
        <v>601</v>
      </c>
      <c r="AE1" s="583" t="s">
        <v>602</v>
      </c>
      <c r="AG1" s="156"/>
      <c r="AH1" s="156"/>
      <c r="AI1" s="156"/>
      <c r="AJ1" s="587"/>
      <c r="AK1" s="587"/>
      <c r="AL1" s="587"/>
      <c r="AM1" s="108" t="s">
        <v>627</v>
      </c>
      <c r="AO1" s="31"/>
      <c r="AQ1" s="86" t="s">
        <v>601</v>
      </c>
      <c r="AR1" s="86"/>
      <c r="AS1" s="583" t="s">
        <v>602</v>
      </c>
      <c r="AV1" s="118"/>
      <c r="AW1" s="118"/>
      <c r="AX1" s="118"/>
      <c r="AY1" s="587"/>
      <c r="AZ1" s="587"/>
      <c r="BA1" s="587"/>
    </row>
    <row r="2" spans="1:58" x14ac:dyDescent="0.3">
      <c r="D2" s="32"/>
      <c r="H2" s="584"/>
      <c r="J2" s="601"/>
      <c r="K2" s="108"/>
      <c r="M2" s="31"/>
      <c r="O2" s="588" t="s">
        <v>603</v>
      </c>
      <c r="P2" s="589"/>
      <c r="Q2" s="590" t="s">
        <v>603</v>
      </c>
      <c r="R2" s="590" t="s">
        <v>603</v>
      </c>
      <c r="S2" s="590"/>
      <c r="T2" s="591" t="s">
        <v>801</v>
      </c>
      <c r="U2" s="591"/>
      <c r="V2" s="591"/>
      <c r="W2" s="592"/>
      <c r="X2" s="592"/>
      <c r="Y2" s="592"/>
      <c r="AB2" s="31"/>
      <c r="AD2" s="589"/>
      <c r="AF2" s="590"/>
      <c r="AG2" s="593" t="s">
        <v>801</v>
      </c>
      <c r="AH2" s="593"/>
      <c r="AI2" s="593"/>
      <c r="AJ2" s="592"/>
      <c r="AK2" s="592"/>
      <c r="AL2" s="592"/>
      <c r="AM2" s="108"/>
      <c r="AO2" s="31"/>
      <c r="AQ2" s="588" t="s">
        <v>604</v>
      </c>
      <c r="AR2" s="588"/>
      <c r="AS2" s="590" t="s">
        <v>604</v>
      </c>
      <c r="AT2" s="590" t="s">
        <v>604</v>
      </c>
      <c r="AU2" s="590"/>
      <c r="AV2" s="591" t="s">
        <v>801</v>
      </c>
      <c r="AW2" s="591"/>
      <c r="AX2" s="591"/>
      <c r="AY2" s="592"/>
      <c r="AZ2" s="592"/>
      <c r="BA2" s="592"/>
    </row>
    <row r="3" spans="1:58" ht="43.2" x14ac:dyDescent="0.3">
      <c r="B3" s="108" t="s">
        <v>1</v>
      </c>
      <c r="C3" s="108" t="s">
        <v>2</v>
      </c>
      <c r="D3" s="378" t="s">
        <v>930</v>
      </c>
      <c r="E3" s="108" t="s">
        <v>5</v>
      </c>
      <c r="F3" s="108" t="s">
        <v>7</v>
      </c>
      <c r="G3" s="594" t="s">
        <v>1176</v>
      </c>
      <c r="H3" s="594" t="s">
        <v>1176</v>
      </c>
      <c r="I3" s="595" t="s">
        <v>593</v>
      </c>
      <c r="J3" s="92"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row>
    <row r="4" spans="1:58" x14ac:dyDescent="0.3">
      <c r="D4" s="32"/>
      <c r="G4" s="33" t="s">
        <v>85</v>
      </c>
      <c r="H4" s="33" t="s">
        <v>522</v>
      </c>
      <c r="I4" s="595"/>
      <c r="J4" s="601" t="s">
        <v>595</v>
      </c>
      <c r="L4" s="31" t="s">
        <v>88</v>
      </c>
      <c r="M4" s="31"/>
      <c r="O4" s="86" t="s">
        <v>596</v>
      </c>
      <c r="P4" s="87" t="s">
        <v>597</v>
      </c>
      <c r="Q4" s="583" t="s">
        <v>88</v>
      </c>
      <c r="R4" s="586" t="s">
        <v>596</v>
      </c>
      <c r="S4" s="586" t="s">
        <v>597</v>
      </c>
      <c r="T4" s="117" t="s">
        <v>88</v>
      </c>
      <c r="U4" s="117" t="s">
        <v>88</v>
      </c>
      <c r="V4" s="117" t="s">
        <v>88</v>
      </c>
      <c r="W4" s="592"/>
      <c r="X4" s="592"/>
      <c r="Y4" s="592"/>
      <c r="AA4" s="31" t="s">
        <v>88</v>
      </c>
      <c r="AB4" s="31"/>
      <c r="AD4" s="87" t="s">
        <v>596</v>
      </c>
      <c r="AE4" s="583" t="s">
        <v>88</v>
      </c>
      <c r="AF4" s="586" t="s">
        <v>596</v>
      </c>
      <c r="AG4" s="292" t="s">
        <v>88</v>
      </c>
      <c r="AH4" s="292" t="s">
        <v>88</v>
      </c>
      <c r="AI4" s="292" t="s">
        <v>88</v>
      </c>
      <c r="AJ4" s="602"/>
      <c r="AK4" s="602"/>
      <c r="AL4" s="602"/>
      <c r="AN4" s="31" t="s">
        <v>88</v>
      </c>
      <c r="AO4" s="31"/>
      <c r="AQ4" s="86" t="s">
        <v>596</v>
      </c>
      <c r="AR4" s="86" t="s">
        <v>597</v>
      </c>
      <c r="AS4" s="583" t="s">
        <v>88</v>
      </c>
      <c r="AT4" s="586" t="s">
        <v>596</v>
      </c>
      <c r="AU4" s="586" t="s">
        <v>597</v>
      </c>
      <c r="AV4" s="302" t="s">
        <v>88</v>
      </c>
      <c r="AW4" s="302" t="s">
        <v>88</v>
      </c>
      <c r="AX4" s="302" t="s">
        <v>88</v>
      </c>
      <c r="AY4" s="602"/>
      <c r="AZ4" s="602"/>
      <c r="BA4" s="648"/>
      <c r="BB4" s="319"/>
      <c r="BC4" s="192"/>
      <c r="BD4" s="603"/>
    </row>
    <row r="5" spans="1:58" x14ac:dyDescent="0.3">
      <c r="B5" s="108"/>
      <c r="C5" s="108"/>
      <c r="D5" s="378"/>
      <c r="E5" s="108"/>
      <c r="F5" s="108"/>
      <c r="G5" s="33"/>
      <c r="H5" s="33"/>
      <c r="I5" s="595"/>
      <c r="J5" s="601"/>
      <c r="AD5" s="386"/>
      <c r="AE5" s="659"/>
      <c r="AF5" s="661"/>
      <c r="AG5" s="413"/>
      <c r="AH5" s="413"/>
      <c r="AI5" s="413"/>
      <c r="AJ5" s="174"/>
      <c r="AK5" s="174"/>
      <c r="AL5" s="174"/>
      <c r="BB5" s="319"/>
      <c r="BC5" s="319"/>
    </row>
    <row r="6" spans="1:58" x14ac:dyDescent="0.3">
      <c r="A6" s="31">
        <v>1</v>
      </c>
      <c r="B6" s="31" t="s">
        <v>738</v>
      </c>
      <c r="C6" s="31" t="s">
        <v>737</v>
      </c>
      <c r="D6" s="32" t="s">
        <v>940</v>
      </c>
      <c r="E6" s="31" t="s">
        <v>736</v>
      </c>
      <c r="F6" s="31" t="s">
        <v>445</v>
      </c>
      <c r="G6" s="31">
        <v>30.5</v>
      </c>
      <c r="H6" s="31">
        <f>273.15+G6</f>
        <v>303.64999999999998</v>
      </c>
      <c r="I6" s="219">
        <f t="shared" ref="I6:I12" si="0">-LOG10(EXP(LN(10^-14)+13.36*(1/298.15-1/H6)/0.0019872))</f>
        <v>13.822620355035433</v>
      </c>
      <c r="J6" s="530">
        <v>25.8</v>
      </c>
      <c r="K6" s="31">
        <v>6.62</v>
      </c>
      <c r="L6" s="129">
        <f>27/24</f>
        <v>1.125</v>
      </c>
      <c r="N6" s="31" t="s">
        <v>605</v>
      </c>
      <c r="O6" s="250">
        <f>(LN(2)/L6)/(24*60*60)*10^(K6-5)</f>
        <v>2.9727555330681665E-4</v>
      </c>
      <c r="P6" s="250">
        <f>O6*10^5</f>
        <v>29.727555330681664</v>
      </c>
      <c r="Q6" s="653">
        <f>(LN(2)/R6)/(24*60*60)</f>
        <v>5.9387773897489567E-2</v>
      </c>
      <c r="R6" s="209">
        <f>S6*10^-5</f>
        <v>1.3508734686510168E-4</v>
      </c>
      <c r="S6" s="209">
        <f>EXP(LN(P6)+$J6*(1/$H6-1/298.15)/0.0019872)</f>
        <v>13.508734686510167</v>
      </c>
      <c r="T6" s="560">
        <f>AVERAGE(Q6:Q13)</f>
        <v>7.034355431356569E-2</v>
      </c>
      <c r="U6" s="560">
        <f>MEDIAN(Q6:Q13)</f>
        <v>6.6005377890992561E-2</v>
      </c>
      <c r="V6" s="560">
        <f>STDEV(Q6:Q13)</f>
        <v>5.3186911859161051E-2</v>
      </c>
      <c r="W6" s="535" t="s">
        <v>240</v>
      </c>
      <c r="X6" s="535" t="s">
        <v>620</v>
      </c>
      <c r="Y6" s="920" t="s">
        <v>1028</v>
      </c>
      <c r="AE6" s="653"/>
      <c r="AF6" s="209"/>
      <c r="AG6" s="184">
        <f>AVERAGE(AE8:AE11)</f>
        <v>6.4231327549846329</v>
      </c>
      <c r="AH6" s="184">
        <f>MEDIAN(AE8:AE11)</f>
        <v>6.4231327549846329</v>
      </c>
      <c r="AI6" s="184">
        <f>STDEV(AE8:AE11)</f>
        <v>8.4141062204124673</v>
      </c>
      <c r="AJ6" s="417" t="s">
        <v>240</v>
      </c>
      <c r="AK6" s="417" t="s">
        <v>620</v>
      </c>
      <c r="AL6" s="165" t="s">
        <v>1028</v>
      </c>
      <c r="AM6" s="175"/>
      <c r="AN6" s="175"/>
      <c r="AO6" s="175"/>
      <c r="AP6" s="175"/>
      <c r="AQ6" s="783"/>
      <c r="AR6" s="783"/>
      <c r="AS6" s="653"/>
      <c r="AT6" s="209"/>
      <c r="AU6" s="209"/>
      <c r="AV6" s="412">
        <f>AVERAGE(AS9:AS13)</f>
        <v>16.213350651537628</v>
      </c>
      <c r="AW6" s="412">
        <f>MEDIAN(AS8:AS13)</f>
        <v>7.2202831308327617</v>
      </c>
      <c r="AX6" s="412">
        <f>STDEV(AS9:AS13)</f>
        <v>22.111713550809792</v>
      </c>
      <c r="AY6" s="535" t="s">
        <v>240</v>
      </c>
      <c r="AZ6" s="535" t="s">
        <v>620</v>
      </c>
      <c r="BA6" s="920" t="s">
        <v>1028</v>
      </c>
      <c r="BB6" s="185" t="s">
        <v>240</v>
      </c>
    </row>
    <row r="7" spans="1:58" x14ac:dyDescent="0.3">
      <c r="D7" s="32"/>
      <c r="E7" s="31" t="s">
        <v>735</v>
      </c>
      <c r="F7" s="31" t="s">
        <v>445</v>
      </c>
      <c r="G7" s="31">
        <v>26</v>
      </c>
      <c r="H7" s="31">
        <f t="shared" ref="H7:H12" si="1">G7+273.15</f>
        <v>299.14999999999998</v>
      </c>
      <c r="I7" s="219">
        <f t="shared" si="0"/>
        <v>13.967264018237437</v>
      </c>
      <c r="J7" s="530">
        <v>25.8</v>
      </c>
      <c r="K7" s="31">
        <v>3</v>
      </c>
      <c r="M7" s="103">
        <f>46/(60*60)</f>
        <v>1.2777777777777779E-2</v>
      </c>
      <c r="N7" s="31" t="s">
        <v>600</v>
      </c>
      <c r="O7" s="250">
        <f>M7*10^(K7-5)</f>
        <v>1.2777777777777779E-4</v>
      </c>
      <c r="P7" s="250">
        <f>O7*10^5</f>
        <v>12.777777777777779</v>
      </c>
      <c r="Q7" s="653">
        <f>(LN(2)/R7)/(24*60*60)</f>
        <v>7.2622981884495563E-2</v>
      </c>
      <c r="R7" s="209">
        <f>S7*10^-5</f>
        <v>1.1046829259635719E-4</v>
      </c>
      <c r="S7" s="209">
        <f>EXP(LN(P7)+$J7*(1/$H7-1/298.15)/0.0019872)</f>
        <v>11.046829259635718</v>
      </c>
      <c r="W7" s="157" t="s">
        <v>1027</v>
      </c>
      <c r="X7" s="157" t="s">
        <v>1026</v>
      </c>
      <c r="Y7" s="157" t="s">
        <v>1029</v>
      </c>
      <c r="AE7" s="653"/>
      <c r="AF7" s="209"/>
      <c r="AJ7" s="165"/>
      <c r="AK7" s="165"/>
      <c r="AL7" s="165"/>
      <c r="AM7" s="175"/>
      <c r="AN7" s="175"/>
      <c r="AO7" s="175"/>
      <c r="AP7" s="175"/>
      <c r="AQ7" s="783"/>
      <c r="AR7" s="783"/>
      <c r="AS7" s="653"/>
      <c r="AT7" s="209"/>
      <c r="AU7" s="209"/>
      <c r="AY7" s="40"/>
      <c r="AZ7" s="40"/>
      <c r="BA7" s="40"/>
    </row>
    <row r="8" spans="1:58" x14ac:dyDescent="0.3">
      <c r="D8" s="32"/>
      <c r="G8" s="31">
        <v>26</v>
      </c>
      <c r="H8" s="31">
        <f t="shared" si="1"/>
        <v>299.14999999999998</v>
      </c>
      <c r="I8" s="219">
        <f t="shared" si="0"/>
        <v>13.967264018237437</v>
      </c>
      <c r="J8" s="530">
        <v>25.8</v>
      </c>
      <c r="P8" s="250"/>
      <c r="Q8" s="653"/>
      <c r="R8" s="209"/>
      <c r="S8" s="209"/>
      <c r="W8" s="157" t="s">
        <v>1030</v>
      </c>
      <c r="X8" s="157" t="s">
        <v>1031</v>
      </c>
      <c r="Y8" s="157" t="s">
        <v>1032</v>
      </c>
      <c r="Z8" s="31">
        <v>7</v>
      </c>
      <c r="AB8" s="103">
        <f>(0.0027)/(60*60)</f>
        <v>7.5000000000000002E-7</v>
      </c>
      <c r="AC8" s="31" t="s">
        <v>600</v>
      </c>
      <c r="AD8" s="250">
        <f>AB8</f>
        <v>7.5000000000000002E-7</v>
      </c>
      <c r="AE8" s="682">
        <f>(LN(2)/AF8)/(24*60*60)</f>
        <v>12.372804321062199</v>
      </c>
      <c r="AF8" s="209">
        <f>EXP(LN(AD8)+J8*(1/H8-1/298.15)/0.0019872)</f>
        <v>6.4840084784818397E-7</v>
      </c>
      <c r="AJ8" s="157" t="s">
        <v>1030</v>
      </c>
      <c r="AK8" s="157" t="s">
        <v>1031</v>
      </c>
      <c r="AL8" s="157" t="s">
        <v>1032</v>
      </c>
      <c r="AM8" s="175"/>
      <c r="AN8" s="175"/>
      <c r="AO8" s="175"/>
      <c r="AP8" s="175"/>
      <c r="AQ8" s="783"/>
      <c r="AR8" s="783"/>
      <c r="AS8" s="682"/>
      <c r="AT8" s="209"/>
      <c r="AU8" s="209"/>
      <c r="AY8" s="157" t="s">
        <v>1030</v>
      </c>
      <c r="AZ8" s="157" t="s">
        <v>1031</v>
      </c>
      <c r="BA8" s="157" t="s">
        <v>1032</v>
      </c>
    </row>
    <row r="9" spans="1:58" x14ac:dyDescent="0.3">
      <c r="D9" s="32"/>
      <c r="G9" s="31">
        <v>26</v>
      </c>
      <c r="H9" s="31">
        <f t="shared" si="1"/>
        <v>299.14999999999998</v>
      </c>
      <c r="I9" s="219">
        <f t="shared" si="0"/>
        <v>13.967264018237437</v>
      </c>
      <c r="J9" s="530">
        <v>25.8</v>
      </c>
      <c r="P9" s="250"/>
      <c r="Q9" s="653"/>
      <c r="R9" s="209"/>
      <c r="S9" s="209"/>
      <c r="W9" s="157" t="s">
        <v>1033</v>
      </c>
      <c r="X9" s="157" t="s">
        <v>1034</v>
      </c>
      <c r="Y9" s="157" t="s">
        <v>1035</v>
      </c>
      <c r="AE9" s="682"/>
      <c r="AF9" s="209"/>
      <c r="AJ9" s="157" t="s">
        <v>1033</v>
      </c>
      <c r="AK9" s="157" t="s">
        <v>1034</v>
      </c>
      <c r="AL9" s="157" t="s">
        <v>1035</v>
      </c>
      <c r="AM9" s="175">
        <v>9</v>
      </c>
      <c r="AN9" s="175"/>
      <c r="AO9" s="175">
        <f>(0.00087)/(60*60)</f>
        <v>2.4166666666666665E-7</v>
      </c>
      <c r="AP9" s="175" t="s">
        <v>600</v>
      </c>
      <c r="AQ9" s="783">
        <f>AO9*10^(9-AM9)</f>
        <v>2.4166666666666665E-7</v>
      </c>
      <c r="AR9" s="783">
        <f>AQ9*10^($I9-9)</f>
        <v>2.2412008065597927E-2</v>
      </c>
      <c r="AS9" s="682">
        <f>(LN(2)/AT9)/(24*60*60)</f>
        <v>41.404604235533427</v>
      </c>
      <c r="AT9" s="209">
        <f>AU9*10^(9-14)</f>
        <v>1.9375953375618703E-7</v>
      </c>
      <c r="AU9" s="209">
        <f>EXP(LN(AR9)+J9*(1/H9-1/298.15)/0.0019872)</f>
        <v>1.9375953375618701E-2</v>
      </c>
      <c r="AY9" s="157" t="s">
        <v>1033</v>
      </c>
      <c r="AZ9" s="157" t="s">
        <v>1034</v>
      </c>
      <c r="BA9" s="157" t="s">
        <v>1035</v>
      </c>
    </row>
    <row r="10" spans="1:58" x14ac:dyDescent="0.3">
      <c r="D10" s="32"/>
      <c r="G10" s="31">
        <v>26</v>
      </c>
      <c r="H10" s="31">
        <f t="shared" si="1"/>
        <v>299.14999999999998</v>
      </c>
      <c r="I10" s="219">
        <f t="shared" si="0"/>
        <v>13.967264018237437</v>
      </c>
      <c r="J10" s="530">
        <v>25.8</v>
      </c>
      <c r="K10" s="31">
        <v>5</v>
      </c>
      <c r="M10" s="103">
        <f>0.24/(60*60)</f>
        <v>6.666666666666667E-5</v>
      </c>
      <c r="N10" s="31" t="s">
        <v>600</v>
      </c>
      <c r="O10" s="250">
        <f>M10*10^(K10-5)</f>
        <v>6.666666666666667E-5</v>
      </c>
      <c r="P10" s="250">
        <f>O10*10^5</f>
        <v>6.666666666666667</v>
      </c>
      <c r="Q10" s="653">
        <f>(LN(2)/R10)/(24*60*60)</f>
        <v>0.13919404861194981</v>
      </c>
      <c r="R10" s="209">
        <f>S10*10^-5</f>
        <v>5.7635630919838549E-5</v>
      </c>
      <c r="S10" s="209">
        <f>EXP(LN(P10)+$J10*(1/$H10-1/298.15)/0.0019872)</f>
        <v>5.7635630919838547</v>
      </c>
      <c r="AE10" s="653"/>
      <c r="AF10" s="209"/>
      <c r="AM10" s="175"/>
      <c r="AN10" s="175"/>
      <c r="AO10" s="175"/>
      <c r="AP10" s="175"/>
      <c r="AQ10" s="783"/>
      <c r="AR10" s="783"/>
      <c r="AS10" s="653"/>
      <c r="AT10" s="209"/>
      <c r="AU10" s="209"/>
      <c r="AY10" s="40"/>
      <c r="AZ10" s="40"/>
      <c r="BA10" s="40"/>
    </row>
    <row r="11" spans="1:58" x14ac:dyDescent="0.3">
      <c r="D11" s="32"/>
      <c r="E11" s="31" t="s">
        <v>734</v>
      </c>
      <c r="F11" s="31" t="s">
        <v>445</v>
      </c>
      <c r="G11" s="31">
        <v>25</v>
      </c>
      <c r="H11" s="31">
        <f t="shared" si="1"/>
        <v>298.14999999999998</v>
      </c>
      <c r="I11" s="219">
        <f t="shared" si="0"/>
        <v>14</v>
      </c>
      <c r="J11" s="530">
        <v>25.8</v>
      </c>
      <c r="K11" s="31">
        <v>5</v>
      </c>
      <c r="L11" s="559">
        <f>0.2/24</f>
        <v>8.3333333333333332E-3</v>
      </c>
      <c r="M11" s="103">
        <v>2.84</v>
      </c>
      <c r="N11" s="31" t="s">
        <v>713</v>
      </c>
      <c r="O11" s="250">
        <f>(M11/60/60)*10^(K11-5)</f>
        <v>7.8888888888888889E-4</v>
      </c>
      <c r="P11" s="250">
        <f>O11*10^5</f>
        <v>78.888888888888886</v>
      </c>
      <c r="Q11" s="653">
        <f>(LN(2)/R11)/(24*60*60)</f>
        <v>1.0169412860327839E-2</v>
      </c>
      <c r="R11" s="209">
        <f>S11*10^-5</f>
        <v>7.8888888888888867E-4</v>
      </c>
      <c r="S11" s="209">
        <f>EXP(LN(P11)+$J11*(1/$H11-1/298.15)/0.0019872)</f>
        <v>78.888888888888857</v>
      </c>
      <c r="Z11" s="31">
        <v>7</v>
      </c>
      <c r="AA11" s="129">
        <f>11.4/24</f>
        <v>0.47500000000000003</v>
      </c>
      <c r="AB11" s="103">
        <v>6.0999999999999999E-2</v>
      </c>
      <c r="AC11" s="31" t="s">
        <v>713</v>
      </c>
      <c r="AD11" s="250">
        <f>AB11/60/60</f>
        <v>1.6944444444444442E-5</v>
      </c>
      <c r="AE11" s="653">
        <f>(LN(2)/AF11)/(24*60*60)</f>
        <v>0.4734611889070664</v>
      </c>
      <c r="AF11" s="209">
        <f>EXP(LN(AD11)+$J11*(1/$H11-1/298.15)/0.0019872)</f>
        <v>1.6944444444444446E-5</v>
      </c>
      <c r="AM11" s="175">
        <v>7.3</v>
      </c>
      <c r="AN11" s="175">
        <f>18.2/24</f>
        <v>0.7583333333333333</v>
      </c>
      <c r="AO11" s="175">
        <v>3.7999999999999999E-2</v>
      </c>
      <c r="AP11" s="175" t="s">
        <v>713</v>
      </c>
      <c r="AQ11" s="783">
        <f>(AO11/60/60)*10^(9-AM11)</f>
        <v>5.290309688287877E-4</v>
      </c>
      <c r="AR11" s="783">
        <f>AQ11*10^($I11-9)</f>
        <v>52.903096882878771</v>
      </c>
      <c r="AS11" s="653">
        <f>(LN(2)/AT11)/(24*60*60)</f>
        <v>1.5164588246690654E-2</v>
      </c>
      <c r="AT11" s="209">
        <f>AU11*10^(9-14)</f>
        <v>5.290309688287877E-4</v>
      </c>
      <c r="AU11" s="209">
        <f>EXP(LN(AR11)+$J11*(1/$H11-1/298.15)/0.0019872)</f>
        <v>52.903096882878771</v>
      </c>
    </row>
    <row r="12" spans="1:58" x14ac:dyDescent="0.3">
      <c r="D12" s="32"/>
      <c r="G12" s="31">
        <v>25</v>
      </c>
      <c r="H12" s="31">
        <f t="shared" si="1"/>
        <v>298.14999999999998</v>
      </c>
      <c r="I12" s="219">
        <f t="shared" si="0"/>
        <v>14</v>
      </c>
      <c r="J12" s="530">
        <v>25.8</v>
      </c>
      <c r="P12" s="250"/>
      <c r="Q12" s="653"/>
      <c r="R12" s="209"/>
      <c r="S12" s="209"/>
      <c r="AE12" s="653"/>
      <c r="AF12" s="209"/>
      <c r="AM12" s="175">
        <v>9</v>
      </c>
      <c r="AN12" s="175">
        <f>173.3/24</f>
        <v>7.2208333333333341</v>
      </c>
      <c r="AO12" s="175">
        <v>4.0000000000000001E-3</v>
      </c>
      <c r="AP12" s="175" t="s">
        <v>713</v>
      </c>
      <c r="AQ12" s="783">
        <f>(AO12/60/60)*10^(9-AM12)</f>
        <v>1.1111111111111112E-6</v>
      </c>
      <c r="AR12" s="783">
        <f>AQ12*10^($I12-9)</f>
        <v>0.11111111111111112</v>
      </c>
      <c r="AS12" s="653">
        <f>(LN(2)/AT12)/(24*60*60)</f>
        <v>7.2202831308327617</v>
      </c>
      <c r="AT12" s="209">
        <f>AU12*10^(9-14)</f>
        <v>1.1111111111111115E-6</v>
      </c>
      <c r="AU12" s="209">
        <f>EXP(LN(AR12)+$J12*(1/$H12-1/298.15)/0.0019872)</f>
        <v>0.11111111111111115</v>
      </c>
    </row>
    <row r="13" spans="1:58" x14ac:dyDescent="0.3">
      <c r="D13" s="32"/>
      <c r="I13" s="219"/>
      <c r="J13" s="530"/>
      <c r="P13" s="250"/>
      <c r="Q13" s="653"/>
      <c r="R13" s="209"/>
      <c r="S13" s="209"/>
      <c r="AE13" s="653"/>
      <c r="AF13" s="209"/>
      <c r="AM13" s="175"/>
      <c r="AN13" s="175"/>
      <c r="AO13" s="175"/>
      <c r="AP13" s="175"/>
      <c r="AQ13" s="783"/>
      <c r="AR13" s="783"/>
      <c r="AS13" s="653"/>
      <c r="AT13" s="209"/>
      <c r="AU13" s="209"/>
    </row>
    <row r="14" spans="1:58" s="9" customFormat="1" x14ac:dyDescent="0.3">
      <c r="A14" s="42">
        <v>2</v>
      </c>
      <c r="B14" s="42" t="s">
        <v>733</v>
      </c>
      <c r="C14" s="42" t="s">
        <v>732</v>
      </c>
      <c r="D14" s="43" t="s">
        <v>941</v>
      </c>
      <c r="E14" s="42" t="s">
        <v>731</v>
      </c>
      <c r="F14" s="42"/>
      <c r="G14" s="42">
        <v>25</v>
      </c>
      <c r="H14" s="42">
        <f t="shared" ref="H14:H19" si="2">G14+273.15</f>
        <v>298.14999999999998</v>
      </c>
      <c r="I14" s="688">
        <f t="shared" ref="I14:I19" si="3">-LOG10(EXP(LN(10^-14)+13.36*(1/298.15-1/H14)/0.0019872))</f>
        <v>14</v>
      </c>
      <c r="J14" s="832">
        <v>25.8</v>
      </c>
      <c r="K14" s="42">
        <v>5</v>
      </c>
      <c r="L14" s="478">
        <f>2.6/24</f>
        <v>0.10833333333333334</v>
      </c>
      <c r="M14" s="126"/>
      <c r="N14" s="42" t="s">
        <v>605</v>
      </c>
      <c r="O14" s="479">
        <f>(LN(2)/L14)/(24*60*60)*10^(K14-5)</f>
        <v>7.4054185957259105E-5</v>
      </c>
      <c r="P14" s="479">
        <f>O14*10^5</f>
        <v>7.4054185957259104</v>
      </c>
      <c r="Q14" s="749">
        <f>(LN(2)/R14)/(24*60*60)</f>
        <v>0.10833333333333334</v>
      </c>
      <c r="R14" s="217">
        <f>S14*10^-5</f>
        <v>7.4054185957259105E-5</v>
      </c>
      <c r="S14" s="217">
        <f>EXP(LN(P14)+$J14*(1/$H14-1/298.15)/0.0019872)</f>
        <v>7.4054185957259104</v>
      </c>
      <c r="T14" s="475">
        <f>AVERAGE(Q14:Q17)</f>
        <v>2.2431750670668098</v>
      </c>
      <c r="U14" s="475">
        <f>MEDIAN(Q14:Q20)</f>
        <v>2.6541666666666672</v>
      </c>
      <c r="V14" s="475">
        <f>STDEV(Q14:Q20)</f>
        <v>1.4859312399604929</v>
      </c>
      <c r="W14" s="161" t="s">
        <v>1079</v>
      </c>
      <c r="X14" s="476"/>
      <c r="Y14" s="476"/>
      <c r="Z14" s="42">
        <v>7</v>
      </c>
      <c r="AA14" s="576">
        <f>1.1/24</f>
        <v>4.5833333333333337E-2</v>
      </c>
      <c r="AB14" s="126"/>
      <c r="AC14" s="42" t="s">
        <v>605</v>
      </c>
      <c r="AD14" s="479">
        <f>(LN(2)/AA14)/(60*60*24)</f>
        <v>1.7503716680806696E-4</v>
      </c>
      <c r="AE14" s="749">
        <f>(LN(2)/AF14)/(24*60*60)</f>
        <v>4.5833333333333351E-2</v>
      </c>
      <c r="AF14" s="217">
        <f>EXP(LN(AD14)+$J14*(1/$H14-1/298.15)/0.0019872)</f>
        <v>1.7503716680806694E-4</v>
      </c>
      <c r="AG14" s="480">
        <f>AVERAGE(AE14:AE18)</f>
        <v>4.1033869063398655E-2</v>
      </c>
      <c r="AH14" s="480">
        <f>MEDIAN(AE14:AE18)</f>
        <v>3.7708333333333344E-2</v>
      </c>
      <c r="AI14" s="480">
        <f>STDEV(AE14:AE18)</f>
        <v>1.5165068792658476E-2</v>
      </c>
      <c r="AJ14" s="161" t="s">
        <v>1079</v>
      </c>
      <c r="AK14" s="161"/>
      <c r="AL14" s="161"/>
      <c r="AM14" s="481">
        <v>9</v>
      </c>
      <c r="AN14" s="481">
        <f>67/60/60/24</f>
        <v>7.7546296296296304E-4</v>
      </c>
      <c r="AO14" s="481"/>
      <c r="AP14" s="481" t="s">
        <v>605</v>
      </c>
      <c r="AQ14" s="784">
        <f>(LN(2)/AN14)/(24*60*60)*10^(9-AM14)</f>
        <v>1.0345480306864854E-2</v>
      </c>
      <c r="AR14" s="784">
        <f>AQ14*10^($I14-9)</f>
        <v>1034.5480306864854</v>
      </c>
      <c r="AS14" s="749">
        <f>(LN(2)/AT14)/(24*60*60)</f>
        <v>7.7546296296296315E-4</v>
      </c>
      <c r="AT14" s="217">
        <f>AU14*10^(9-14)</f>
        <v>1.0345480306864852E-2</v>
      </c>
      <c r="AU14" s="217">
        <f>EXP(LN(AR14)+$J14*(1/$H14-1/298.15)/0.0019872)</f>
        <v>1034.5480306864852</v>
      </c>
      <c r="AV14" s="461">
        <f>AVERAGE(AS14:AS20)</f>
        <v>1.1517483642347198E-3</v>
      </c>
      <c r="AW14" s="461">
        <f>MEDIAN(AS14:AS20)</f>
        <v>1.1517483642347198E-3</v>
      </c>
      <c r="AX14" s="462">
        <f>STDEV(AS14:AS20)</f>
        <v>5.3214791780152061E-4</v>
      </c>
      <c r="AY14" s="161" t="s">
        <v>1079</v>
      </c>
      <c r="AZ14" s="42"/>
      <c r="BA14" s="42"/>
      <c r="BB14" s="187" t="s">
        <v>730</v>
      </c>
      <c r="BC14" s="187"/>
      <c r="BD14" s="187"/>
      <c r="BE14" s="42"/>
      <c r="BF14" s="42"/>
    </row>
    <row r="15" spans="1:58" x14ac:dyDescent="0.3">
      <c r="D15" s="32"/>
      <c r="G15" s="31">
        <v>25</v>
      </c>
      <c r="H15" s="31">
        <f t="shared" si="2"/>
        <v>298.14999999999998</v>
      </c>
      <c r="I15" s="219">
        <f t="shared" si="3"/>
        <v>14</v>
      </c>
      <c r="J15" s="530">
        <v>25.8</v>
      </c>
      <c r="K15" s="31">
        <v>4</v>
      </c>
      <c r="L15" s="129">
        <f>6.49/24</f>
        <v>0.27041666666666669</v>
      </c>
      <c r="N15" s="31" t="s">
        <v>605</v>
      </c>
      <c r="O15" s="250">
        <f>(LN(2)/L15)/(24*60*60)*10^(K15-5)</f>
        <v>2.9667316408146944E-6</v>
      </c>
      <c r="P15" s="250">
        <f>O15*10^5</f>
        <v>0.29667316408146943</v>
      </c>
      <c r="Q15" s="653">
        <f>(LN(2)/R15)/(24*60*60)</f>
        <v>2.7041666666666671</v>
      </c>
      <c r="R15" s="209">
        <f>S15*10^-5</f>
        <v>2.9667316408146944E-6</v>
      </c>
      <c r="S15" s="209">
        <f>EXP(LN(P15)+$J15*(1/$H15-1/298.15)/0.0019872)</f>
        <v>0.29667316408146943</v>
      </c>
      <c r="Z15" s="31">
        <v>7</v>
      </c>
      <c r="AA15" s="335">
        <f>0.68/24</f>
        <v>2.8333333333333335E-2</v>
      </c>
      <c r="AC15" s="31" t="s">
        <v>605</v>
      </c>
      <c r="AD15" s="250">
        <f>(LN(2)/AA15)/(60*60*24)</f>
        <v>2.8314835807187304E-4</v>
      </c>
      <c r="AE15" s="653">
        <f>(LN(2)/AF15)/(24*60*60)</f>
        <v>2.8333333333333339E-2</v>
      </c>
      <c r="AF15" s="209">
        <f>EXP(LN(AD15)+$J15*(1/$H15-1/298.15)/0.0019872)</f>
        <v>2.8314835807187304E-4</v>
      </c>
      <c r="AM15" s="175">
        <v>9</v>
      </c>
      <c r="AN15" s="175"/>
      <c r="AO15" s="175" t="s">
        <v>729</v>
      </c>
      <c r="AP15" s="175"/>
      <c r="AQ15" s="783"/>
      <c r="AR15" s="783"/>
      <c r="AS15" s="653"/>
      <c r="AT15" s="209"/>
      <c r="AU15" s="209"/>
    </row>
    <row r="16" spans="1:58" x14ac:dyDescent="0.3">
      <c r="D16" s="32"/>
      <c r="G16" s="31">
        <v>25</v>
      </c>
      <c r="H16" s="31">
        <f t="shared" si="2"/>
        <v>298.14999999999998</v>
      </c>
      <c r="I16" s="219">
        <f t="shared" si="3"/>
        <v>14</v>
      </c>
      <c r="J16" s="530">
        <v>25.8</v>
      </c>
      <c r="K16" s="31">
        <v>4</v>
      </c>
      <c r="L16" s="129">
        <f>6.25/24</f>
        <v>0.26041666666666669</v>
      </c>
      <c r="N16" s="31" t="s">
        <v>605</v>
      </c>
      <c r="O16" s="250">
        <f>(LN(2)/L16)/(24*60*60)*10^(K16-5)</f>
        <v>3.0806541358219787E-6</v>
      </c>
      <c r="P16" s="250">
        <f>O16*10^5</f>
        <v>0.30806541358219786</v>
      </c>
      <c r="Q16" s="653">
        <f>(LN(2)/R16)/(24*60*60)</f>
        <v>2.6041666666666674</v>
      </c>
      <c r="R16" s="209">
        <f>S16*10^-5</f>
        <v>3.0806541358219783E-6</v>
      </c>
      <c r="S16" s="209">
        <f>EXP(LN(P16)+$J16*(1/$H16-1/298.15)/0.0019872)</f>
        <v>0.3080654135821978</v>
      </c>
      <c r="Z16" s="31">
        <v>7</v>
      </c>
      <c r="AA16" s="335">
        <f>0.71/24</f>
        <v>2.9583333333333333E-2</v>
      </c>
      <c r="AC16" s="31" t="s">
        <v>605</v>
      </c>
      <c r="AD16" s="250">
        <f>(LN(2)/AA16)/(60*60*24)</f>
        <v>2.7118434294207561E-4</v>
      </c>
      <c r="AE16" s="653">
        <f>(LN(2)/AF16)/(24*60*60)</f>
        <v>2.9583333333333333E-2</v>
      </c>
      <c r="AF16" s="209">
        <f>EXP(LN(AD16)+$J16*(1/$H16-1/298.15)/0.0019872)</f>
        <v>2.7118434294207561E-4</v>
      </c>
      <c r="AM16" s="175"/>
      <c r="AN16" s="175"/>
      <c r="AO16" s="175"/>
      <c r="AP16" s="175"/>
      <c r="AQ16" s="783"/>
      <c r="AR16" s="783"/>
      <c r="AS16" s="653"/>
      <c r="AT16" s="209"/>
      <c r="AU16" s="209"/>
    </row>
    <row r="17" spans="1:58" x14ac:dyDescent="0.3">
      <c r="D17" s="32"/>
      <c r="G17" s="31">
        <v>40</v>
      </c>
      <c r="H17" s="31">
        <f t="shared" si="2"/>
        <v>313.14999999999998</v>
      </c>
      <c r="I17" s="219">
        <f t="shared" si="3"/>
        <v>13.530913191237214</v>
      </c>
      <c r="J17" s="530">
        <v>25.8</v>
      </c>
      <c r="K17" s="31">
        <v>4</v>
      </c>
      <c r="L17" s="335">
        <f>1.06/24</f>
        <v>4.4166666666666667E-2</v>
      </c>
      <c r="N17" s="31" t="s">
        <v>605</v>
      </c>
      <c r="O17" s="250">
        <f>(LN(2)/L17)/(24*60*60)*10^(K17-5)</f>
        <v>1.8164234291403181E-5</v>
      </c>
      <c r="P17" s="250">
        <f>O17*10^5</f>
        <v>1.8164234291403181</v>
      </c>
      <c r="Q17" s="653">
        <f>(LN(2)/R17)/(24*60*60)</f>
        <v>3.5560336016005709</v>
      </c>
      <c r="R17" s="209">
        <f>S17*10^-5</f>
        <v>2.2560351534432799E-6</v>
      </c>
      <c r="S17" s="209">
        <f>EXP(LN(P17)+$J17*(1/$H17-1/298.15)/0.0019872)</f>
        <v>0.22560351534432799</v>
      </c>
      <c r="AE17" s="653"/>
      <c r="AF17" s="209"/>
      <c r="AM17" s="175">
        <v>9</v>
      </c>
      <c r="AN17" s="175"/>
      <c r="AO17" s="175" t="s">
        <v>729</v>
      </c>
      <c r="AP17" s="175"/>
      <c r="AQ17" s="783"/>
      <c r="AR17" s="783"/>
      <c r="AS17" s="653"/>
      <c r="AT17" s="209"/>
      <c r="AU17" s="209"/>
    </row>
    <row r="18" spans="1:58" x14ac:dyDescent="0.3">
      <c r="D18" s="32"/>
      <c r="G18" s="31">
        <v>40</v>
      </c>
      <c r="H18" s="31">
        <f t="shared" si="2"/>
        <v>313.14999999999998</v>
      </c>
      <c r="I18" s="219">
        <f t="shared" si="3"/>
        <v>13.530913191237214</v>
      </c>
      <c r="J18" s="530">
        <v>25.8</v>
      </c>
      <c r="L18" s="335"/>
      <c r="P18" s="250"/>
      <c r="Q18" s="653"/>
      <c r="R18" s="209"/>
      <c r="S18" s="209"/>
      <c r="Z18" s="31">
        <v>7</v>
      </c>
      <c r="AA18" s="559">
        <f>0.18/24</f>
        <v>7.4999999999999997E-3</v>
      </c>
      <c r="AC18" s="31" t="s">
        <v>605</v>
      </c>
      <c r="AD18" s="250">
        <f>(LN(2)/AA18)/(60*60*24)</f>
        <v>1.0696715749381872E-3</v>
      </c>
      <c r="AE18" s="653">
        <f>(LN(2)/AF18)/(24*60*60)</f>
        <v>6.0385476253594604E-2</v>
      </c>
      <c r="AF18" s="209">
        <f>EXP(LN(AD18)+J18*(1/H18-1/298.15)/0.0019872)</f>
        <v>1.328554034805487E-4</v>
      </c>
      <c r="AM18" s="175"/>
      <c r="AN18" s="175"/>
      <c r="AO18" s="175"/>
      <c r="AP18" s="175"/>
      <c r="AQ18" s="783"/>
      <c r="AR18" s="783"/>
      <c r="AS18" s="653"/>
      <c r="AT18" s="209"/>
      <c r="AU18" s="209"/>
    </row>
    <row r="19" spans="1:58" x14ac:dyDescent="0.3">
      <c r="D19" s="32"/>
      <c r="E19" s="31" t="s">
        <v>719</v>
      </c>
      <c r="F19" s="31" t="s">
        <v>445</v>
      </c>
      <c r="G19" s="31">
        <v>28</v>
      </c>
      <c r="H19" s="31">
        <f t="shared" si="2"/>
        <v>301.14999999999998</v>
      </c>
      <c r="I19" s="219">
        <f t="shared" si="3"/>
        <v>13.902444274172961</v>
      </c>
      <c r="J19" s="530">
        <v>25.8</v>
      </c>
      <c r="P19" s="250"/>
      <c r="Q19" s="653"/>
      <c r="R19" s="209"/>
      <c r="S19" s="209"/>
      <c r="AE19" s="653"/>
      <c r="AF19" s="209"/>
      <c r="AM19" s="175">
        <v>7.14</v>
      </c>
      <c r="AN19" s="175"/>
      <c r="AO19" s="175">
        <v>1.3999999999999999E-4</v>
      </c>
      <c r="AP19" s="175" t="s">
        <v>600</v>
      </c>
      <c r="AQ19" s="783">
        <f>AO19*10^(9-AM19)</f>
        <v>1.0142103441049868E-2</v>
      </c>
      <c r="AR19" s="783">
        <f>AQ19*10^($I19-9)</f>
        <v>810.16282222530822</v>
      </c>
      <c r="AS19" s="653">
        <f>(LN(2)/AT19)/(24*60*60)</f>
        <v>1.5280337655064766E-3</v>
      </c>
      <c r="AT19" s="209">
        <f>AU19*10^(9-14)</f>
        <v>5.2502352978942733E-3</v>
      </c>
      <c r="AU19" s="209">
        <f>EXP(LN(AR19)+$J19*(1/$H19-1/298.15)/0.0019872)</f>
        <v>525.02352978942724</v>
      </c>
    </row>
    <row r="20" spans="1:58" x14ac:dyDescent="0.3">
      <c r="D20" s="32"/>
      <c r="I20" s="219"/>
      <c r="J20" s="530"/>
      <c r="P20" s="250"/>
      <c r="Q20" s="653"/>
      <c r="R20" s="209"/>
      <c r="S20" s="209"/>
      <c r="AE20" s="653"/>
      <c r="AF20" s="209"/>
      <c r="AM20" s="175"/>
      <c r="AN20" s="175"/>
      <c r="AO20" s="175"/>
      <c r="AP20" s="175"/>
      <c r="AQ20" s="783"/>
      <c r="AR20" s="783"/>
      <c r="AS20" s="653"/>
      <c r="AT20" s="209"/>
      <c r="AU20" s="209"/>
    </row>
    <row r="21" spans="1:58" s="9" customFormat="1" x14ac:dyDescent="0.3">
      <c r="A21" s="42">
        <v>3</v>
      </c>
      <c r="B21" s="42" t="s">
        <v>728</v>
      </c>
      <c r="C21" s="446" t="s">
        <v>727</v>
      </c>
      <c r="D21" s="43" t="s">
        <v>941</v>
      </c>
      <c r="E21" s="42" t="s">
        <v>719</v>
      </c>
      <c r="F21" s="42" t="s">
        <v>445</v>
      </c>
      <c r="G21" s="42"/>
      <c r="H21" s="42"/>
      <c r="I21" s="688"/>
      <c r="J21" s="476"/>
      <c r="K21" s="42"/>
      <c r="L21" s="42"/>
      <c r="M21" s="126"/>
      <c r="N21" s="42"/>
      <c r="O21" s="479"/>
      <c r="P21" s="479"/>
      <c r="Q21" s="749"/>
      <c r="R21" s="217"/>
      <c r="S21" s="217"/>
      <c r="T21" s="475">
        <f>AVERAGE(Q39:Q42)</f>
        <v>0.3362268518518518</v>
      </c>
      <c r="U21" s="475">
        <f>MEDIAN(Q39:Q42)</f>
        <v>0.28437499999999993</v>
      </c>
      <c r="V21" s="475">
        <f>STDEV(Q39:Q42)</f>
        <v>0.10489004230523609</v>
      </c>
      <c r="W21" s="476" t="s">
        <v>1080</v>
      </c>
      <c r="X21" s="476" t="s">
        <v>1081</v>
      </c>
      <c r="Y21" s="476" t="s">
        <v>1082</v>
      </c>
      <c r="Z21" s="42"/>
      <c r="AA21" s="42"/>
      <c r="AB21" s="126"/>
      <c r="AC21" s="42"/>
      <c r="AD21" s="479"/>
      <c r="AE21" s="749"/>
      <c r="AF21" s="217"/>
      <c r="AG21" s="480">
        <f>AVERAGE(AE23:AE41)</f>
        <v>0.49378033601433652</v>
      </c>
      <c r="AH21" s="480">
        <f>MEDIAN(AE21:AE41)</f>
        <v>0.66055316099748873</v>
      </c>
      <c r="AI21" s="480">
        <f>STDEV(AE23:AE41)</f>
        <v>0.25836538593646158</v>
      </c>
      <c r="AJ21" s="161" t="s">
        <v>1080</v>
      </c>
      <c r="AK21" s="161" t="s">
        <v>1081</v>
      </c>
      <c r="AL21" s="161" t="s">
        <v>1082</v>
      </c>
      <c r="AQ21" s="829"/>
      <c r="AR21" s="829"/>
      <c r="AS21" s="831"/>
      <c r="AT21" s="831"/>
      <c r="AU21" s="831"/>
      <c r="AV21" s="830"/>
      <c r="AW21" s="830"/>
      <c r="AX21" s="830"/>
      <c r="BB21" s="187" t="s">
        <v>726</v>
      </c>
      <c r="BC21" s="187"/>
      <c r="BD21" s="187"/>
      <c r="BE21" s="42"/>
      <c r="BF21" s="42"/>
    </row>
    <row r="22" spans="1:58" s="10" customFormat="1" x14ac:dyDescent="0.3">
      <c r="A22" s="50"/>
      <c r="B22" s="50"/>
      <c r="C22" s="547"/>
      <c r="D22" s="51"/>
      <c r="E22" s="50"/>
      <c r="F22" s="50"/>
      <c r="G22" s="50">
        <v>8</v>
      </c>
      <c r="H22" s="50">
        <f t="shared" ref="H22" si="4">G22+273.15</f>
        <v>281.14999999999998</v>
      </c>
      <c r="I22" s="690">
        <f t="shared" ref="I22" si="5">-LOG10(EXP(LN(10^-14)+13.36*(1/298.15-1/H22)/0.0019872))</f>
        <v>14.5921411063582</v>
      </c>
      <c r="J22" s="550">
        <v>23.4</v>
      </c>
      <c r="K22" s="50"/>
      <c r="L22" s="50"/>
      <c r="M22" s="147"/>
      <c r="N22" s="50"/>
      <c r="O22" s="531"/>
      <c r="P22" s="531"/>
      <c r="Q22" s="711"/>
      <c r="R22" s="222"/>
      <c r="S22" s="222"/>
      <c r="T22" s="539"/>
      <c r="U22" s="539"/>
      <c r="V22" s="539"/>
      <c r="W22" s="550"/>
      <c r="X22" s="550"/>
      <c r="Y22" s="550"/>
      <c r="Z22" s="50"/>
      <c r="AA22" s="50"/>
      <c r="AB22" s="147"/>
      <c r="AC22" s="50"/>
      <c r="AD22" s="531"/>
      <c r="AE22" s="711"/>
      <c r="AF22" s="222"/>
      <c r="AG22" s="467"/>
      <c r="AH22" s="467"/>
      <c r="AI22" s="467"/>
      <c r="AJ22" s="165"/>
      <c r="AK22" s="165"/>
      <c r="AL22" s="165"/>
      <c r="AM22" s="827">
        <v>8.39</v>
      </c>
      <c r="AN22" s="827"/>
      <c r="AO22" s="827">
        <v>1.4899999999999999E-4</v>
      </c>
      <c r="AP22" s="827" t="s">
        <v>600</v>
      </c>
      <c r="AQ22" s="828">
        <f>AO22*10^(9-AM22)</f>
        <v>6.0699661392812725E-4</v>
      </c>
      <c r="AR22" s="828">
        <f>AQ22*10^($I22-9)</f>
        <v>237.31619406719963</v>
      </c>
      <c r="AS22" s="711">
        <f>(LN(2)/AT22)/(24*60*60)</f>
        <v>3.1034944201050108E-4</v>
      </c>
      <c r="AT22" s="222">
        <f>AU22*10^(9-14)</f>
        <v>2.5850012038252514E-2</v>
      </c>
      <c r="AU22" s="222">
        <f>EXP(LN(AR22)+$J22*(1/$H22-1/298.15)/0.0019872)</f>
        <v>2585.0012038252512</v>
      </c>
      <c r="AV22" s="817">
        <f>AVERAGE(AS22:AS42)</f>
        <v>2.7023198838621496E-3</v>
      </c>
      <c r="AW22" s="817">
        <f>MEDIAN(AS22:AS42)</f>
        <v>2.5804543397339227E-3</v>
      </c>
      <c r="AX22" s="817">
        <f>STDEV(AS22:AS42)</f>
        <v>1.6840210551646371E-3</v>
      </c>
      <c r="AY22" s="50" t="s">
        <v>1080</v>
      </c>
      <c r="AZ22" s="50" t="s">
        <v>1081</v>
      </c>
      <c r="BA22" s="50" t="s">
        <v>1082</v>
      </c>
      <c r="BB22" s="188"/>
      <c r="BC22" s="188"/>
      <c r="BD22" s="188"/>
      <c r="BE22" s="50"/>
      <c r="BF22" s="50"/>
    </row>
    <row r="23" spans="1:58" x14ac:dyDescent="0.3">
      <c r="D23" s="32"/>
      <c r="F23" s="31" t="s">
        <v>725</v>
      </c>
      <c r="G23" s="31">
        <v>28</v>
      </c>
      <c r="H23" s="31">
        <f t="shared" ref="H23:H41" si="6">G23+273.15</f>
        <v>301.14999999999998</v>
      </c>
      <c r="I23" s="219">
        <f t="shared" ref="I23:I41" si="7">-LOG10(EXP(LN(10^-14)+13.36*(1/298.15-1/H23)/0.0019872))</f>
        <v>13.902444274172961</v>
      </c>
      <c r="J23" s="811">
        <v>29.4</v>
      </c>
      <c r="M23" s="132"/>
      <c r="N23" s="557"/>
      <c r="O23" s="574"/>
      <c r="P23" s="574"/>
      <c r="Q23" s="750"/>
      <c r="R23" s="751"/>
      <c r="S23" s="751"/>
      <c r="T23" s="577"/>
      <c r="U23" s="577"/>
      <c r="V23" s="577"/>
      <c r="W23" s="578"/>
      <c r="X23" s="578"/>
      <c r="Y23" s="578"/>
      <c r="Z23" s="31">
        <v>1.97</v>
      </c>
      <c r="AB23" s="130">
        <v>1.7900000000000001E-5</v>
      </c>
      <c r="AC23" s="131" t="s">
        <v>600</v>
      </c>
      <c r="AD23" s="250">
        <f t="shared" ref="AD23:AD28" si="8">AB23</f>
        <v>1.7900000000000001E-5</v>
      </c>
      <c r="AE23" s="653">
        <f t="shared" ref="AE23:AE28" si="9">(LN(2)/AF23)/(24*60*60)</f>
        <v>0.73475017977917545</v>
      </c>
      <c r="AF23" s="209">
        <f t="shared" ref="AF23:AF28" si="10">EXP(LN(AD23)+$J23*(1/$H23-1/298.15)/0.0019872)</f>
        <v>1.091872725291136E-5</v>
      </c>
      <c r="AM23" s="175"/>
      <c r="AN23" s="175"/>
      <c r="AO23" s="175"/>
      <c r="AP23" s="175"/>
      <c r="AQ23" s="783"/>
      <c r="AR23" s="783"/>
      <c r="AS23" s="653"/>
      <c r="AT23" s="209"/>
      <c r="AU23" s="209"/>
    </row>
    <row r="24" spans="1:58" x14ac:dyDescent="0.3">
      <c r="D24" s="32"/>
      <c r="F24" s="31" t="s">
        <v>725</v>
      </c>
      <c r="G24" s="31">
        <v>28</v>
      </c>
      <c r="H24" s="31">
        <f t="shared" si="6"/>
        <v>301.14999999999998</v>
      </c>
      <c r="I24" s="219">
        <f t="shared" si="7"/>
        <v>13.902444274172961</v>
      </c>
      <c r="J24" s="811">
        <v>29.4</v>
      </c>
      <c r="M24" s="132"/>
      <c r="N24" s="557"/>
      <c r="O24" s="574"/>
      <c r="P24" s="574"/>
      <c r="Q24" s="750"/>
      <c r="R24" s="751"/>
      <c r="S24" s="751"/>
      <c r="T24" s="577"/>
      <c r="U24" s="577"/>
      <c r="V24" s="577"/>
      <c r="W24" s="578"/>
      <c r="X24" s="578"/>
      <c r="Y24" s="578"/>
      <c r="Z24" s="31">
        <v>2.48</v>
      </c>
      <c r="AB24" s="130">
        <v>1.6699999999999999E-5</v>
      </c>
      <c r="AC24" s="131" t="s">
        <v>600</v>
      </c>
      <c r="AD24" s="250">
        <f t="shared" si="8"/>
        <v>1.6699999999999999E-5</v>
      </c>
      <c r="AE24" s="653">
        <f t="shared" si="9"/>
        <v>0.78754659988306719</v>
      </c>
      <c r="AF24" s="209">
        <f t="shared" si="10"/>
        <v>1.01867455376324E-5</v>
      </c>
      <c r="AM24" s="175"/>
      <c r="AN24" s="175"/>
      <c r="AO24" s="175"/>
      <c r="AP24" s="175"/>
      <c r="AQ24" s="783"/>
      <c r="AR24" s="783"/>
      <c r="AS24" s="653"/>
      <c r="AT24" s="209"/>
      <c r="AU24" s="209"/>
    </row>
    <row r="25" spans="1:58" x14ac:dyDescent="0.3">
      <c r="D25" s="32"/>
      <c r="F25" s="31" t="s">
        <v>725</v>
      </c>
      <c r="G25" s="31">
        <v>28</v>
      </c>
      <c r="H25" s="31">
        <f t="shared" si="6"/>
        <v>301.14999999999998</v>
      </c>
      <c r="I25" s="219">
        <f t="shared" si="7"/>
        <v>13.902444274172961</v>
      </c>
      <c r="J25" s="811">
        <v>29.4</v>
      </c>
      <c r="M25" s="132"/>
      <c r="N25" s="557"/>
      <c r="O25" s="574"/>
      <c r="P25" s="574"/>
      <c r="Q25" s="750"/>
      <c r="R25" s="751"/>
      <c r="S25" s="751"/>
      <c r="T25" s="577"/>
      <c r="U25" s="577"/>
      <c r="V25" s="577"/>
      <c r="W25" s="578"/>
      <c r="X25" s="578"/>
      <c r="Y25" s="578"/>
      <c r="Z25" s="31">
        <v>3.39</v>
      </c>
      <c r="AB25" s="130">
        <v>1.8700000000000001E-5</v>
      </c>
      <c r="AC25" s="131" t="s">
        <v>600</v>
      </c>
      <c r="AD25" s="250">
        <f t="shared" si="8"/>
        <v>1.8700000000000001E-5</v>
      </c>
      <c r="AE25" s="653">
        <f t="shared" si="9"/>
        <v>0.70331701700787297</v>
      </c>
      <c r="AF25" s="209">
        <f t="shared" si="10"/>
        <v>1.1406715063097356E-5</v>
      </c>
      <c r="AM25" s="175"/>
      <c r="AN25" s="175"/>
      <c r="AO25" s="175"/>
      <c r="AP25" s="175"/>
      <c r="AQ25" s="783"/>
      <c r="AR25" s="783"/>
      <c r="AS25" s="653"/>
      <c r="AT25" s="209"/>
      <c r="AU25" s="209"/>
    </row>
    <row r="26" spans="1:58" x14ac:dyDescent="0.3">
      <c r="D26" s="32"/>
      <c r="F26" s="31" t="s">
        <v>725</v>
      </c>
      <c r="G26" s="31">
        <v>28</v>
      </c>
      <c r="H26" s="31">
        <f t="shared" si="6"/>
        <v>301.14999999999998</v>
      </c>
      <c r="I26" s="219">
        <f t="shared" si="7"/>
        <v>13.902444274172961</v>
      </c>
      <c r="J26" s="811">
        <v>29.4</v>
      </c>
      <c r="M26" s="132"/>
      <c r="N26" s="557"/>
      <c r="O26" s="574"/>
      <c r="P26" s="574"/>
      <c r="Q26" s="750"/>
      <c r="R26" s="751"/>
      <c r="S26" s="751"/>
      <c r="T26" s="577"/>
      <c r="U26" s="577"/>
      <c r="V26" s="577"/>
      <c r="W26" s="578"/>
      <c r="X26" s="578"/>
      <c r="Y26" s="578"/>
      <c r="Z26" s="31">
        <v>4.83</v>
      </c>
      <c r="AB26" s="130">
        <v>1.9700000000000001E-5</v>
      </c>
      <c r="AC26" s="131" t="s">
        <v>600</v>
      </c>
      <c r="AD26" s="250">
        <f t="shared" si="8"/>
        <v>1.9700000000000001E-5</v>
      </c>
      <c r="AE26" s="653">
        <f t="shared" si="9"/>
        <v>0.66761564558615372</v>
      </c>
      <c r="AF26" s="209">
        <f t="shared" si="10"/>
        <v>1.2016699825829832E-5</v>
      </c>
      <c r="AM26" s="175"/>
      <c r="AN26" s="175"/>
      <c r="AO26" s="175"/>
      <c r="AP26" s="175"/>
      <c r="AQ26" s="783"/>
      <c r="AR26" s="783"/>
      <c r="AS26" s="653"/>
      <c r="AT26" s="209"/>
      <c r="AU26" s="209"/>
    </row>
    <row r="27" spans="1:58" x14ac:dyDescent="0.3">
      <c r="D27" s="32"/>
      <c r="F27" s="31" t="s">
        <v>725</v>
      </c>
      <c r="G27" s="31">
        <v>28</v>
      </c>
      <c r="H27" s="31">
        <f t="shared" si="6"/>
        <v>301.14999999999998</v>
      </c>
      <c r="I27" s="219">
        <f t="shared" si="7"/>
        <v>13.902444274172961</v>
      </c>
      <c r="J27" s="811">
        <v>29.4</v>
      </c>
      <c r="M27" s="132"/>
      <c r="N27" s="557"/>
      <c r="O27" s="574"/>
      <c r="P27" s="574"/>
      <c r="Q27" s="750"/>
      <c r="R27" s="751"/>
      <c r="S27" s="751"/>
      <c r="T27" s="577"/>
      <c r="U27" s="577"/>
      <c r="V27" s="577"/>
      <c r="W27" s="578"/>
      <c r="X27" s="578"/>
      <c r="Y27" s="578"/>
      <c r="Z27" s="31">
        <v>5.16</v>
      </c>
      <c r="AB27" s="130">
        <v>1.8700000000000001E-5</v>
      </c>
      <c r="AC27" s="131" t="s">
        <v>600</v>
      </c>
      <c r="AD27" s="250">
        <f t="shared" si="8"/>
        <v>1.8700000000000001E-5</v>
      </c>
      <c r="AE27" s="653">
        <f t="shared" si="9"/>
        <v>0.70331701700787297</v>
      </c>
      <c r="AF27" s="209">
        <f t="shared" si="10"/>
        <v>1.1406715063097356E-5</v>
      </c>
      <c r="AM27" s="175"/>
      <c r="AN27" s="175"/>
      <c r="AO27" s="175"/>
      <c r="AP27" s="175"/>
      <c r="AQ27" s="783"/>
      <c r="AR27" s="783"/>
      <c r="AS27" s="653"/>
      <c r="AT27" s="209"/>
      <c r="AU27" s="209"/>
    </row>
    <row r="28" spans="1:58" x14ac:dyDescent="0.3">
      <c r="D28" s="32"/>
      <c r="F28" s="31" t="s">
        <v>725</v>
      </c>
      <c r="G28" s="31">
        <v>28</v>
      </c>
      <c r="H28" s="31">
        <f t="shared" si="6"/>
        <v>301.14999999999998</v>
      </c>
      <c r="I28" s="219">
        <f t="shared" si="7"/>
        <v>13.902444274172961</v>
      </c>
      <c r="J28" s="811">
        <v>29.4</v>
      </c>
      <c r="M28" s="132"/>
      <c r="N28" s="557"/>
      <c r="O28" s="574"/>
      <c r="P28" s="574"/>
      <c r="Q28" s="750"/>
      <c r="R28" s="751"/>
      <c r="S28" s="751"/>
      <c r="T28" s="577"/>
      <c r="U28" s="577"/>
      <c r="V28" s="577"/>
      <c r="W28" s="578"/>
      <c r="X28" s="578"/>
      <c r="Y28" s="578"/>
      <c r="Z28" s="31">
        <v>6.1</v>
      </c>
      <c r="AB28" s="130">
        <v>4.6E-5</v>
      </c>
      <c r="AC28" s="131" t="s">
        <v>600</v>
      </c>
      <c r="AD28" s="250">
        <f t="shared" si="8"/>
        <v>4.6E-5</v>
      </c>
      <c r="AE28" s="653">
        <f t="shared" si="9"/>
        <v>0.28591365691407006</v>
      </c>
      <c r="AF28" s="209">
        <f t="shared" si="10"/>
        <v>2.8059299085694033E-5</v>
      </c>
      <c r="AM28" s="175"/>
      <c r="AN28" s="175"/>
      <c r="AO28" s="175"/>
      <c r="AP28" s="175"/>
      <c r="AQ28" s="783"/>
      <c r="AR28" s="783"/>
      <c r="AS28" s="653"/>
      <c r="AT28" s="209"/>
      <c r="AU28" s="209"/>
    </row>
    <row r="29" spans="1:58" x14ac:dyDescent="0.3">
      <c r="D29" s="32"/>
      <c r="G29" s="31">
        <v>28</v>
      </c>
      <c r="H29" s="31">
        <f t="shared" si="6"/>
        <v>301.14999999999998</v>
      </c>
      <c r="I29" s="219">
        <f t="shared" si="7"/>
        <v>13.902444274172961</v>
      </c>
      <c r="J29" s="811">
        <v>23.4</v>
      </c>
      <c r="P29" s="250"/>
      <c r="Q29" s="653"/>
      <c r="R29" s="209"/>
      <c r="S29" s="209"/>
      <c r="AE29" s="653"/>
      <c r="AF29" s="209"/>
      <c r="AM29" s="175">
        <v>7.07</v>
      </c>
      <c r="AN29" s="175"/>
      <c r="AO29" s="175">
        <v>6.4999999999999994E-5</v>
      </c>
      <c r="AP29" s="175" t="s">
        <v>600</v>
      </c>
      <c r="AQ29" s="783">
        <f t="shared" ref="AQ29:AQ35" si="11">AO29*10^(9-AM29)</f>
        <v>5.5323972483154434E-3</v>
      </c>
      <c r="AR29" s="783">
        <f t="shared" ref="AR29:AR35" si="12">AQ29*10^($I29-9)</f>
        <v>441.93421950573168</v>
      </c>
      <c r="AS29" s="653">
        <f t="shared" ref="AS29:AS35" si="13">(LN(2)/AT29)/(24*60*60)</f>
        <v>2.6904359004497908E-3</v>
      </c>
      <c r="AT29" s="209">
        <f t="shared" ref="AT29:AT35" si="14">AU29*10^(9-14)</f>
        <v>2.9818724953436671E-3</v>
      </c>
      <c r="AU29" s="209">
        <f t="shared" ref="AU29:AU35" si="15">EXP(LN(AR29)+$J29*(1/$H29-1/298.15)/0.0019872)</f>
        <v>298.18724953436669</v>
      </c>
    </row>
    <row r="30" spans="1:58" x14ac:dyDescent="0.3">
      <c r="D30" s="32"/>
      <c r="G30" s="31">
        <v>28</v>
      </c>
      <c r="H30" s="31">
        <f t="shared" si="6"/>
        <v>301.14999999999998</v>
      </c>
      <c r="I30" s="219">
        <f t="shared" si="7"/>
        <v>13.902444274172961</v>
      </c>
      <c r="J30" s="811">
        <v>23.4</v>
      </c>
      <c r="P30" s="250"/>
      <c r="Q30" s="653"/>
      <c r="R30" s="209"/>
      <c r="S30" s="209"/>
      <c r="AE30" s="653"/>
      <c r="AF30" s="209"/>
      <c r="AM30" s="175">
        <v>7.45</v>
      </c>
      <c r="AN30" s="175"/>
      <c r="AO30" s="175">
        <v>1.4999999999999999E-4</v>
      </c>
      <c r="AP30" s="175" t="s">
        <v>600</v>
      </c>
      <c r="AQ30" s="783">
        <f t="shared" si="11"/>
        <v>5.3222008385036303E-3</v>
      </c>
      <c r="AR30" s="783">
        <f t="shared" si="12"/>
        <v>425.14348989184225</v>
      </c>
      <c r="AS30" s="653">
        <f t="shared" si="13"/>
        <v>2.7966926886213469E-3</v>
      </c>
      <c r="AT30" s="209">
        <f t="shared" si="14"/>
        <v>2.8685800355101512E-3</v>
      </c>
      <c r="AU30" s="209">
        <f t="shared" si="15"/>
        <v>286.85800355101509</v>
      </c>
    </row>
    <row r="31" spans="1:58" x14ac:dyDescent="0.3">
      <c r="D31" s="32"/>
      <c r="G31" s="31">
        <v>28</v>
      </c>
      <c r="H31" s="31">
        <f t="shared" si="6"/>
        <v>301.14999999999998</v>
      </c>
      <c r="I31" s="219">
        <f t="shared" si="7"/>
        <v>13.902444274172961</v>
      </c>
      <c r="J31" s="811">
        <v>23.4</v>
      </c>
      <c r="P31" s="250"/>
      <c r="Q31" s="653"/>
      <c r="R31" s="209"/>
      <c r="S31" s="209"/>
      <c r="AE31" s="653"/>
      <c r="AF31" s="209"/>
      <c r="AM31" s="175">
        <v>7.66</v>
      </c>
      <c r="AN31" s="175"/>
      <c r="AO31" s="175">
        <v>2.81E-4</v>
      </c>
      <c r="AP31" s="175" t="s">
        <v>600</v>
      </c>
      <c r="AQ31" s="783">
        <f t="shared" si="11"/>
        <v>6.1476101632982434E-3</v>
      </c>
      <c r="AR31" s="783">
        <f t="shared" si="12"/>
        <v>491.07813076328927</v>
      </c>
      <c r="AS31" s="653">
        <f t="shared" si="13"/>
        <v>2.4211945417878951E-3</v>
      </c>
      <c r="AT31" s="209">
        <f t="shared" si="14"/>
        <v>3.3134622904412631E-3</v>
      </c>
      <c r="AU31" s="209">
        <f t="shared" si="15"/>
        <v>331.34622904412629</v>
      </c>
    </row>
    <row r="32" spans="1:58" x14ac:dyDescent="0.3">
      <c r="D32" s="32"/>
      <c r="G32" s="31">
        <v>28</v>
      </c>
      <c r="H32" s="31">
        <f t="shared" si="6"/>
        <v>301.14999999999998</v>
      </c>
      <c r="I32" s="219">
        <f t="shared" si="7"/>
        <v>13.902444274172961</v>
      </c>
      <c r="J32" s="811">
        <v>23.4</v>
      </c>
      <c r="P32" s="250"/>
      <c r="Q32" s="653"/>
      <c r="R32" s="209"/>
      <c r="S32" s="209"/>
      <c r="AE32" s="653"/>
      <c r="AF32" s="209"/>
      <c r="AM32" s="175">
        <v>7.82</v>
      </c>
      <c r="AN32" s="175"/>
      <c r="AO32" s="175">
        <v>3.8999999999999999E-4</v>
      </c>
      <c r="AP32" s="175" t="s">
        <v>600</v>
      </c>
      <c r="AQ32" s="783">
        <f t="shared" si="11"/>
        <v>5.9028888689012082E-3</v>
      </c>
      <c r="AR32" s="783">
        <f t="shared" si="12"/>
        <v>471.5295138831986</v>
      </c>
      <c r="AS32" s="653">
        <f t="shared" si="13"/>
        <v>2.5215721493310433E-3</v>
      </c>
      <c r="AT32" s="209">
        <f t="shared" si="14"/>
        <v>3.1815614770986152E-3</v>
      </c>
      <c r="AU32" s="209">
        <f t="shared" si="15"/>
        <v>318.1561477098615</v>
      </c>
    </row>
    <row r="33" spans="1:58" x14ac:dyDescent="0.3">
      <c r="D33" s="32"/>
      <c r="G33" s="31">
        <v>28</v>
      </c>
      <c r="H33" s="31">
        <f t="shared" si="6"/>
        <v>301.14999999999998</v>
      </c>
      <c r="I33" s="219">
        <f t="shared" si="7"/>
        <v>13.902444274172961</v>
      </c>
      <c r="J33" s="811">
        <v>23.4</v>
      </c>
      <c r="P33" s="250"/>
      <c r="Q33" s="653"/>
      <c r="R33" s="209"/>
      <c r="S33" s="209"/>
      <c r="AE33" s="653"/>
      <c r="AF33" s="209"/>
      <c r="AM33" s="175">
        <v>7.93</v>
      </c>
      <c r="AN33" s="175"/>
      <c r="AO33" s="175">
        <v>4.8000000000000001E-4</v>
      </c>
      <c r="AP33" s="175" t="s">
        <v>600</v>
      </c>
      <c r="AQ33" s="783">
        <f t="shared" si="11"/>
        <v>5.6395082637097473E-3</v>
      </c>
      <c r="AR33" s="783">
        <f t="shared" si="12"/>
        <v>450.49036991650729</v>
      </c>
      <c r="AS33" s="653">
        <f t="shared" si="13"/>
        <v>2.6393365301368025E-3</v>
      </c>
      <c r="AT33" s="209">
        <f t="shared" si="14"/>
        <v>3.0396035975073549E-3</v>
      </c>
      <c r="AU33" s="209">
        <f t="shared" si="15"/>
        <v>303.96035975073545</v>
      </c>
    </row>
    <row r="34" spans="1:58" x14ac:dyDescent="0.3">
      <c r="D34" s="32"/>
      <c r="G34" s="31">
        <v>28</v>
      </c>
      <c r="H34" s="31">
        <f t="shared" si="6"/>
        <v>301.14999999999998</v>
      </c>
      <c r="I34" s="219">
        <f t="shared" si="7"/>
        <v>13.902444274172961</v>
      </c>
      <c r="J34" s="811">
        <v>23.4</v>
      </c>
      <c r="P34" s="250"/>
      <c r="Q34" s="653"/>
      <c r="R34" s="209"/>
      <c r="S34" s="209"/>
      <c r="AE34" s="653"/>
      <c r="AF34" s="209"/>
      <c r="AM34" s="175">
        <v>8.08</v>
      </c>
      <c r="AN34" s="175"/>
      <c r="AO34" s="175">
        <v>6.4999999999999997E-4</v>
      </c>
      <c r="AP34" s="175" t="s">
        <v>600</v>
      </c>
      <c r="AQ34" s="783">
        <f t="shared" si="11"/>
        <v>5.4064645121673621E-3</v>
      </c>
      <c r="AR34" s="783">
        <f t="shared" si="12"/>
        <v>431.87456851505681</v>
      </c>
      <c r="AS34" s="653">
        <f t="shared" si="13"/>
        <v>2.7531042031108291E-3</v>
      </c>
      <c r="AT34" s="209">
        <f t="shared" si="14"/>
        <v>2.9139967905942167E-3</v>
      </c>
      <c r="AU34" s="209">
        <f t="shared" si="15"/>
        <v>291.39967905942166</v>
      </c>
    </row>
    <row r="35" spans="1:58" x14ac:dyDescent="0.3">
      <c r="D35" s="32"/>
      <c r="G35" s="31">
        <v>28</v>
      </c>
      <c r="H35" s="31">
        <f t="shared" si="6"/>
        <v>301.14999999999998</v>
      </c>
      <c r="I35" s="219">
        <f t="shared" si="7"/>
        <v>13.902444274172961</v>
      </c>
      <c r="J35" s="811">
        <v>23.4</v>
      </c>
      <c r="P35" s="250"/>
      <c r="Q35" s="653"/>
      <c r="R35" s="209"/>
      <c r="S35" s="209"/>
      <c r="AE35" s="653"/>
      <c r="AF35" s="209"/>
      <c r="AM35" s="175">
        <v>8.25</v>
      </c>
      <c r="AN35" s="175"/>
      <c r="AO35" s="175">
        <v>1.1000000000000001E-3</v>
      </c>
      <c r="AP35" s="175" t="s">
        <v>600</v>
      </c>
      <c r="AQ35" s="783">
        <f t="shared" si="11"/>
        <v>6.1857545770938414E-3</v>
      </c>
      <c r="AR35" s="783">
        <f t="shared" si="12"/>
        <v>494.12515016241031</v>
      </c>
      <c r="AS35" s="653">
        <f t="shared" si="13"/>
        <v>2.4062642620086773E-3</v>
      </c>
      <c r="AT35" s="209">
        <f t="shared" si="14"/>
        <v>3.3340215115605924E-3</v>
      </c>
      <c r="AU35" s="209">
        <f t="shared" si="15"/>
        <v>333.40215115605923</v>
      </c>
    </row>
    <row r="36" spans="1:58" x14ac:dyDescent="0.3">
      <c r="D36" s="32"/>
      <c r="G36" s="31">
        <v>48</v>
      </c>
      <c r="H36" s="31">
        <f t="shared" si="6"/>
        <v>321.14999999999998</v>
      </c>
      <c r="I36" s="219">
        <f t="shared" si="7"/>
        <v>13.298650830707659</v>
      </c>
      <c r="J36" s="811">
        <v>23.4</v>
      </c>
      <c r="M36" s="132"/>
      <c r="N36" s="557"/>
      <c r="O36" s="574"/>
      <c r="P36" s="574"/>
      <c r="Q36" s="750"/>
      <c r="R36" s="751"/>
      <c r="S36" s="751"/>
      <c r="T36" s="577"/>
      <c r="U36" s="577"/>
      <c r="V36" s="577"/>
      <c r="W36" s="578"/>
      <c r="X36" s="578"/>
      <c r="Y36" s="578"/>
      <c r="Z36" s="31">
        <v>3.3</v>
      </c>
      <c r="AB36" s="130">
        <v>3.57E-4</v>
      </c>
      <c r="AC36" s="131" t="s">
        <v>600</v>
      </c>
      <c r="AD36" s="250">
        <f>AB36</f>
        <v>3.57E-4</v>
      </c>
      <c r="AE36" s="653">
        <f>(LN(2)/AF36)/(24*60*60)</f>
        <v>0.38023708564866787</v>
      </c>
      <c r="AF36" s="209">
        <f>EXP(LN(AD36)+$J36*(1/$H36-1/298.15)/0.0019872)</f>
        <v>2.1098775250579004E-5</v>
      </c>
      <c r="AM36" s="175"/>
      <c r="AN36" s="175"/>
      <c r="AO36" s="175"/>
      <c r="AP36" s="175"/>
      <c r="AQ36" s="783"/>
      <c r="AR36" s="783"/>
      <c r="AS36" s="653"/>
      <c r="AT36" s="209"/>
      <c r="AU36" s="209"/>
    </row>
    <row r="37" spans="1:58" x14ac:dyDescent="0.3">
      <c r="D37" s="32"/>
      <c r="F37" s="31" t="s">
        <v>724</v>
      </c>
      <c r="G37" s="31">
        <v>28</v>
      </c>
      <c r="H37" s="31">
        <f t="shared" si="6"/>
        <v>301.14999999999998</v>
      </c>
      <c r="I37" s="219">
        <f t="shared" si="7"/>
        <v>13.902444274172961</v>
      </c>
      <c r="J37" s="811">
        <v>23.4</v>
      </c>
      <c r="M37" s="132"/>
      <c r="N37" s="557"/>
      <c r="O37" s="574"/>
      <c r="P37" s="574"/>
      <c r="Q37" s="750"/>
      <c r="R37" s="751"/>
      <c r="S37" s="751"/>
      <c r="T37" s="577"/>
      <c r="U37" s="577"/>
      <c r="V37" s="577"/>
      <c r="W37" s="578"/>
      <c r="X37" s="578"/>
      <c r="Y37" s="578"/>
      <c r="Z37" s="31">
        <v>4</v>
      </c>
      <c r="AB37" s="130">
        <v>1.8E-5</v>
      </c>
      <c r="AC37" s="131" t="s">
        <v>600</v>
      </c>
      <c r="AD37" s="250">
        <f>AB37</f>
        <v>1.8E-5</v>
      </c>
      <c r="AE37" s="653">
        <f>(LN(2)/AF37)/(24*60*60)</f>
        <v>0.66055316099748873</v>
      </c>
      <c r="AF37" s="209">
        <f>EXP(LN(AD37)+$J37*(1/$H37-1/298.15)/0.0019872)</f>
        <v>1.2145179655066255E-5</v>
      </c>
      <c r="AM37" s="175"/>
      <c r="AN37" s="175"/>
      <c r="AO37" s="175"/>
      <c r="AP37" s="175"/>
      <c r="AQ37" s="783"/>
      <c r="AR37" s="783"/>
      <c r="AS37" s="653"/>
      <c r="AT37" s="209"/>
      <c r="AU37" s="209"/>
    </row>
    <row r="38" spans="1:58" x14ac:dyDescent="0.3">
      <c r="D38" s="32"/>
      <c r="F38" s="31" t="s">
        <v>723</v>
      </c>
      <c r="G38" s="31">
        <v>28</v>
      </c>
      <c r="H38" s="31">
        <f t="shared" si="6"/>
        <v>301.14999999999998</v>
      </c>
      <c r="I38" s="219">
        <f t="shared" si="7"/>
        <v>13.902444274172961</v>
      </c>
      <c r="J38" s="811">
        <v>23.4</v>
      </c>
      <c r="P38" s="250"/>
      <c r="Q38" s="653"/>
      <c r="R38" s="209"/>
      <c r="S38" s="209"/>
      <c r="AE38" s="653"/>
      <c r="AF38" s="209"/>
      <c r="AM38" s="175">
        <v>8</v>
      </c>
      <c r="AN38" s="175"/>
      <c r="AO38" s="175">
        <v>570</v>
      </c>
      <c r="AP38" s="175" t="s">
        <v>687</v>
      </c>
      <c r="AQ38" s="783">
        <f>AR38*10^(9-AM38)</f>
        <v>5700</v>
      </c>
      <c r="AR38" s="783">
        <f>AO38</f>
        <v>570</v>
      </c>
      <c r="AS38" s="653">
        <f>LN(2)/(AT38*60*60*24)</f>
        <v>2.0859573505943154E-17</v>
      </c>
      <c r="AT38" s="209">
        <f>AU38*10^9-14</f>
        <v>384597355729.76508</v>
      </c>
      <c r="AU38" s="209">
        <f>EXP(LN(AR38)+$J38*(1/$H38-1/298.15)/0.0019872)</f>
        <v>384.59735574376509</v>
      </c>
    </row>
    <row r="39" spans="1:58" x14ac:dyDescent="0.3">
      <c r="D39" s="32"/>
      <c r="E39" s="31" t="s">
        <v>722</v>
      </c>
      <c r="G39" s="31">
        <v>25</v>
      </c>
      <c r="H39" s="31">
        <f t="shared" si="6"/>
        <v>298.14999999999998</v>
      </c>
      <c r="I39" s="219">
        <f t="shared" si="7"/>
        <v>14</v>
      </c>
      <c r="J39" s="530">
        <v>25.8</v>
      </c>
      <c r="K39" s="31">
        <v>5</v>
      </c>
      <c r="L39" s="129">
        <f>11/24</f>
        <v>0.45833333333333331</v>
      </c>
      <c r="N39" s="31" t="s">
        <v>605</v>
      </c>
      <c r="O39" s="250">
        <f>(LN(2)/L39)/(14*60*60)*10^(K39-5)</f>
        <v>3.0006371452811486E-5</v>
      </c>
      <c r="P39" s="250">
        <f>O39*10^5</f>
        <v>3.0006371452811487</v>
      </c>
      <c r="Q39" s="653">
        <f>(LN(2)/R39)/(24*60*60)</f>
        <v>0.26736111111111105</v>
      </c>
      <c r="R39" s="209">
        <f>S39*10^-5</f>
        <v>3.000637145281149E-5</v>
      </c>
      <c r="S39" s="209">
        <f>EXP(LN(P39)+$J39*(1/$H39-1/298.15)/0.0019872)</f>
        <v>3.0006371452811487</v>
      </c>
      <c r="Z39" s="31">
        <v>7</v>
      </c>
      <c r="AA39" s="129">
        <f>2.6/24</f>
        <v>0.10833333333333334</v>
      </c>
      <c r="AC39" s="31" t="s">
        <v>605</v>
      </c>
      <c r="AD39" s="250">
        <f>(LN(2)/AA39)/(60*60*24)</f>
        <v>7.4054185957259105E-5</v>
      </c>
      <c r="AE39" s="653">
        <f>(LN(2)/AF39)/(24*60*60)</f>
        <v>0.10833333333333334</v>
      </c>
      <c r="AF39" s="209">
        <f>EXP(LN(AD39)+$J39*(1/$H39-1/298.15)/0.0019872)</f>
        <v>7.4054185957259119E-5</v>
      </c>
      <c r="AM39" s="175">
        <v>9</v>
      </c>
      <c r="AN39" s="175">
        <f>3.6/60/24</f>
        <v>2.5000000000000001E-3</v>
      </c>
      <c r="AO39" s="175"/>
      <c r="AP39" s="175" t="s">
        <v>605</v>
      </c>
      <c r="AQ39" s="783">
        <f>(LN(2)/AN39)/(24*60*60)*10^(9-AM39)</f>
        <v>3.2090147248145617E-3</v>
      </c>
      <c r="AR39" s="783">
        <f>AQ39*10^($I39-9)</f>
        <v>320.90147248145615</v>
      </c>
      <c r="AS39" s="653">
        <f>(LN(2)/AT39)/(24*60*60)</f>
        <v>2.5000000000000005E-3</v>
      </c>
      <c r="AT39" s="209">
        <f>AU39*10^(9-14)</f>
        <v>3.2090147248145613E-3</v>
      </c>
      <c r="AU39" s="209">
        <f>EXP(LN(AR39)+$J39*(1/$H39-1/298.15)/0.0019872)</f>
        <v>320.9014724814561</v>
      </c>
    </row>
    <row r="40" spans="1:58" x14ac:dyDescent="0.3">
      <c r="D40" s="32"/>
      <c r="G40" s="31">
        <v>25</v>
      </c>
      <c r="H40" s="31">
        <f t="shared" si="6"/>
        <v>298.14999999999998</v>
      </c>
      <c r="I40" s="219">
        <f t="shared" si="7"/>
        <v>14</v>
      </c>
      <c r="J40" s="530">
        <v>25.8</v>
      </c>
      <c r="K40" s="31">
        <v>5</v>
      </c>
      <c r="L40" s="129">
        <f>18.8/24</f>
        <v>0.78333333333333333</v>
      </c>
      <c r="N40" s="31" t="s">
        <v>605</v>
      </c>
      <c r="O40" s="250">
        <f>(LN(2)/L40)/(14*60*60)*10^(K40-5)</f>
        <v>1.7556919467070552E-5</v>
      </c>
      <c r="P40" s="250">
        <f>O40*10^5</f>
        <v>1.7556919467070551</v>
      </c>
      <c r="Q40" s="653">
        <f>(LN(2)/R40)/(24*60*60)</f>
        <v>0.45694444444444438</v>
      </c>
      <c r="R40" s="209">
        <f>S40*10^-5</f>
        <v>1.7556919467070552E-5</v>
      </c>
      <c r="S40" s="209">
        <f>EXP(LN(P40)+$J40*(1/$H40-1/298.15)/0.0019872)</f>
        <v>1.7556919467070551</v>
      </c>
      <c r="Z40" s="31">
        <v>7</v>
      </c>
      <c r="AA40" s="129">
        <f>4.9/24</f>
        <v>0.20416666666666669</v>
      </c>
      <c r="AC40" s="31" t="s">
        <v>605</v>
      </c>
      <c r="AD40" s="250">
        <f>(LN(2)/AA40)/(60*60*24)</f>
        <v>3.9294057854872172E-5</v>
      </c>
      <c r="AE40" s="653">
        <f>(LN(2)/AF40)/(24*60*60)</f>
        <v>0.20416666666666675</v>
      </c>
      <c r="AF40" s="209">
        <f>EXP(LN(AD40)+$J40*(1/$H40-1/298.15)/0.0019872)</f>
        <v>3.9294057854872165E-5</v>
      </c>
      <c r="AM40" s="175">
        <v>9</v>
      </c>
      <c r="AN40" s="175">
        <f>8.3/60/24</f>
        <v>5.7638888888888887E-3</v>
      </c>
      <c r="AO40" s="175"/>
      <c r="AP40" s="175" t="s">
        <v>605</v>
      </c>
      <c r="AQ40" s="783">
        <f>(LN(2)/AN40)/(24*60*60)*10^(9-AM40)</f>
        <v>1.3918618083533039E-3</v>
      </c>
      <c r="AR40" s="783">
        <f>AQ40*10^($I40-9)</f>
        <v>139.18618083533039</v>
      </c>
      <c r="AS40" s="653">
        <f>(LN(2)/AT40)/(24*60*60)</f>
        <v>5.763888888888887E-3</v>
      </c>
      <c r="AT40" s="209">
        <f>AU40*10^(9-14)</f>
        <v>1.3918618083533043E-3</v>
      </c>
      <c r="AU40" s="209">
        <f>EXP(LN(AR40)+$J40*(1/$H40-1/298.15)/0.0019872)</f>
        <v>139.18618083533042</v>
      </c>
    </row>
    <row r="41" spans="1:58" x14ac:dyDescent="0.3">
      <c r="D41" s="32"/>
      <c r="G41" s="31">
        <v>25</v>
      </c>
      <c r="H41" s="31">
        <f t="shared" si="6"/>
        <v>298.14999999999998</v>
      </c>
      <c r="I41" s="219">
        <f t="shared" si="7"/>
        <v>14</v>
      </c>
      <c r="J41" s="530">
        <v>25.8</v>
      </c>
      <c r="K41" s="31">
        <v>5</v>
      </c>
      <c r="L41" s="129">
        <f>11.7/24</f>
        <v>0.48749999999999999</v>
      </c>
      <c r="N41" s="31" t="s">
        <v>605</v>
      </c>
      <c r="O41" s="250">
        <f>(LN(2)/L41)/(14*60*60)*10^(K41-5)</f>
        <v>2.8211118459908232E-5</v>
      </c>
      <c r="P41" s="250">
        <f>O41*10^5</f>
        <v>2.8211118459908233</v>
      </c>
      <c r="Q41" s="653">
        <f>(LN(2)/R41)/(24*60*60)</f>
        <v>0.28437499999999993</v>
      </c>
      <c r="R41" s="209">
        <f>S41*10^-5</f>
        <v>2.8211118459908235E-5</v>
      </c>
      <c r="S41" s="209">
        <f>EXP(LN(P41)+$J41*(1/$H41-1/298.15)/0.0019872)</f>
        <v>2.8211118459908233</v>
      </c>
      <c r="Z41" s="31">
        <v>7</v>
      </c>
      <c r="AA41" s="129">
        <f>4.7/24</f>
        <v>0.19583333333333333</v>
      </c>
      <c r="AC41" s="31" t="s">
        <v>605</v>
      </c>
      <c r="AD41" s="250">
        <f>(LN(2)/AA41)/(60*60*24)</f>
        <v>4.096614542316462E-5</v>
      </c>
      <c r="AE41" s="653">
        <f>(LN(2)/AF41)/(24*60*60)</f>
        <v>0.19583333333333316</v>
      </c>
      <c r="AF41" s="209">
        <f>EXP(LN(AD41)+$J41*(1/$H41-1/298.15)/0.0019872)</f>
        <v>4.0966145423164654E-5</v>
      </c>
      <c r="AM41" s="175">
        <v>9</v>
      </c>
      <c r="AN41" s="175">
        <f>8.1/60/24</f>
        <v>5.6249999999999989E-3</v>
      </c>
      <c r="AO41" s="175"/>
      <c r="AP41" s="175" t="s">
        <v>605</v>
      </c>
      <c r="AQ41" s="783">
        <f>(LN(2)/AN41)/(24*60*60)*10^(9-AM41)</f>
        <v>1.4262287665842497E-3</v>
      </c>
      <c r="AR41" s="783">
        <f>AQ41*10^($I41-9)</f>
        <v>142.62287665842499</v>
      </c>
      <c r="AS41" s="653">
        <f>(LN(2)/AT41)/(24*60*60)</f>
        <v>5.6249999999999989E-3</v>
      </c>
      <c r="AT41" s="209">
        <f>AU41*10^(9-14)</f>
        <v>1.4262287665842499E-3</v>
      </c>
      <c r="AU41" s="209">
        <f>EXP(LN(AR41)+$J41*(1/$H41-1/298.15)/0.0019872)</f>
        <v>142.62287665842499</v>
      </c>
    </row>
    <row r="42" spans="1:58" x14ac:dyDescent="0.3">
      <c r="D42" s="32"/>
      <c r="I42" s="219"/>
      <c r="J42" s="530"/>
      <c r="P42" s="250"/>
      <c r="Q42" s="653"/>
      <c r="R42" s="209"/>
      <c r="S42" s="209"/>
      <c r="AE42" s="653"/>
      <c r="AF42" s="209"/>
      <c r="AM42" s="175"/>
      <c r="AN42" s="175"/>
      <c r="AO42" s="175"/>
      <c r="AP42" s="175"/>
      <c r="AQ42" s="783"/>
      <c r="AR42" s="783"/>
      <c r="AS42" s="653"/>
      <c r="AT42" s="209"/>
      <c r="AU42" s="209"/>
    </row>
    <row r="43" spans="1:58" s="9" customFormat="1" x14ac:dyDescent="0.3">
      <c r="A43" s="42">
        <v>4</v>
      </c>
      <c r="B43" s="42" t="s">
        <v>721</v>
      </c>
      <c r="C43" s="42" t="s">
        <v>720</v>
      </c>
      <c r="D43" s="43" t="s">
        <v>941</v>
      </c>
      <c r="E43" s="42" t="s">
        <v>719</v>
      </c>
      <c r="F43" s="42" t="s">
        <v>445</v>
      </c>
      <c r="G43" s="42">
        <v>28</v>
      </c>
      <c r="H43" s="42">
        <f>G43+273.15</f>
        <v>301.14999999999998</v>
      </c>
      <c r="I43" s="688">
        <f>-LOG10(EXP(LN(10^-14)+13.36*(1/298.15-1/H43)/0.0019872))</f>
        <v>13.902444274172961</v>
      </c>
      <c r="J43" s="832">
        <v>25.8</v>
      </c>
      <c r="K43" s="42"/>
      <c r="L43" s="42"/>
      <c r="M43" s="126"/>
      <c r="N43" s="42"/>
      <c r="O43" s="479"/>
      <c r="P43" s="479"/>
      <c r="Q43" s="749"/>
      <c r="R43" s="217"/>
      <c r="S43" s="217"/>
      <c r="T43" s="480"/>
      <c r="U43" s="480"/>
      <c r="V43" s="480"/>
      <c r="W43" s="161" t="s">
        <v>1079</v>
      </c>
      <c r="X43" s="161"/>
      <c r="Y43" s="161"/>
      <c r="Z43" s="42"/>
      <c r="AA43" s="42"/>
      <c r="AB43" s="126"/>
      <c r="AC43" s="42"/>
      <c r="AD43" s="479"/>
      <c r="AE43" s="749"/>
      <c r="AF43" s="217"/>
      <c r="AG43" s="480"/>
      <c r="AH43" s="480"/>
      <c r="AI43" s="480"/>
      <c r="AJ43" s="161"/>
      <c r="AK43" s="161"/>
      <c r="AL43" s="161"/>
      <c r="AM43" s="481">
        <v>7.17</v>
      </c>
      <c r="AN43" s="481"/>
      <c r="AO43" s="481">
        <v>7.7000000000000001E-5</v>
      </c>
      <c r="AP43" s="481" t="s">
        <v>600</v>
      </c>
      <c r="AQ43" s="784">
        <f>AO43*10^(9-AM43)</f>
        <v>5.2058389105182606E-3</v>
      </c>
      <c r="AR43" s="784">
        <f>AQ43*10^($I43-9)</f>
        <v>415.84836600317811</v>
      </c>
      <c r="AS43" s="749">
        <f>(LN(2)/AT43)/(24*60*60)</f>
        <v>2.9769412341729175E-3</v>
      </c>
      <c r="AT43" s="217">
        <f>AU43*10^(9-14)</f>
        <v>2.6948925695757988E-3</v>
      </c>
      <c r="AU43" s="217">
        <f>EXP(LN(AR43)+$J43*(1/$H43-1/298.15)/0.0019872)</f>
        <v>269.48925695757987</v>
      </c>
      <c r="AV43" s="461">
        <f>AS43</f>
        <v>2.9769412341729175E-3</v>
      </c>
      <c r="AW43" s="480"/>
      <c r="AX43" s="480"/>
      <c r="AY43" s="42"/>
      <c r="AZ43" s="42"/>
      <c r="BA43" s="42"/>
      <c r="BB43" s="187"/>
      <c r="BC43" s="187"/>
      <c r="BD43" s="187"/>
      <c r="BE43" s="42"/>
      <c r="BF43" s="42"/>
    </row>
    <row r="44" spans="1:58" ht="15" thickBot="1" x14ac:dyDescent="0.35">
      <c r="D44" s="32"/>
      <c r="I44" s="219"/>
      <c r="J44" s="530"/>
      <c r="P44" s="250"/>
      <c r="Q44" s="653"/>
      <c r="R44" s="209"/>
      <c r="S44" s="209"/>
      <c r="AE44" s="653"/>
      <c r="AF44" s="209"/>
      <c r="AM44" s="175"/>
      <c r="AN44" s="175"/>
      <c r="AO44" s="175"/>
      <c r="AP44" s="175"/>
      <c r="AQ44" s="783"/>
      <c r="AR44" s="783"/>
      <c r="AS44" s="653"/>
      <c r="AT44" s="209"/>
      <c r="AU44" s="209"/>
    </row>
    <row r="45" spans="1:58" s="8" customFormat="1" x14ac:dyDescent="0.3">
      <c r="A45" s="37">
        <v>5</v>
      </c>
      <c r="B45" s="37" t="s">
        <v>718</v>
      </c>
      <c r="C45" s="73" t="s">
        <v>717</v>
      </c>
      <c r="D45" s="43" t="s">
        <v>941</v>
      </c>
      <c r="E45" s="572" t="s">
        <v>1078</v>
      </c>
      <c r="F45" s="37"/>
      <c r="G45" s="37">
        <v>25</v>
      </c>
      <c r="H45" s="37">
        <f>G45+273.15</f>
        <v>298.14999999999998</v>
      </c>
      <c r="I45" s="218">
        <f>-LOG10(EXP(LN(10^-14)+13.36*(1/298.15-1/H45)/0.0019872))</f>
        <v>14</v>
      </c>
      <c r="J45" s="833">
        <v>25.8</v>
      </c>
      <c r="K45" s="37"/>
      <c r="L45" s="37"/>
      <c r="M45" s="122"/>
      <c r="N45" s="37"/>
      <c r="O45" s="249"/>
      <c r="P45" s="249"/>
      <c r="Q45" s="654"/>
      <c r="R45" s="215"/>
      <c r="S45" s="215"/>
      <c r="T45" s="423"/>
      <c r="U45" s="423"/>
      <c r="V45" s="423"/>
      <c r="W45" s="159" t="s">
        <v>1079</v>
      </c>
      <c r="X45" s="159"/>
      <c r="Y45" s="159"/>
      <c r="Z45" s="37">
        <v>7</v>
      </c>
      <c r="AA45" s="109">
        <f>23.3/24</f>
        <v>0.97083333333333333</v>
      </c>
      <c r="AB45" s="122"/>
      <c r="AC45" s="37" t="s">
        <v>605</v>
      </c>
      <c r="AD45" s="249">
        <f>(LN(2)/AA45)/(60*60*24)</f>
        <v>8.2635572312821318E-6</v>
      </c>
      <c r="AE45" s="654">
        <f>(LN(2)/AF45)/(24*60*60)</f>
        <v>0.97083333333333399</v>
      </c>
      <c r="AF45" s="215">
        <f>EXP(LN(AD45)+$J45*(1/$H45-1/298.15)/0.0019872)</f>
        <v>8.2635572312821267E-6</v>
      </c>
      <c r="AG45" s="423">
        <f>AE45</f>
        <v>0.97083333333333399</v>
      </c>
      <c r="AH45" s="423"/>
      <c r="AI45" s="423"/>
      <c r="AJ45" s="159" t="s">
        <v>1079</v>
      </c>
      <c r="AK45" s="159"/>
      <c r="AL45" s="159"/>
      <c r="AM45" s="469"/>
      <c r="AN45" s="469"/>
      <c r="AO45" s="469"/>
      <c r="AP45" s="469"/>
      <c r="AQ45" s="785"/>
      <c r="AR45" s="785"/>
      <c r="AS45" s="654"/>
      <c r="AT45" s="215"/>
      <c r="AU45" s="215"/>
      <c r="AV45" s="423"/>
      <c r="AW45" s="423"/>
      <c r="AX45" s="423"/>
      <c r="AY45" s="159" t="s">
        <v>1079</v>
      </c>
      <c r="AZ45" s="37"/>
      <c r="BA45" s="37"/>
      <c r="BB45" s="435" t="s">
        <v>1079</v>
      </c>
      <c r="BC45" s="186"/>
      <c r="BD45" s="186"/>
      <c r="BE45" s="37"/>
      <c r="BF45" s="37"/>
    </row>
    <row r="46" spans="1:58" ht="15" thickBot="1" x14ac:dyDescent="0.35">
      <c r="D46" s="32"/>
      <c r="I46" s="219"/>
      <c r="J46" s="530"/>
      <c r="P46" s="250"/>
      <c r="Q46" s="653"/>
      <c r="R46" s="209"/>
      <c r="S46" s="209"/>
      <c r="AE46" s="653"/>
      <c r="AF46" s="209"/>
      <c r="AM46" s="175"/>
      <c r="AN46" s="175"/>
      <c r="AO46" s="175"/>
      <c r="AP46" s="175"/>
      <c r="AQ46" s="783"/>
      <c r="AR46" s="783"/>
      <c r="AS46" s="653"/>
      <c r="AT46" s="209"/>
      <c r="AU46" s="209"/>
    </row>
    <row r="47" spans="1:58" s="8" customFormat="1" x14ac:dyDescent="0.3">
      <c r="A47" s="37">
        <v>6</v>
      </c>
      <c r="B47" s="37" t="s">
        <v>716</v>
      </c>
      <c r="C47" s="73" t="s">
        <v>715</v>
      </c>
      <c r="D47" s="527" t="s">
        <v>943</v>
      </c>
      <c r="E47" s="572" t="s">
        <v>714</v>
      </c>
      <c r="F47" s="37"/>
      <c r="G47" s="37">
        <v>25</v>
      </c>
      <c r="H47" s="37">
        <f>273.15+G47</f>
        <v>298.14999999999998</v>
      </c>
      <c r="I47" s="218">
        <f>-LOG10(EXP(LN(10^-14)+13.36*(1/298.15-1/H47)/0.0019872))</f>
        <v>14</v>
      </c>
      <c r="J47" s="833">
        <v>25.8</v>
      </c>
      <c r="K47" s="37">
        <v>4</v>
      </c>
      <c r="L47" s="575">
        <f>1.7/24</f>
        <v>7.0833333333333331E-2</v>
      </c>
      <c r="M47" s="122">
        <v>0.40500000000000003</v>
      </c>
      <c r="N47" s="37" t="s">
        <v>713</v>
      </c>
      <c r="O47" s="249">
        <f>(M47/60/60)*10^(K47-5)</f>
        <v>1.1250000000000002E-5</v>
      </c>
      <c r="P47" s="249">
        <f>O47*10^5</f>
        <v>1.1250000000000002</v>
      </c>
      <c r="Q47" s="654">
        <f>(LN(2)/R47)/(24*60*60)</f>
        <v>0.71311438329212462</v>
      </c>
      <c r="R47" s="215">
        <f>S47*10^-5</f>
        <v>1.1250000000000002E-5</v>
      </c>
      <c r="S47" s="215">
        <f>EXP(LN(P47)+$J47*(1/$H47-1/298.15)/0.0019872)</f>
        <v>1.1250000000000002</v>
      </c>
      <c r="T47" s="410">
        <f>Q47</f>
        <v>0.71311438329212462</v>
      </c>
      <c r="U47" s="423"/>
      <c r="V47" s="423"/>
      <c r="W47" s="159"/>
      <c r="X47" s="159"/>
      <c r="Y47" s="159"/>
      <c r="Z47" s="37">
        <v>7</v>
      </c>
      <c r="AA47" s="37">
        <f>1.8/24</f>
        <v>7.4999999999999997E-2</v>
      </c>
      <c r="AB47" s="122">
        <v>0.38400000000000001</v>
      </c>
      <c r="AC47" s="37" t="s">
        <v>713</v>
      </c>
      <c r="AD47" s="249">
        <f>AB47/60/60</f>
        <v>1.0666666666666667E-4</v>
      </c>
      <c r="AE47" s="654">
        <f>(LN(2)/AF47)/(24*60*60)</f>
        <v>7.5211282612841227E-2</v>
      </c>
      <c r="AF47" s="215">
        <f>EXP(LN(AD47)+$J47*(1/$H47-1/298.15)/0.0019872)</f>
        <v>1.0666666666666675E-4</v>
      </c>
      <c r="AG47" s="423">
        <f>AE47</f>
        <v>7.5211282612841227E-2</v>
      </c>
      <c r="AH47" s="423"/>
      <c r="AI47" s="423"/>
      <c r="AJ47" s="159"/>
      <c r="AK47" s="159"/>
      <c r="AL47" s="159"/>
      <c r="AM47" s="469">
        <v>9</v>
      </c>
      <c r="AN47" s="469">
        <f>21.5/24</f>
        <v>0.89583333333333337</v>
      </c>
      <c r="AO47" s="469">
        <v>3.2300000000000002E-2</v>
      </c>
      <c r="AP47" s="469" t="s">
        <v>713</v>
      </c>
      <c r="AQ47" s="785">
        <f>(AO47/60/60)*10^(9-AM47)</f>
        <v>8.9722222222222231E-6</v>
      </c>
      <c r="AR47" s="785">
        <f>AQ47*10^($I47-9)</f>
        <v>0.89722222222222225</v>
      </c>
      <c r="AS47" s="654">
        <f>(LN(2)/AT47)/(24*60*60)</f>
        <v>0.89415270970065175</v>
      </c>
      <c r="AT47" s="215">
        <f>AU47*10^(9-14)</f>
        <v>8.9722222222222231E-6</v>
      </c>
      <c r="AU47" s="215">
        <f>EXP(LN(AR47)+$J47*(1/$H47-1/298.15)/0.0019872)</f>
        <v>0.89722222222222225</v>
      </c>
      <c r="AV47" s="410">
        <f>AS47</f>
        <v>0.89415270970065175</v>
      </c>
      <c r="AW47" s="423"/>
      <c r="AX47" s="423"/>
      <c r="AY47" s="37"/>
      <c r="AZ47" s="37"/>
      <c r="BA47" s="37"/>
      <c r="BB47" s="186" t="s">
        <v>712</v>
      </c>
      <c r="BC47" s="186"/>
      <c r="BD47" s="186"/>
      <c r="BE47" s="37"/>
      <c r="BF47" s="37"/>
    </row>
    <row r="48" spans="1:58" ht="15" thickBot="1" x14ac:dyDescent="0.35">
      <c r="D48" s="32"/>
      <c r="I48" s="219"/>
      <c r="J48" s="530"/>
      <c r="P48" s="250"/>
      <c r="Q48" s="653"/>
      <c r="R48" s="209"/>
      <c r="S48" s="209"/>
      <c r="AE48" s="653"/>
      <c r="AF48" s="209"/>
      <c r="AM48" s="175"/>
      <c r="AN48" s="175"/>
      <c r="AO48" s="175"/>
      <c r="AP48" s="175"/>
      <c r="AQ48" s="783"/>
      <c r="AR48" s="783"/>
      <c r="AS48" s="653"/>
      <c r="AT48" s="209"/>
      <c r="AU48" s="209"/>
    </row>
    <row r="49" spans="1:58" s="8" customFormat="1" ht="15.75" customHeight="1" x14ac:dyDescent="0.3">
      <c r="A49" s="37">
        <v>8</v>
      </c>
      <c r="B49" s="37" t="s">
        <v>220</v>
      </c>
      <c r="C49" s="73" t="s">
        <v>711</v>
      </c>
      <c r="D49" s="527" t="s">
        <v>944</v>
      </c>
      <c r="E49" s="37" t="s">
        <v>710</v>
      </c>
      <c r="F49" s="37" t="s">
        <v>445</v>
      </c>
      <c r="G49" s="37">
        <v>20</v>
      </c>
      <c r="H49" s="37">
        <f>273.15+G49</f>
        <v>293.14999999999998</v>
      </c>
      <c r="I49" s="218">
        <f>-LOG10(EXP(LN(10^-14)+13.36*(1/298.15-1/H49)/0.0019872))</f>
        <v>14.167030000755094</v>
      </c>
      <c r="J49" s="833">
        <v>25.8</v>
      </c>
      <c r="K49" s="37">
        <v>4</v>
      </c>
      <c r="L49" s="37" t="s">
        <v>709</v>
      </c>
      <c r="M49" s="122"/>
      <c r="N49" s="37"/>
      <c r="O49" s="249"/>
      <c r="P49" s="249"/>
      <c r="Q49" s="654"/>
      <c r="R49" s="215"/>
      <c r="S49" s="215"/>
      <c r="T49" s="423"/>
      <c r="U49" s="423"/>
      <c r="V49" s="423"/>
      <c r="W49" s="159" t="s">
        <v>240</v>
      </c>
      <c r="X49" s="159" t="s">
        <v>1047</v>
      </c>
      <c r="Y49" s="159" t="s">
        <v>1291</v>
      </c>
      <c r="Z49" s="37">
        <v>7</v>
      </c>
      <c r="AA49" s="37">
        <v>1.4</v>
      </c>
      <c r="AB49" s="122">
        <v>2.0299999999999999E-2</v>
      </c>
      <c r="AC49" s="37" t="s">
        <v>599</v>
      </c>
      <c r="AD49" s="249">
        <f>AB49/24/60/60</f>
        <v>2.3495370370370371E-7</v>
      </c>
      <c r="AE49" s="654">
        <f>(LN(2)/AF49)/(24*60*60)</f>
        <v>16.246936667511143</v>
      </c>
      <c r="AF49" s="215">
        <f>EXP(LN(AD49)+$J49*(1/$H49-1/298.15)/0.0019872)</f>
        <v>4.9378765832693868E-7</v>
      </c>
      <c r="AG49" s="423">
        <f>AE49</f>
        <v>16.246936667511143</v>
      </c>
      <c r="AH49" s="423"/>
      <c r="AI49" s="423"/>
      <c r="AJ49" s="159" t="s">
        <v>240</v>
      </c>
      <c r="AK49" s="159" t="s">
        <v>1047</v>
      </c>
      <c r="AL49" s="159" t="s">
        <v>1288</v>
      </c>
      <c r="AM49" s="469"/>
      <c r="AN49" s="469"/>
      <c r="AO49" s="469"/>
      <c r="AP49" s="469"/>
      <c r="AQ49" s="785"/>
      <c r="AR49" s="785"/>
      <c r="AS49" s="654"/>
      <c r="AT49" s="215"/>
      <c r="AU49" s="215"/>
      <c r="AV49" s="882">
        <f>AS50</f>
        <v>209.8233163751525</v>
      </c>
      <c r="AW49" s="881"/>
      <c r="AX49" s="423"/>
      <c r="AY49" s="159" t="s">
        <v>240</v>
      </c>
      <c r="AZ49" s="159" t="s">
        <v>1047</v>
      </c>
      <c r="BA49" s="159" t="s">
        <v>1048</v>
      </c>
      <c r="BB49" s="186"/>
      <c r="BC49" s="186"/>
      <c r="BD49" s="186"/>
      <c r="BE49" s="37"/>
      <c r="BF49" s="37"/>
    </row>
    <row r="50" spans="1:58" x14ac:dyDescent="0.3">
      <c r="C50" s="57"/>
      <c r="D50" s="438"/>
      <c r="G50" s="31">
        <v>20</v>
      </c>
      <c r="H50" s="31">
        <f>273.15+G50</f>
        <v>293.14999999999998</v>
      </c>
      <c r="I50" s="219">
        <f>-LOG10(EXP(LN(10^-14)+13.36*(1/298.15-1/H50)/0.0019872))</f>
        <v>14.167030000755094</v>
      </c>
      <c r="J50" s="530">
        <v>25.8</v>
      </c>
      <c r="P50" s="250"/>
      <c r="Q50" s="653"/>
      <c r="R50" s="209"/>
      <c r="S50" s="209"/>
      <c r="AE50" s="653"/>
      <c r="AF50" s="209"/>
      <c r="AM50" s="175">
        <v>9</v>
      </c>
      <c r="AN50" s="175">
        <v>26.9</v>
      </c>
      <c r="AO50" s="175">
        <v>1.07E-3</v>
      </c>
      <c r="AP50" s="175" t="s">
        <v>599</v>
      </c>
      <c r="AQ50" s="783">
        <f>(AO50/24/60/60)*10^(9-AM50)</f>
        <v>1.2384259259259259E-8</v>
      </c>
      <c r="AR50" s="783">
        <f>AQ50*10^($I50-9)</f>
        <v>1.8192820558827563E-3</v>
      </c>
      <c r="AS50" s="768">
        <f>(LN(2)/AT50)/(24*60*60)</f>
        <v>209.8233163751525</v>
      </c>
      <c r="AT50" s="209">
        <f>AU50*10^(9-14)</f>
        <v>3.8234725056449643E-8</v>
      </c>
      <c r="AU50" s="209">
        <f>EXP(LN(AR50)+J50*(1/H50-1/298.15)/0.0019872)</f>
        <v>3.8234725056449643E-3</v>
      </c>
    </row>
    <row r="51" spans="1:58" ht="15" thickBot="1" x14ac:dyDescent="0.35">
      <c r="D51" s="32"/>
      <c r="I51" s="219"/>
      <c r="J51" s="530"/>
      <c r="P51" s="250"/>
      <c r="Q51" s="653"/>
      <c r="R51" s="209"/>
      <c r="S51" s="209"/>
      <c r="AE51" s="653"/>
      <c r="AF51" s="209"/>
      <c r="AM51" s="175"/>
      <c r="AN51" s="175"/>
      <c r="AO51" s="175"/>
      <c r="AP51" s="175"/>
      <c r="AQ51" s="783"/>
      <c r="AR51" s="783"/>
      <c r="AS51" s="653"/>
      <c r="AT51" s="209"/>
      <c r="AU51" s="209"/>
    </row>
    <row r="52" spans="1:58" s="8" customFormat="1" x14ac:dyDescent="0.3">
      <c r="A52" s="37">
        <v>9</v>
      </c>
      <c r="B52" s="37" t="s">
        <v>221</v>
      </c>
      <c r="C52" s="73" t="s">
        <v>708</v>
      </c>
      <c r="D52" s="527" t="s">
        <v>940</v>
      </c>
      <c r="E52" s="37" t="s">
        <v>707</v>
      </c>
      <c r="F52" s="37" t="s">
        <v>445</v>
      </c>
      <c r="G52" s="37">
        <v>25</v>
      </c>
      <c r="H52" s="37">
        <f>G52+273.15</f>
        <v>298.14999999999998</v>
      </c>
      <c r="I52" s="218">
        <f>-LOG10(EXP(LN(10^-14)+13.36*(1/298.15-1/H52)/0.0019872))</f>
        <v>14</v>
      </c>
      <c r="J52" s="833">
        <v>25.8</v>
      </c>
      <c r="K52" s="37">
        <v>5</v>
      </c>
      <c r="L52" s="37">
        <v>69.099999999999994</v>
      </c>
      <c r="M52" s="122"/>
      <c r="N52" s="37" t="s">
        <v>605</v>
      </c>
      <c r="O52" s="249">
        <f>(LN(2)/L52)/(24*60*60)*10^(K52-5)</f>
        <v>1.1610038801789298E-7</v>
      </c>
      <c r="P52" s="249">
        <f>O52*10^5</f>
        <v>1.1610038801789298E-2</v>
      </c>
      <c r="Q52" s="654">
        <f>(LN(2)/R52)/(24*60*60)</f>
        <v>69.099999999999994</v>
      </c>
      <c r="R52" s="215">
        <f>S52*10^-5</f>
        <v>1.1610038801789297E-7</v>
      </c>
      <c r="S52" s="215">
        <f>EXP(LN(P52)+$J52*(1/$H52-1/298.15)/0.0019872)</f>
        <v>1.1610038801789296E-2</v>
      </c>
      <c r="T52" s="885">
        <f>AVERAGE(Q52:Q54)</f>
        <v>73.549999999999983</v>
      </c>
      <c r="U52" s="423">
        <f>MEDIAN(Q52:Q54)</f>
        <v>73.549999999999983</v>
      </c>
      <c r="V52" s="410">
        <f>STDEV(Q52:Q531)</f>
        <v>34.557149773969705</v>
      </c>
      <c r="W52" s="477" t="s">
        <v>706</v>
      </c>
      <c r="X52" s="477" t="s">
        <v>1050</v>
      </c>
      <c r="Y52" s="477" t="s">
        <v>1292</v>
      </c>
      <c r="Z52" s="37">
        <v>7</v>
      </c>
      <c r="AA52" s="37">
        <v>30.8</v>
      </c>
      <c r="AB52" s="122"/>
      <c r="AC52" s="37" t="s">
        <v>605</v>
      </c>
      <c r="AD52" s="249">
        <f>LN(2)/AA52/(24*60*60)</f>
        <v>2.6047197441676633E-7</v>
      </c>
      <c r="AE52" s="654">
        <f>(LN(2)/AF52)/(24*60*60)</f>
        <v>30.800000000000011</v>
      </c>
      <c r="AF52" s="215">
        <f>EXP(LN(AD52)+$J52*(1/$H52-1/298.15)/0.0019872)</f>
        <v>2.6047197441676627E-7</v>
      </c>
      <c r="AG52" s="885">
        <f>AVERAGE(AE52:AE53)</f>
        <v>31.4</v>
      </c>
      <c r="AH52" s="423">
        <f>MEDIAN(AE52:AE53)</f>
        <v>31.4</v>
      </c>
      <c r="AI52" s="423">
        <f>STDEV(AE52:AE53)</f>
        <v>0.84852813742384148</v>
      </c>
      <c r="AJ52" s="159" t="s">
        <v>706</v>
      </c>
      <c r="AK52" s="159" t="s">
        <v>1050</v>
      </c>
      <c r="AL52" s="159" t="s">
        <v>1289</v>
      </c>
      <c r="AM52" s="469">
        <v>9</v>
      </c>
      <c r="AN52" s="469">
        <v>0.26</v>
      </c>
      <c r="AO52" s="469"/>
      <c r="AP52" s="469" t="s">
        <v>605</v>
      </c>
      <c r="AQ52" s="785">
        <f>(LN(2)/AN52)/(24*60*60)*10^(9-AM52)</f>
        <v>3.0855910815524627E-5</v>
      </c>
      <c r="AR52" s="785">
        <f>AQ52*10^($I52-9)</f>
        <v>3.0855910815524625</v>
      </c>
      <c r="AS52" s="654">
        <f>(LN(2)/AT52)/(24*60*60)</f>
        <v>0.26000000000000006</v>
      </c>
      <c r="AT52" s="215">
        <f>AU52*10^(9-14)</f>
        <v>3.0855910815524627E-5</v>
      </c>
      <c r="AU52" s="215">
        <f>EXP(LN(AR52)+$J52*(1/$H52-1/298.15)/0.0019872)</f>
        <v>3.0855910815524625</v>
      </c>
      <c r="AV52" s="423">
        <f>AVERAGE(AS52:AS54)</f>
        <v>0.37</v>
      </c>
      <c r="AW52" s="423">
        <f>MEDIAN(AS52:AS54)</f>
        <v>0.37</v>
      </c>
      <c r="AX52" s="410">
        <f>STDEV(AS52:AS54)</f>
        <v>0.15556349186104063</v>
      </c>
      <c r="AY52" s="477" t="s">
        <v>706</v>
      </c>
      <c r="AZ52" s="477" t="s">
        <v>1050</v>
      </c>
      <c r="BA52" s="477" t="s">
        <v>1052</v>
      </c>
      <c r="BB52" s="186" t="s">
        <v>706</v>
      </c>
      <c r="BC52" s="186"/>
      <c r="BD52" s="186"/>
      <c r="BE52" s="37"/>
      <c r="BF52" s="37"/>
    </row>
    <row r="53" spans="1:58" x14ac:dyDescent="0.3">
      <c r="D53" s="32"/>
      <c r="E53" s="573" t="s">
        <v>705</v>
      </c>
      <c r="G53" s="31">
        <v>25</v>
      </c>
      <c r="H53" s="31">
        <f>G53+273.15</f>
        <v>298.14999999999998</v>
      </c>
      <c r="I53" s="219">
        <f>-LOG10(EXP(LN(10^-14)+13.36*(1/298.15-1/H53)/0.0019872))</f>
        <v>14</v>
      </c>
      <c r="J53" s="530">
        <v>25.8</v>
      </c>
      <c r="K53" s="31">
        <v>5</v>
      </c>
      <c r="L53" s="31">
        <v>78</v>
      </c>
      <c r="N53" s="31" t="s">
        <v>605</v>
      </c>
      <c r="O53" s="250">
        <f>(LN(2)/L53)/(24*60*60)*10^(K53-5)</f>
        <v>1.0285303605174878E-7</v>
      </c>
      <c r="P53" s="250">
        <f>O53*10^5</f>
        <v>1.0285303605174878E-2</v>
      </c>
      <c r="Q53" s="653">
        <f>(LN(2)/R53)/(24*60*60)</f>
        <v>77.999999999999972</v>
      </c>
      <c r="R53" s="209">
        <f>S53*10^-5</f>
        <v>1.0285303605174879E-7</v>
      </c>
      <c r="S53" s="209">
        <f>EXP(LN(P53)+$J53*(1/$H53-1/298.15)/0.0019872)</f>
        <v>1.0285303605174878E-2</v>
      </c>
      <c r="W53" s="157" t="s">
        <v>1049</v>
      </c>
      <c r="X53" s="157" t="s">
        <v>1051</v>
      </c>
      <c r="Y53" s="157" t="s">
        <v>1290</v>
      </c>
      <c r="Z53" s="31">
        <v>7</v>
      </c>
      <c r="AA53" s="31">
        <v>32</v>
      </c>
      <c r="AC53" s="31" t="s">
        <v>605</v>
      </c>
      <c r="AD53" s="250">
        <f>LN(2)/AA53/(24*60*60)</f>
        <v>2.5070427537613762E-7</v>
      </c>
      <c r="AE53" s="653">
        <f>(LN(2)/AF53)/(24*60*60)</f>
        <v>31.999999999999989</v>
      </c>
      <c r="AF53" s="209">
        <f>EXP(LN(AD53)+$J53*(1/$H53-1/298.15)/0.0019872)</f>
        <v>2.5070427537613772E-7</v>
      </c>
      <c r="AJ53" s="157" t="s">
        <v>1049</v>
      </c>
      <c r="AK53" s="157" t="s">
        <v>1051</v>
      </c>
      <c r="AL53" s="157" t="s">
        <v>1290</v>
      </c>
      <c r="AM53" s="175">
        <v>9</v>
      </c>
      <c r="AN53" s="175">
        <v>0.48</v>
      </c>
      <c r="AO53" s="175"/>
      <c r="AP53" s="175" t="s">
        <v>605</v>
      </c>
      <c r="AQ53" s="783">
        <f>(LN(2)/AN53)/(24*60*60)*10^(9-AM53)</f>
        <v>1.6713618358409176E-5</v>
      </c>
      <c r="AR53" s="783">
        <f>AQ53*10^($I53-9)</f>
        <v>1.6713618358409175</v>
      </c>
      <c r="AS53" s="653">
        <f>(LN(2)/AT53)/(24*60*60)</f>
        <v>0.48</v>
      </c>
      <c r="AT53" s="209">
        <f>AU53*10^(9-14)</f>
        <v>1.6713618358409176E-5</v>
      </c>
      <c r="AU53" s="209">
        <f>EXP(LN(AR53)+$J53*(1/$H53-1/298.15)/0.0019872)</f>
        <v>1.6713618358409175</v>
      </c>
      <c r="AY53" s="157" t="s">
        <v>1049</v>
      </c>
      <c r="AZ53" s="157" t="s">
        <v>1051</v>
      </c>
      <c r="BA53" s="157" t="s">
        <v>1053</v>
      </c>
    </row>
    <row r="54" spans="1:58" ht="15" thickBot="1" x14ac:dyDescent="0.35">
      <c r="D54" s="32"/>
      <c r="I54" s="208"/>
      <c r="Q54" s="653"/>
      <c r="R54" s="208"/>
      <c r="S54" s="209"/>
      <c r="AE54" s="653"/>
      <c r="AF54" s="209"/>
      <c r="AM54" s="175"/>
      <c r="AN54" s="175"/>
      <c r="AO54" s="175"/>
      <c r="AP54" s="175"/>
      <c r="AQ54" s="783"/>
      <c r="AR54" s="783"/>
      <c r="AS54" s="653"/>
      <c r="AT54" s="209"/>
      <c r="AU54" s="209"/>
    </row>
    <row r="55" spans="1:58" s="8" customFormat="1" x14ac:dyDescent="0.3">
      <c r="A55" s="37"/>
      <c r="B55" s="37"/>
      <c r="C55" s="37"/>
      <c r="D55" s="39"/>
      <c r="E55" s="37"/>
      <c r="F55" s="37"/>
      <c r="G55" s="37"/>
      <c r="H55" s="37"/>
      <c r="I55" s="605"/>
      <c r="J55" s="37"/>
      <c r="K55" s="37"/>
      <c r="L55" s="37"/>
      <c r="M55" s="122"/>
      <c r="N55" s="37"/>
      <c r="O55" s="249"/>
      <c r="P55" s="248"/>
      <c r="Q55" s="650"/>
      <c r="R55" s="605"/>
      <c r="S55" s="607"/>
      <c r="T55" s="423"/>
      <c r="U55" s="423"/>
      <c r="V55" s="423"/>
      <c r="W55" s="159"/>
      <c r="X55" s="159"/>
      <c r="Y55" s="159"/>
      <c r="Z55" s="37"/>
      <c r="AA55" s="37"/>
      <c r="AB55" s="122"/>
      <c r="AC55" s="37"/>
      <c r="AD55" s="249"/>
      <c r="AE55" s="650"/>
      <c r="AF55" s="607"/>
      <c r="AG55" s="423"/>
      <c r="AH55" s="423"/>
      <c r="AI55" s="423"/>
      <c r="AJ55" s="159"/>
      <c r="AK55" s="159"/>
      <c r="AL55" s="159"/>
      <c r="AM55" s="469"/>
      <c r="AN55" s="469"/>
      <c r="AO55" s="469"/>
      <c r="AP55" s="469"/>
      <c r="AQ55" s="785"/>
      <c r="AR55" s="785"/>
      <c r="AS55" s="650"/>
      <c r="AT55" s="607"/>
      <c r="AU55" s="607"/>
      <c r="AV55" s="423"/>
      <c r="AW55" s="423"/>
      <c r="AX55" s="423"/>
      <c r="AY55" s="37"/>
      <c r="AZ55" s="37"/>
      <c r="BA55" s="37"/>
      <c r="BB55" s="186"/>
      <c r="BC55" s="186"/>
      <c r="BD55" s="186"/>
      <c r="BE55" s="37"/>
      <c r="BF55" s="37"/>
    </row>
    <row r="56" spans="1:58" x14ac:dyDescent="0.3">
      <c r="Q56" s="649"/>
      <c r="AE56" s="649"/>
      <c r="AM56" s="175"/>
      <c r="AN56" s="175"/>
      <c r="AO56" s="175"/>
      <c r="AP56" s="175"/>
      <c r="AQ56" s="783"/>
      <c r="AR56" s="783"/>
      <c r="AS56" s="649"/>
    </row>
    <row r="57" spans="1:58" s="1" customFormat="1" x14ac:dyDescent="0.3">
      <c r="A57" s="108"/>
      <c r="B57" s="108"/>
      <c r="C57" s="108"/>
      <c r="D57" s="72"/>
      <c r="E57" s="108"/>
      <c r="F57" s="108"/>
      <c r="G57" s="108"/>
      <c r="H57" s="108"/>
      <c r="I57" s="552"/>
      <c r="J57" s="108"/>
      <c r="K57" s="108"/>
      <c r="L57" s="108"/>
      <c r="M57" s="207"/>
      <c r="N57" s="108" t="s">
        <v>790</v>
      </c>
      <c r="O57" s="492"/>
      <c r="P57" s="483"/>
      <c r="Q57" s="753">
        <f>AVERAGE(Q6:Q53)</f>
        <v>11.291133530312083</v>
      </c>
      <c r="R57" s="552"/>
      <c r="S57" s="590"/>
      <c r="T57" s="484">
        <f>AVERAGE(T6:T52)</f>
        <v>15.382571971304866</v>
      </c>
      <c r="U57" s="506"/>
      <c r="V57" s="506"/>
      <c r="W57" s="425"/>
      <c r="X57" s="425"/>
      <c r="Y57" s="425"/>
      <c r="Z57" s="108" t="s">
        <v>786</v>
      </c>
      <c r="AA57" s="108"/>
      <c r="AB57" s="207"/>
      <c r="AC57" s="108" t="s">
        <v>786</v>
      </c>
      <c r="AD57" s="492"/>
      <c r="AE57" s="753">
        <f>AVERAGE(AE8:AE53)</f>
        <v>4.4788620893562667</v>
      </c>
      <c r="AF57" s="590"/>
      <c r="AG57" s="506">
        <f>AVERAGE(AG6:AG52)</f>
        <v>7.9501326062170978</v>
      </c>
      <c r="AH57" s="506"/>
      <c r="AI57" s="506"/>
      <c r="AJ57" s="425"/>
      <c r="AK57" s="425"/>
      <c r="AL57" s="425"/>
      <c r="AM57" s="176" t="s">
        <v>786</v>
      </c>
      <c r="AN57" s="176"/>
      <c r="AO57" s="176"/>
      <c r="AP57" s="176" t="s">
        <v>786</v>
      </c>
      <c r="AQ57" s="786"/>
      <c r="AR57" s="786"/>
      <c r="AS57" s="753">
        <f>AVERAGE(AS9:AS53)</f>
        <v>11.824328605274319</v>
      </c>
      <c r="AT57" s="590"/>
      <c r="AU57" s="590"/>
      <c r="AV57" s="484">
        <f>AVERAGE(AV6:AV54)</f>
        <v>32.47252153512472</v>
      </c>
      <c r="AW57" s="506"/>
      <c r="AX57" s="506"/>
      <c r="AY57" s="108"/>
      <c r="AZ57" s="108"/>
      <c r="BA57" s="108"/>
      <c r="BB57" s="319" t="s">
        <v>786</v>
      </c>
      <c r="BC57" s="319"/>
      <c r="BD57" s="319"/>
      <c r="BE57" s="108"/>
      <c r="BF57" s="108"/>
    </row>
    <row r="58" spans="1:58" s="1" customFormat="1" x14ac:dyDescent="0.3">
      <c r="A58" s="108"/>
      <c r="B58" s="108"/>
      <c r="C58" s="108"/>
      <c r="D58" s="72"/>
      <c r="E58" s="108"/>
      <c r="F58" s="108"/>
      <c r="G58" s="108"/>
      <c r="H58" s="108"/>
      <c r="I58" s="552"/>
      <c r="J58" s="108"/>
      <c r="K58" s="108"/>
      <c r="L58" s="108"/>
      <c r="M58" s="207"/>
      <c r="N58" s="108" t="s">
        <v>791</v>
      </c>
      <c r="O58" s="492"/>
      <c r="P58" s="483"/>
      <c r="Q58" s="753">
        <f>STDEV(Q6:Q53)</f>
        <v>26.459844065683349</v>
      </c>
      <c r="R58" s="552"/>
      <c r="S58" s="590"/>
      <c r="T58" s="484">
        <f>STDEV(T6:T53)</f>
        <v>32.527462477708099</v>
      </c>
      <c r="U58" s="506"/>
      <c r="V58" s="506"/>
      <c r="W58" s="425"/>
      <c r="X58" s="425"/>
      <c r="Y58" s="425"/>
      <c r="Z58" s="108" t="s">
        <v>797</v>
      </c>
      <c r="AA58" s="108"/>
      <c r="AB58" s="207"/>
      <c r="AC58" s="108" t="s">
        <v>797</v>
      </c>
      <c r="AD58" s="492"/>
      <c r="AE58" s="753">
        <f>STDEV(AE8:AE53)</f>
        <v>9.6433890873765904</v>
      </c>
      <c r="AF58" s="590"/>
      <c r="AG58" s="506">
        <f>STDEV(AG6:AG52)</f>
        <v>11.901967646626115</v>
      </c>
      <c r="AH58" s="506"/>
      <c r="AI58" s="506"/>
      <c r="AJ58" s="425"/>
      <c r="AK58" s="425"/>
      <c r="AL58" s="425"/>
      <c r="AM58" s="176" t="s">
        <v>797</v>
      </c>
      <c r="AN58" s="176"/>
      <c r="AO58" s="176"/>
      <c r="AP58" s="176" t="s">
        <v>797</v>
      </c>
      <c r="AQ58" s="786"/>
      <c r="AR58" s="786"/>
      <c r="AS58" s="753">
        <f>STDEV(AS9:AS53)</f>
        <v>45.101721681567817</v>
      </c>
      <c r="AT58" s="590"/>
      <c r="AU58" s="590"/>
      <c r="AV58" s="484">
        <f>STDEV(AV6:AV53)</f>
        <v>78.430840741628955</v>
      </c>
      <c r="AW58" s="506"/>
      <c r="AX58" s="506"/>
      <c r="AY58" s="108"/>
      <c r="AZ58" s="108"/>
      <c r="BA58" s="108"/>
      <c r="BB58" s="319" t="s">
        <v>797</v>
      </c>
      <c r="BC58" s="319"/>
      <c r="BD58" s="319"/>
      <c r="BE58" s="108"/>
      <c r="BF58" s="108"/>
    </row>
    <row r="59" spans="1:58" s="1" customFormat="1" x14ac:dyDescent="0.3">
      <c r="A59" s="108"/>
      <c r="B59" s="108"/>
      <c r="C59" s="108"/>
      <c r="D59" s="72"/>
      <c r="E59" s="108"/>
      <c r="F59" s="108"/>
      <c r="G59" s="108"/>
      <c r="H59" s="108"/>
      <c r="I59" s="552"/>
      <c r="J59" s="108"/>
      <c r="K59" s="108"/>
      <c r="L59" s="108"/>
      <c r="M59" s="207"/>
      <c r="N59" s="108" t="s">
        <v>800</v>
      </c>
      <c r="O59" s="492"/>
      <c r="P59" s="483"/>
      <c r="Q59" s="753">
        <f>MEDIAN(Q6:Q54)</f>
        <v>0.37065972222222215</v>
      </c>
      <c r="R59" s="552"/>
      <c r="S59" s="590"/>
      <c r="T59" s="484">
        <f>MEDIAN(T6:T53)</f>
        <v>0.71311438329212462</v>
      </c>
      <c r="U59" s="506"/>
      <c r="V59" s="506"/>
      <c r="W59" s="425"/>
      <c r="X59" s="425"/>
      <c r="Y59" s="425"/>
      <c r="Z59" s="108" t="s">
        <v>798</v>
      </c>
      <c r="AA59" s="108"/>
      <c r="AB59" s="207"/>
      <c r="AC59" s="108" t="s">
        <v>798</v>
      </c>
      <c r="AD59" s="492"/>
      <c r="AE59" s="753">
        <f>MEDIAN(AE8:AE53)</f>
        <v>0.56700717495227759</v>
      </c>
      <c r="AF59" s="590"/>
      <c r="AG59" s="506">
        <f>MEDIAN(AG6:AG52)</f>
        <v>0.97083333333333399</v>
      </c>
      <c r="AH59" s="506"/>
      <c r="AI59" s="506"/>
      <c r="AJ59" s="425"/>
      <c r="AK59" s="425"/>
      <c r="AL59" s="425"/>
      <c r="AM59" s="176" t="s">
        <v>798</v>
      </c>
      <c r="AN59" s="176"/>
      <c r="AO59" s="176"/>
      <c r="AP59" s="176" t="s">
        <v>798</v>
      </c>
      <c r="AQ59" s="786"/>
      <c r="AR59" s="786"/>
      <c r="AS59" s="753">
        <f>MEDIAN(AS6:AS54)</f>
        <v>2.774898445866088E-3</v>
      </c>
      <c r="AT59" s="590"/>
      <c r="AU59" s="590"/>
      <c r="AV59" s="484">
        <f>MEDIAN(AV6:AV54)</f>
        <v>0.37</v>
      </c>
      <c r="AW59" s="506"/>
      <c r="AX59" s="506"/>
      <c r="AY59" s="108"/>
      <c r="AZ59" s="108"/>
      <c r="BA59" s="108"/>
      <c r="BB59" s="319" t="s">
        <v>798</v>
      </c>
      <c r="BC59" s="319"/>
      <c r="BD59" s="319"/>
      <c r="BE59" s="108"/>
      <c r="BF59" s="108"/>
    </row>
    <row r="60" spans="1:58" s="1" customFormat="1" x14ac:dyDescent="0.3">
      <c r="A60" s="108"/>
      <c r="B60" s="108"/>
      <c r="C60" s="108"/>
      <c r="D60" s="72"/>
      <c r="E60" s="108"/>
      <c r="F60" s="108"/>
      <c r="G60" s="108"/>
      <c r="H60" s="108"/>
      <c r="I60" s="552"/>
      <c r="J60" s="108"/>
      <c r="K60" s="108"/>
      <c r="L60" s="108"/>
      <c r="M60" s="207"/>
      <c r="N60" s="108" t="s">
        <v>789</v>
      </c>
      <c r="O60" s="492"/>
      <c r="P60" s="483"/>
      <c r="Q60" s="753">
        <f>COUNT(Q6:Q54)</f>
        <v>14</v>
      </c>
      <c r="R60" s="552"/>
      <c r="S60" s="590"/>
      <c r="T60" s="506">
        <f>COUNT(T6:T53)</f>
        <v>5</v>
      </c>
      <c r="U60" s="506"/>
      <c r="V60" s="506"/>
      <c r="W60" s="425"/>
      <c r="X60" s="425"/>
      <c r="Y60" s="425"/>
      <c r="Z60" s="108" t="s">
        <v>789</v>
      </c>
      <c r="AA60" s="108"/>
      <c r="AB60" s="207"/>
      <c r="AC60" s="108" t="s">
        <v>789</v>
      </c>
      <c r="AD60" s="492"/>
      <c r="AE60" s="753">
        <f>COUNT(AE8:AE53)</f>
        <v>22</v>
      </c>
      <c r="AF60" s="590"/>
      <c r="AG60" s="506">
        <f>COUNT(AG6:AG52)</f>
        <v>7</v>
      </c>
      <c r="AH60" s="506"/>
      <c r="AI60" s="506"/>
      <c r="AJ60" s="425"/>
      <c r="AK60" s="425"/>
      <c r="AL60" s="425"/>
      <c r="AM60" s="176" t="s">
        <v>789</v>
      </c>
      <c r="AN60" s="176"/>
      <c r="AO60" s="176"/>
      <c r="AP60" s="176" t="s">
        <v>789</v>
      </c>
      <c r="AQ60" s="786"/>
      <c r="AR60" s="786"/>
      <c r="AS60" s="753">
        <f>COUNT(AS6:AS54)</f>
        <v>22</v>
      </c>
      <c r="AT60" s="590"/>
      <c r="AU60" s="590"/>
      <c r="AV60" s="506">
        <f>COUNT(AV6:AV54)</f>
        <v>7</v>
      </c>
      <c r="AW60" s="506"/>
      <c r="AX60" s="506"/>
      <c r="AY60" s="108"/>
      <c r="AZ60" s="108"/>
      <c r="BA60" s="108"/>
      <c r="BB60" s="319" t="s">
        <v>789</v>
      </c>
      <c r="BC60" s="319"/>
      <c r="BD60" s="319"/>
      <c r="BE60" s="108"/>
      <c r="BF60" s="108"/>
    </row>
    <row r="61" spans="1:58" s="1" customFormat="1" x14ac:dyDescent="0.3">
      <c r="A61" s="108"/>
      <c r="B61" s="108"/>
      <c r="C61" s="108"/>
      <c r="D61" s="72"/>
      <c r="E61" s="108"/>
      <c r="F61" s="108"/>
      <c r="G61" s="108"/>
      <c r="H61" s="108"/>
      <c r="I61" s="552"/>
      <c r="J61" s="108"/>
      <c r="K61" s="108"/>
      <c r="L61" s="108"/>
      <c r="M61" s="207"/>
      <c r="N61" s="108" t="s">
        <v>787</v>
      </c>
      <c r="O61" s="492"/>
      <c r="P61" s="483"/>
      <c r="Q61" s="753">
        <f>MIN(Q6:Q54)</f>
        <v>1.0169412860327839E-2</v>
      </c>
      <c r="R61" s="552"/>
      <c r="S61" s="590"/>
      <c r="T61" s="579">
        <f>MIN(T5:T54)</f>
        <v>7.034355431356569E-2</v>
      </c>
      <c r="U61" s="506"/>
      <c r="V61" s="506"/>
      <c r="W61" s="425"/>
      <c r="X61" s="425"/>
      <c r="Y61" s="425"/>
      <c r="Z61" s="108" t="s">
        <v>803</v>
      </c>
      <c r="AA61" s="108"/>
      <c r="AB61" s="207"/>
      <c r="AC61" s="108" t="s">
        <v>803</v>
      </c>
      <c r="AD61" s="492"/>
      <c r="AE61" s="753">
        <f>MIN(AE8:AE53)</f>
        <v>2.8333333333333339E-2</v>
      </c>
      <c r="AF61" s="590"/>
      <c r="AG61" s="506">
        <f>MIN(AG6:AG52)</f>
        <v>4.1033869063398655E-2</v>
      </c>
      <c r="AH61" s="506"/>
      <c r="AI61" s="506"/>
      <c r="AJ61" s="425"/>
      <c r="AK61" s="425"/>
      <c r="AL61" s="425"/>
      <c r="AM61" s="176" t="s">
        <v>787</v>
      </c>
      <c r="AN61" s="176"/>
      <c r="AO61" s="176"/>
      <c r="AP61" s="176" t="s">
        <v>787</v>
      </c>
      <c r="AQ61" s="786"/>
      <c r="AR61" s="786"/>
      <c r="AS61" s="753">
        <f>MIN(AS6:AS53)</f>
        <v>2.0859573505943154E-17</v>
      </c>
      <c r="AT61" s="590"/>
      <c r="AU61" s="590"/>
      <c r="AV61" s="511">
        <f>MIN(AV5:AV54)</f>
        <v>1.1517483642347198E-3</v>
      </c>
      <c r="AW61" s="506"/>
      <c r="AX61" s="506"/>
      <c r="AY61" s="108"/>
      <c r="AZ61" s="108"/>
      <c r="BA61" s="108"/>
      <c r="BB61" s="319" t="s">
        <v>787</v>
      </c>
      <c r="BC61" s="319"/>
      <c r="BD61" s="319"/>
      <c r="BE61" s="108"/>
      <c r="BF61" s="108"/>
    </row>
    <row r="62" spans="1:58" s="1" customFormat="1" x14ac:dyDescent="0.3">
      <c r="A62" s="108"/>
      <c r="B62" s="108"/>
      <c r="C62" s="108"/>
      <c r="D62" s="72"/>
      <c r="E62" s="108"/>
      <c r="F62" s="108"/>
      <c r="G62" s="108"/>
      <c r="H62" s="108"/>
      <c r="I62" s="552"/>
      <c r="J62" s="108"/>
      <c r="K62" s="108"/>
      <c r="L62" s="108"/>
      <c r="M62" s="207"/>
      <c r="N62" s="108" t="s">
        <v>788</v>
      </c>
      <c r="O62" s="492"/>
      <c r="P62" s="483"/>
      <c r="Q62" s="753">
        <f>MAX(Q6:Q53)</f>
        <v>77.999999999999972</v>
      </c>
      <c r="R62" s="552"/>
      <c r="S62" s="590"/>
      <c r="T62" s="506">
        <f>MAX(T5:T53)</f>
        <v>73.549999999999983</v>
      </c>
      <c r="U62" s="506"/>
      <c r="V62" s="506"/>
      <c r="W62" s="425"/>
      <c r="X62" s="425"/>
      <c r="Y62" s="425"/>
      <c r="Z62" s="108" t="s">
        <v>804</v>
      </c>
      <c r="AA62" s="108"/>
      <c r="AB62" s="207"/>
      <c r="AC62" s="108" t="s">
        <v>804</v>
      </c>
      <c r="AD62" s="492"/>
      <c r="AE62" s="753">
        <f>MAX(AE8:AE53)</f>
        <v>31.999999999999989</v>
      </c>
      <c r="AF62" s="590"/>
      <c r="AG62" s="506">
        <f>+MAX(AG6:AG52)</f>
        <v>31.4</v>
      </c>
      <c r="AH62" s="506"/>
      <c r="AI62" s="506"/>
      <c r="AJ62" s="425"/>
      <c r="AK62" s="425"/>
      <c r="AL62" s="425"/>
      <c r="AM62" s="176" t="s">
        <v>788</v>
      </c>
      <c r="AN62" s="176"/>
      <c r="AO62" s="176"/>
      <c r="AP62" s="176" t="s">
        <v>788</v>
      </c>
      <c r="AQ62" s="786"/>
      <c r="AR62" s="786"/>
      <c r="AS62" s="753">
        <f>MAX(AS6:AS54)</f>
        <v>209.8233163751525</v>
      </c>
      <c r="AT62" s="590"/>
      <c r="AU62" s="590"/>
      <c r="AV62" s="484">
        <f>MAX(AV6:AV54)</f>
        <v>209.8233163751525</v>
      </c>
      <c r="AW62" s="506"/>
      <c r="AX62" s="506"/>
      <c r="AY62" s="108"/>
      <c r="AZ62" s="108"/>
      <c r="BA62" s="108"/>
      <c r="BB62" s="319" t="s">
        <v>788</v>
      </c>
      <c r="BC62" s="319"/>
      <c r="BD62" s="319"/>
      <c r="BE62" s="108"/>
      <c r="BF62" s="108"/>
    </row>
    <row r="63" spans="1:58" x14ac:dyDescent="0.3">
      <c r="Q63" s="649"/>
      <c r="S63" s="843" t="s">
        <v>1276</v>
      </c>
      <c r="T63" s="157">
        <f>QUARTILE(T$6:T55,3)-QUARTILE(T$6:T55,1)</f>
        <v>1.9069482152149579</v>
      </c>
      <c r="U63" s="119"/>
      <c r="AE63" s="649"/>
      <c r="AF63" s="843" t="s">
        <v>1276</v>
      </c>
      <c r="AG63" s="157">
        <f>QUARTILE(AG$6:AG55,3)-QUARTILE(AG$6:AG55,1)</f>
        <v>11.050538901934301</v>
      </c>
      <c r="AH63" s="119"/>
      <c r="AM63" s="175"/>
      <c r="AN63" s="175"/>
      <c r="AO63" s="175"/>
      <c r="AP63" s="175"/>
      <c r="AQ63" s="783"/>
      <c r="AR63" s="783"/>
      <c r="AS63" s="649"/>
      <c r="AU63" s="843" t="s">
        <v>1276</v>
      </c>
      <c r="AV63" s="157">
        <f>QUARTILE(AV$6:AV55,3)-QUARTILE(AV$6:AV55,1)</f>
        <v>8.5509120500601217</v>
      </c>
      <c r="AW63" s="119"/>
    </row>
    <row r="64" spans="1:58" x14ac:dyDescent="0.3">
      <c r="Q64" s="649"/>
      <c r="S64" s="843" t="s">
        <v>1277</v>
      </c>
      <c r="T64" s="157">
        <f>MAX(T59-2*T63,0)</f>
        <v>0</v>
      </c>
      <c r="U64" s="844" t="str">
        <f>IF(T61&lt;T64,"Outlier Flag","")</f>
        <v/>
      </c>
      <c r="AE64" s="649"/>
      <c r="AF64" s="843" t="s">
        <v>1277</v>
      </c>
      <c r="AG64" s="157">
        <f>MAX(AG59-2*AG63,0)</f>
        <v>0</v>
      </c>
      <c r="AH64" s="844" t="str">
        <f>IF(AG61&lt;AG64,"Outlier Flag","")</f>
        <v/>
      </c>
      <c r="AM64" s="175"/>
      <c r="AN64" s="175"/>
      <c r="AO64" s="175"/>
      <c r="AP64" s="175"/>
      <c r="AQ64" s="783"/>
      <c r="AR64" s="783"/>
      <c r="AS64" s="649"/>
      <c r="AU64" s="843" t="s">
        <v>1277</v>
      </c>
      <c r="AV64" s="157">
        <f>MAX(AV59-2*AV63,0)</f>
        <v>0</v>
      </c>
      <c r="AW64" s="844" t="str">
        <f>IF(AV61&lt;AV64,"Outlier Flag","")</f>
        <v/>
      </c>
    </row>
    <row r="65" spans="14:49" x14ac:dyDescent="0.3">
      <c r="Q65" s="649"/>
      <c r="S65" s="843" t="s">
        <v>1278</v>
      </c>
      <c r="T65" s="157">
        <f>T59+2.2*T63</f>
        <v>4.9084004567650323</v>
      </c>
      <c r="U65" s="844" t="str">
        <f>IF(T62&gt;T65,"Outlier Flag","")</f>
        <v>Outlier Flag</v>
      </c>
      <c r="AE65" s="649"/>
      <c r="AF65" s="843" t="s">
        <v>1278</v>
      </c>
      <c r="AG65" s="157">
        <f>AG59+2.2*AG63</f>
        <v>25.2820189175888</v>
      </c>
      <c r="AH65" s="844" t="str">
        <f>IF(AG62&gt;AG65,"Outlier Flag","")</f>
        <v>Outlier Flag</v>
      </c>
      <c r="AM65" s="175"/>
      <c r="AN65" s="175"/>
      <c r="AO65" s="175"/>
      <c r="AP65" s="175"/>
      <c r="AQ65" s="783"/>
      <c r="AR65" s="783"/>
      <c r="AS65" s="649"/>
      <c r="AU65" s="843" t="s">
        <v>1278</v>
      </c>
      <c r="AV65" s="157">
        <f>AV59+2.2*AV63</f>
        <v>19.182006510132272</v>
      </c>
      <c r="AW65" s="844" t="str">
        <f>IF(AV62&gt;AV65,"Outlier Flag","")</f>
        <v>Outlier Flag</v>
      </c>
    </row>
    <row r="66" spans="14:49" x14ac:dyDescent="0.3">
      <c r="Q66" s="649"/>
      <c r="AE66" s="649"/>
      <c r="AM66" s="175"/>
      <c r="AN66" s="175"/>
      <c r="AO66" s="175"/>
      <c r="AP66" s="175"/>
      <c r="AQ66" s="783"/>
      <c r="AR66" s="783"/>
      <c r="AS66" s="649"/>
    </row>
    <row r="67" spans="14:49" x14ac:dyDescent="0.3">
      <c r="N67" s="31" t="s">
        <v>790</v>
      </c>
      <c r="T67" s="184">
        <v>0.84071496413108793</v>
      </c>
      <c r="AV67" s="184">
        <v>2.9140557284534254</v>
      </c>
      <c r="AW67" s="176" t="s">
        <v>786</v>
      </c>
    </row>
    <row r="68" spans="14:49" x14ac:dyDescent="0.3">
      <c r="N68" s="31" t="s">
        <v>791</v>
      </c>
      <c r="T68" s="184">
        <v>0.97145193963335474</v>
      </c>
      <c r="AC68" s="31" t="s">
        <v>786</v>
      </c>
      <c r="AG68" s="184">
        <v>4.041821373919948</v>
      </c>
      <c r="AV68" s="184">
        <v>6.5247044558052361</v>
      </c>
      <c r="AW68" s="176" t="s">
        <v>797</v>
      </c>
    </row>
    <row r="69" spans="14:49" x14ac:dyDescent="0.3">
      <c r="N69" s="31" t="s">
        <v>800</v>
      </c>
      <c r="T69" s="184">
        <v>0.52467061757198818</v>
      </c>
      <c r="AC69" s="31" t="s">
        <v>797</v>
      </c>
      <c r="AG69" s="184">
        <v>6.455932810229764</v>
      </c>
      <c r="AV69" s="184">
        <v>0.18648847061708645</v>
      </c>
      <c r="AW69" s="176" t="s">
        <v>798</v>
      </c>
    </row>
    <row r="70" spans="14:49" x14ac:dyDescent="0.3">
      <c r="N70" s="31" t="s">
        <v>789</v>
      </c>
      <c r="T70" s="184">
        <v>4</v>
      </c>
      <c r="AC70" s="31" t="s">
        <v>798</v>
      </c>
      <c r="AG70" s="184">
        <v>0.73230683467383528</v>
      </c>
      <c r="AV70" s="184">
        <v>6</v>
      </c>
      <c r="AW70" s="176" t="s">
        <v>789</v>
      </c>
    </row>
    <row r="71" spans="14:49" x14ac:dyDescent="0.3">
      <c r="N71" s="31" t="s">
        <v>787</v>
      </c>
      <c r="T71" s="184">
        <v>7.034355431356569E-2</v>
      </c>
      <c r="AC71" s="31" t="s">
        <v>789</v>
      </c>
      <c r="AG71" s="184">
        <v>6</v>
      </c>
      <c r="AV71" s="184">
        <v>1.1517483642347198E-3</v>
      </c>
      <c r="AW71" s="176" t="s">
        <v>787</v>
      </c>
    </row>
    <row r="72" spans="14:49" x14ac:dyDescent="0.3">
      <c r="N72" s="31" t="s">
        <v>788</v>
      </c>
      <c r="T72" s="184">
        <v>2.2431750670668098</v>
      </c>
      <c r="AC72" s="31" t="s">
        <v>803</v>
      </c>
      <c r="AG72" s="184">
        <v>4.1033869063398655E-2</v>
      </c>
      <c r="AV72" s="184">
        <v>16.213350651537628</v>
      </c>
      <c r="AW72" s="176" t="s">
        <v>788</v>
      </c>
    </row>
    <row r="73" spans="14:49" x14ac:dyDescent="0.3">
      <c r="AC73" s="31" t="s">
        <v>804</v>
      </c>
      <c r="AG73" s="184">
        <v>16.246936667511143</v>
      </c>
    </row>
  </sheetData>
  <sheetProtection formatCells="0" formatColumns="0" formatRows="0" insertColumns="0" insertRows="0" insertHyperlinks="0" deleteColumns="0" deleteRows="0" sort="0"/>
  <mergeCells count="1">
    <mergeCell ref="A1:B1"/>
  </mergeCells>
  <hyperlinks>
    <hyperlink ref="E45" r:id="rId1" display="HPVsummary"/>
    <hyperlink ref="E47" r:id="rId2"/>
    <hyperlink ref="E53" r:id="rId3"/>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73"/>
  <sheetViews>
    <sheetView zoomScaleNormal="100" workbookViewId="0">
      <selection sqref="A1:B1"/>
    </sheetView>
  </sheetViews>
  <sheetFormatPr defaultRowHeight="14.4" x14ac:dyDescent="0.3"/>
  <cols>
    <col min="1" max="1" width="3.6640625" style="31" customWidth="1"/>
    <col min="2" max="2" width="30" style="31" customWidth="1"/>
    <col min="3" max="3" width="17.5546875" style="31" customWidth="1"/>
    <col min="4" max="4" width="17.5546875" style="32" customWidth="1"/>
    <col min="5" max="5" width="25.44140625" style="31" customWidth="1"/>
    <col min="6" max="6" width="21.44140625" style="31" customWidth="1"/>
    <col min="7" max="7" width="12.109375" style="31" bestFit="1" customWidth="1"/>
    <col min="8" max="8" width="12.109375" style="31" customWidth="1"/>
    <col min="9" max="9" width="8.88671875" style="583" customWidth="1"/>
    <col min="10" max="10" width="9.33203125" style="92" bestFit="1" customWidth="1"/>
    <col min="11" max="12" width="8.88671875" style="31"/>
    <col min="13" max="13" width="11.44140625" style="31" customWidth="1"/>
    <col min="14" max="14" width="12.6640625" style="31" customWidth="1"/>
    <col min="15" max="15" width="10.33203125" style="247" customWidth="1"/>
    <col min="16" max="16" width="12.44140625" style="247" customWidth="1"/>
    <col min="17" max="17" width="10.109375" style="583" customWidth="1"/>
    <col min="18" max="18" width="10.33203125" style="583" customWidth="1"/>
    <col min="19" max="19" width="12.33203125" style="583" bestFit="1" customWidth="1"/>
    <col min="20" max="22" width="10.109375" style="117" customWidth="1"/>
    <col min="23" max="25" width="15.6640625" style="40" customWidth="1"/>
    <col min="26" max="27" width="8.88671875" style="31"/>
    <col min="28" max="28" width="11.44140625" style="103" customWidth="1"/>
    <col min="29" max="29" width="8.88671875" style="31" customWidth="1"/>
    <col min="30" max="30" width="14.88671875" style="247" bestFit="1" customWidth="1"/>
    <col min="31" max="31" width="11.33203125" style="583" customWidth="1"/>
    <col min="32" max="32" width="13.44140625" style="586" bestFit="1" customWidth="1"/>
    <col min="33" max="35" width="10.33203125" style="156" customWidth="1"/>
    <col min="36" max="38" width="15.6640625" style="157" customWidth="1"/>
    <col min="39" max="40" width="8.88671875" style="31"/>
    <col min="41" max="41" width="11.44140625" style="103" customWidth="1"/>
    <col min="42" max="42" width="12.6640625" style="31" customWidth="1"/>
    <col min="43" max="43" width="10.33203125" style="250" customWidth="1"/>
    <col min="44" max="44" width="12.6640625" style="250" bestFit="1" customWidth="1"/>
    <col min="45" max="45" width="12" style="583" customWidth="1"/>
    <col min="46" max="46" width="10.33203125" style="586" customWidth="1"/>
    <col min="47" max="47" width="12.6640625" style="586" bestFit="1" customWidth="1"/>
    <col min="48" max="50" width="10.109375" style="118" customWidth="1"/>
    <col min="51" max="53" width="15.88671875" style="31" customWidth="1"/>
    <col min="54" max="56" width="16.6640625" style="185" customWidth="1"/>
    <col min="57" max="58" width="8.88671875" style="31"/>
  </cols>
  <sheetData>
    <row r="1" spans="1:58" x14ac:dyDescent="0.3">
      <c r="A1" s="899" t="s">
        <v>8</v>
      </c>
      <c r="B1" s="899"/>
      <c r="K1" s="229" t="s">
        <v>626</v>
      </c>
      <c r="L1" s="238"/>
      <c r="M1" s="238"/>
      <c r="N1" s="238"/>
      <c r="O1" s="608" t="s">
        <v>601</v>
      </c>
      <c r="P1" s="609"/>
      <c r="Q1" s="208" t="s">
        <v>602</v>
      </c>
      <c r="R1" s="209"/>
      <c r="S1" s="209"/>
      <c r="T1" s="610"/>
      <c r="U1" s="610"/>
      <c r="V1" s="610"/>
      <c r="W1" s="611"/>
      <c r="X1" s="611"/>
      <c r="Y1" s="611"/>
      <c r="Z1" s="229" t="s">
        <v>89</v>
      </c>
      <c r="AA1" s="238"/>
      <c r="AB1" s="238"/>
      <c r="AC1" s="238"/>
      <c r="AD1" s="609" t="s">
        <v>601</v>
      </c>
      <c r="AE1" s="208" t="s">
        <v>602</v>
      </c>
      <c r="AF1" s="209"/>
      <c r="AG1" s="612"/>
      <c r="AH1" s="612"/>
      <c r="AI1" s="612"/>
      <c r="AJ1" s="611"/>
      <c r="AK1" s="611"/>
      <c r="AL1" s="611"/>
      <c r="AM1" s="229" t="s">
        <v>627</v>
      </c>
      <c r="AN1" s="238"/>
      <c r="AO1" s="238"/>
      <c r="AP1" s="238"/>
      <c r="AQ1" s="608" t="s">
        <v>601</v>
      </c>
      <c r="AR1" s="608"/>
      <c r="AS1" s="208" t="s">
        <v>602</v>
      </c>
      <c r="AT1" s="209"/>
      <c r="AU1" s="209"/>
      <c r="AV1" s="610"/>
      <c r="AW1" s="610"/>
      <c r="AX1" s="610"/>
      <c r="AY1" s="611"/>
      <c r="AZ1" s="611"/>
      <c r="BA1" s="611"/>
      <c r="BB1" s="613"/>
      <c r="BC1" s="613"/>
      <c r="BD1" s="613"/>
    </row>
    <row r="2" spans="1:58" x14ac:dyDescent="0.3">
      <c r="A2" s="108"/>
      <c r="G2" s="584"/>
      <c r="H2" s="584"/>
      <c r="K2" s="229"/>
      <c r="L2" s="238"/>
      <c r="M2" s="238"/>
      <c r="N2" s="238"/>
      <c r="O2" s="615" t="s">
        <v>603</v>
      </c>
      <c r="P2" s="616"/>
      <c r="Q2" s="210" t="s">
        <v>603</v>
      </c>
      <c r="R2" s="210" t="s">
        <v>603</v>
      </c>
      <c r="S2" s="210"/>
      <c r="T2" s="617" t="s">
        <v>801</v>
      </c>
      <c r="U2" s="617"/>
      <c r="V2" s="617"/>
      <c r="W2" s="618"/>
      <c r="X2" s="618"/>
      <c r="Y2" s="618"/>
      <c r="Z2" s="238"/>
      <c r="AA2" s="238"/>
      <c r="AB2" s="238"/>
      <c r="AC2" s="238"/>
      <c r="AD2" s="616"/>
      <c r="AE2" s="208"/>
      <c r="AF2" s="210"/>
      <c r="AG2" s="619" t="s">
        <v>801</v>
      </c>
      <c r="AH2" s="619"/>
      <c r="AI2" s="619"/>
      <c r="AJ2" s="618"/>
      <c r="AK2" s="618"/>
      <c r="AL2" s="618"/>
      <c r="AM2" s="229"/>
      <c r="AN2" s="238"/>
      <c r="AO2" s="238"/>
      <c r="AP2" s="238"/>
      <c r="AQ2" s="615" t="s">
        <v>604</v>
      </c>
      <c r="AR2" s="615"/>
      <c r="AS2" s="210" t="s">
        <v>604</v>
      </c>
      <c r="AT2" s="210" t="s">
        <v>604</v>
      </c>
      <c r="AU2" s="210"/>
      <c r="AV2" s="617" t="s">
        <v>801</v>
      </c>
      <c r="AW2" s="617"/>
      <c r="AX2" s="617"/>
      <c r="AY2" s="618"/>
      <c r="AZ2" s="618"/>
      <c r="BA2" s="618"/>
      <c r="BB2" s="613"/>
      <c r="BC2" s="613"/>
      <c r="BD2" s="613"/>
    </row>
    <row r="3" spans="1:58" ht="43.2" x14ac:dyDescent="0.3">
      <c r="B3" s="229" t="s">
        <v>1</v>
      </c>
      <c r="C3" s="229" t="s">
        <v>2</v>
      </c>
      <c r="D3" s="625" t="s">
        <v>930</v>
      </c>
      <c r="E3" s="229" t="s">
        <v>5</v>
      </c>
      <c r="F3" s="229" t="s">
        <v>7</v>
      </c>
      <c r="G3" s="634" t="s">
        <v>1176</v>
      </c>
      <c r="H3" s="634" t="s">
        <v>1176</v>
      </c>
      <c r="I3" s="635" t="s">
        <v>593</v>
      </c>
      <c r="J3" s="636" t="s">
        <v>594</v>
      </c>
      <c r="K3" s="229" t="s">
        <v>109</v>
      </c>
      <c r="L3" s="229" t="s">
        <v>87</v>
      </c>
      <c r="M3" s="620" t="s">
        <v>1180</v>
      </c>
      <c r="N3" s="620" t="s">
        <v>1179</v>
      </c>
      <c r="O3" s="621" t="s">
        <v>1177</v>
      </c>
      <c r="P3" s="621" t="s">
        <v>1178</v>
      </c>
      <c r="Q3" s="211" t="s">
        <v>87</v>
      </c>
      <c r="R3" s="212" t="s">
        <v>1177</v>
      </c>
      <c r="S3" s="212" t="s">
        <v>1178</v>
      </c>
      <c r="T3" s="617" t="s">
        <v>811</v>
      </c>
      <c r="U3" s="617" t="s">
        <v>799</v>
      </c>
      <c r="V3" s="617" t="s">
        <v>807</v>
      </c>
      <c r="W3" s="618" t="s">
        <v>1181</v>
      </c>
      <c r="X3" s="618" t="s">
        <v>1021</v>
      </c>
      <c r="Y3" s="622" t="s">
        <v>951</v>
      </c>
      <c r="Z3" s="229" t="s">
        <v>86</v>
      </c>
      <c r="AA3" s="229" t="s">
        <v>87</v>
      </c>
      <c r="AB3" s="620" t="s">
        <v>1180</v>
      </c>
      <c r="AC3" s="620" t="s">
        <v>1179</v>
      </c>
      <c r="AD3" s="621" t="s">
        <v>1177</v>
      </c>
      <c r="AE3" s="211" t="s">
        <v>87</v>
      </c>
      <c r="AF3" s="212" t="s">
        <v>1177</v>
      </c>
      <c r="AG3" s="619" t="s">
        <v>811</v>
      </c>
      <c r="AH3" s="619" t="s">
        <v>799</v>
      </c>
      <c r="AI3" s="619" t="s">
        <v>807</v>
      </c>
      <c r="AJ3" s="618" t="s">
        <v>1182</v>
      </c>
      <c r="AK3" s="618" t="s">
        <v>1021</v>
      </c>
      <c r="AL3" s="622" t="s">
        <v>951</v>
      </c>
      <c r="AM3" s="229" t="s">
        <v>86</v>
      </c>
      <c r="AN3" s="229" t="s">
        <v>113</v>
      </c>
      <c r="AO3" s="620" t="s">
        <v>111</v>
      </c>
      <c r="AP3" s="620" t="s">
        <v>1179</v>
      </c>
      <c r="AQ3" s="621" t="s">
        <v>1177</v>
      </c>
      <c r="AR3" s="621" t="s">
        <v>1178</v>
      </c>
      <c r="AS3" s="211" t="s">
        <v>87</v>
      </c>
      <c r="AT3" s="212" t="s">
        <v>1177</v>
      </c>
      <c r="AU3" s="212" t="s">
        <v>1178</v>
      </c>
      <c r="AV3" s="617" t="s">
        <v>811</v>
      </c>
      <c r="AW3" s="617" t="s">
        <v>799</v>
      </c>
      <c r="AX3" s="617" t="s">
        <v>807</v>
      </c>
      <c r="AY3" s="618" t="s">
        <v>1183</v>
      </c>
      <c r="AZ3" s="618" t="s">
        <v>1021</v>
      </c>
      <c r="BA3" s="622" t="s">
        <v>951</v>
      </c>
      <c r="BB3" s="623" t="s">
        <v>1184</v>
      </c>
      <c r="BC3" s="623" t="s">
        <v>90</v>
      </c>
      <c r="BD3" s="624" t="s">
        <v>1022</v>
      </c>
    </row>
    <row r="4" spans="1:58" x14ac:dyDescent="0.3">
      <c r="B4" s="238"/>
      <c r="C4" s="238"/>
      <c r="D4" s="614"/>
      <c r="E4" s="238"/>
      <c r="F4" s="238"/>
      <c r="G4" s="637" t="s">
        <v>85</v>
      </c>
      <c r="H4" s="637" t="s">
        <v>522</v>
      </c>
      <c r="I4" s="635"/>
      <c r="J4" s="638" t="s">
        <v>595</v>
      </c>
      <c r="K4" s="238"/>
      <c r="L4" s="238" t="s">
        <v>88</v>
      </c>
      <c r="M4" s="238"/>
      <c r="N4" s="238"/>
      <c r="O4" s="626" t="s">
        <v>596</v>
      </c>
      <c r="P4" s="626" t="s">
        <v>597</v>
      </c>
      <c r="Q4" s="208" t="s">
        <v>88</v>
      </c>
      <c r="R4" s="208" t="s">
        <v>596</v>
      </c>
      <c r="S4" s="208" t="s">
        <v>597</v>
      </c>
      <c r="T4" s="627" t="s">
        <v>88</v>
      </c>
      <c r="U4" s="627" t="s">
        <v>88</v>
      </c>
      <c r="V4" s="627" t="s">
        <v>88</v>
      </c>
      <c r="W4" s="628"/>
      <c r="X4" s="628"/>
      <c r="Y4" s="628"/>
      <c r="Z4" s="238"/>
      <c r="AA4" s="238" t="s">
        <v>88</v>
      </c>
      <c r="AB4" s="237"/>
      <c r="AC4" s="238"/>
      <c r="AD4" s="626" t="s">
        <v>596</v>
      </c>
      <c r="AE4" s="208" t="s">
        <v>88</v>
      </c>
      <c r="AF4" s="209" t="s">
        <v>596</v>
      </c>
      <c r="AG4" s="629" t="s">
        <v>88</v>
      </c>
      <c r="AH4" s="629" t="s">
        <v>88</v>
      </c>
      <c r="AI4" s="629" t="s">
        <v>88</v>
      </c>
      <c r="AJ4" s="628"/>
      <c r="AK4" s="628"/>
      <c r="AL4" s="628"/>
      <c r="AM4" s="238"/>
      <c r="AN4" s="238" t="s">
        <v>88</v>
      </c>
      <c r="AO4" s="237"/>
      <c r="AP4" s="238"/>
      <c r="AQ4" s="630" t="s">
        <v>596</v>
      </c>
      <c r="AR4" s="630" t="s">
        <v>597</v>
      </c>
      <c r="AS4" s="208" t="s">
        <v>88</v>
      </c>
      <c r="AT4" s="209" t="s">
        <v>596</v>
      </c>
      <c r="AU4" s="209" t="s">
        <v>597</v>
      </c>
      <c r="AV4" s="631" t="s">
        <v>88</v>
      </c>
      <c r="AW4" s="631" t="s">
        <v>88</v>
      </c>
      <c r="AX4" s="631" t="s">
        <v>88</v>
      </c>
      <c r="AY4" s="628"/>
      <c r="AZ4" s="628"/>
      <c r="BA4" s="628"/>
      <c r="BB4" s="632"/>
      <c r="BC4" s="632"/>
      <c r="BD4" s="633"/>
    </row>
    <row r="5" spans="1:58" x14ac:dyDescent="0.3">
      <c r="I5" s="639"/>
      <c r="T5" s="156"/>
      <c r="U5" s="156"/>
      <c r="V5" s="156"/>
      <c r="W5" s="157"/>
      <c r="X5" s="157"/>
      <c r="Y5" s="157"/>
      <c r="AV5" s="156"/>
      <c r="AW5" s="156"/>
      <c r="AX5" s="156"/>
    </row>
    <row r="6" spans="1:58" s="13" customFormat="1" x14ac:dyDescent="0.3">
      <c r="A6" s="29"/>
      <c r="B6" s="241" t="s">
        <v>809</v>
      </c>
      <c r="C6" s="29"/>
      <c r="D6" s="29"/>
      <c r="E6" s="29"/>
      <c r="F6" s="29"/>
      <c r="G6" s="29"/>
      <c r="H6" s="29"/>
      <c r="I6" s="640"/>
      <c r="J6" s="245"/>
      <c r="K6" s="29"/>
      <c r="L6" s="29"/>
      <c r="M6" s="29"/>
      <c r="N6" s="29"/>
      <c r="O6" s="246"/>
      <c r="P6" s="246"/>
      <c r="Q6" s="29"/>
      <c r="R6" s="29"/>
      <c r="S6" s="29"/>
      <c r="T6" s="29"/>
      <c r="U6" s="29"/>
      <c r="V6" s="29"/>
      <c r="W6" s="29"/>
      <c r="X6" s="29"/>
      <c r="Y6" s="29"/>
      <c r="Z6" s="29"/>
      <c r="AA6" s="29"/>
      <c r="AB6" s="253"/>
      <c r="AC6" s="29"/>
      <c r="AD6" s="246"/>
      <c r="AE6" s="29"/>
      <c r="AF6" s="253"/>
      <c r="AG6" s="184"/>
      <c r="AH6" s="184"/>
      <c r="AI6" s="184"/>
      <c r="AJ6" s="184"/>
      <c r="AK6" s="184"/>
      <c r="AL6" s="184"/>
      <c r="AM6" s="29"/>
      <c r="AN6" s="29"/>
      <c r="AO6" s="253"/>
      <c r="AP6" s="29"/>
      <c r="AQ6" s="258"/>
      <c r="AR6" s="258"/>
      <c r="AS6" s="29"/>
      <c r="AT6" s="253"/>
      <c r="AU6" s="253"/>
      <c r="AV6" s="253"/>
      <c r="AW6" s="253"/>
      <c r="AX6" s="253"/>
      <c r="AY6" s="29"/>
      <c r="AZ6" s="29"/>
      <c r="BA6" s="29"/>
      <c r="BB6" s="29"/>
      <c r="BC6" s="29"/>
      <c r="BD6" s="29"/>
      <c r="BE6" s="29"/>
      <c r="BF6" s="29"/>
    </row>
    <row r="7" spans="1:58" x14ac:dyDescent="0.3">
      <c r="A7" s="242">
        <v>1</v>
      </c>
      <c r="B7" s="31" t="s">
        <v>324</v>
      </c>
      <c r="C7" s="31" t="s">
        <v>325</v>
      </c>
      <c r="E7" s="31" t="s">
        <v>321</v>
      </c>
      <c r="F7" s="31" t="s">
        <v>326</v>
      </c>
      <c r="G7" s="31">
        <v>61</v>
      </c>
      <c r="H7" s="31">
        <f>273.15+G7</f>
        <v>334.15</v>
      </c>
      <c r="I7" s="208">
        <f>-LOG10(EXP(LN(10^-14)+13.36*(1/298.15-1/H7)/0.0019872))</f>
        <v>12.944944240629182</v>
      </c>
      <c r="J7" s="811">
        <v>25.29</v>
      </c>
      <c r="Q7" s="208"/>
      <c r="R7" s="208"/>
      <c r="S7" s="208"/>
      <c r="Z7" s="31">
        <v>7</v>
      </c>
      <c r="AB7" s="103">
        <v>2.0999999999999998E-6</v>
      </c>
      <c r="AC7" s="31" t="s">
        <v>600</v>
      </c>
      <c r="AD7" s="250">
        <f>AB7</f>
        <v>2.0999999999999998E-6</v>
      </c>
      <c r="AE7" s="219">
        <f>(LN(2)/AF7)/(60*60*24)</f>
        <v>379.55530870478577</v>
      </c>
      <c r="AF7" s="209">
        <f>EXP(LN(AD7)+$J7*(1/$H7-1/298.15)/0.0019872)</f>
        <v>2.113667396568085E-8</v>
      </c>
      <c r="AG7" s="156">
        <f>AVERAGE(AE7:AE8)</f>
        <v>379.55530870478577</v>
      </c>
      <c r="AH7" s="156">
        <f>MEDIAN(AE7:AE8)</f>
        <v>379.55530870478577</v>
      </c>
      <c r="AI7" s="156">
        <f>STDEV(AE7:AE8)</f>
        <v>0</v>
      </c>
      <c r="AS7" s="219"/>
      <c r="AT7" s="209"/>
      <c r="AU7" s="209"/>
    </row>
    <row r="8" spans="1:58" x14ac:dyDescent="0.3">
      <c r="F8" s="31" t="s">
        <v>677</v>
      </c>
      <c r="G8" s="31">
        <v>61</v>
      </c>
      <c r="H8" s="31">
        <f>273.15+G8</f>
        <v>334.15</v>
      </c>
      <c r="I8" s="208">
        <f>-LOG10(EXP(LN(10^-14)+13.36*(1/298.15-1/H8)/0.0019872))</f>
        <v>12.944944240629182</v>
      </c>
      <c r="J8" s="91">
        <v>25.29</v>
      </c>
      <c r="Q8" s="208"/>
      <c r="R8" s="208"/>
      <c r="S8" s="208"/>
      <c r="Z8" s="31">
        <v>9</v>
      </c>
      <c r="AB8" s="103">
        <v>2.0999999999999998E-6</v>
      </c>
      <c r="AC8" s="31" t="s">
        <v>600</v>
      </c>
      <c r="AD8" s="250">
        <f>AB8</f>
        <v>2.0999999999999998E-6</v>
      </c>
      <c r="AE8" s="219">
        <f>(LN(2)/AF8)/(60*60*24)</f>
        <v>379.55530870478577</v>
      </c>
      <c r="AF8" s="209">
        <f>EXP(LN(AD8)+$J8*(1/$H8-1/298.15)/0.0019872)</f>
        <v>2.113667396568085E-8</v>
      </c>
      <c r="AS8" s="219"/>
      <c r="AT8" s="209"/>
      <c r="AU8" s="209"/>
    </row>
    <row r="9" spans="1:58" x14ac:dyDescent="0.3">
      <c r="F9" s="31" t="s">
        <v>678</v>
      </c>
      <c r="G9" s="31">
        <v>61</v>
      </c>
      <c r="H9" s="31">
        <f>273.15+G9</f>
        <v>334.15</v>
      </c>
      <c r="I9" s="208">
        <f>-LOG10(EXP(LN(10^-14)+13.36*(1/298.15-1/H9)/0.0019872))</f>
        <v>12.944944240629182</v>
      </c>
      <c r="J9" s="91">
        <v>23.49</v>
      </c>
      <c r="Q9" s="208"/>
      <c r="R9" s="208"/>
      <c r="S9" s="208"/>
      <c r="AD9" s="250"/>
      <c r="AE9" s="208"/>
      <c r="AF9" s="209"/>
      <c r="AM9" s="31">
        <v>11</v>
      </c>
      <c r="AO9" s="103">
        <v>5.0000000000000004E-6</v>
      </c>
      <c r="AP9" s="31" t="s">
        <v>600</v>
      </c>
      <c r="AQ9" s="250">
        <f>AO9*10^(9-AM9)</f>
        <v>5.0000000000000004E-8</v>
      </c>
      <c r="AR9" s="250">
        <f>AQ9*10^($I9-9)</f>
        <v>4.4046788089566657E-4</v>
      </c>
      <c r="AS9" s="219">
        <f>(LN(2)/AT9)/(60*60*24)</f>
        <v>130446.33713404616</v>
      </c>
      <c r="AT9" s="209">
        <f>AU9*10^(9-14)</f>
        <v>6.1500667541109075E-11</v>
      </c>
      <c r="AU9" s="209">
        <f>EXP(LN(AR9)+$J9*(1/$H9-1/298.15)/0.0019872)</f>
        <v>6.1500667541109072E-6</v>
      </c>
      <c r="AV9" s="896">
        <f>AS9</f>
        <v>130446.33713404616</v>
      </c>
    </row>
    <row r="10" spans="1:58" ht="15" thickBot="1" x14ac:dyDescent="0.35">
      <c r="I10" s="208"/>
      <c r="J10" s="91"/>
      <c r="Q10" s="208"/>
      <c r="R10" s="208"/>
      <c r="S10" s="208"/>
      <c r="AD10" s="250"/>
      <c r="AE10" s="208"/>
      <c r="AF10" s="209"/>
      <c r="AS10" s="208"/>
      <c r="AT10" s="209"/>
      <c r="AU10" s="209"/>
    </row>
    <row r="11" spans="1:58" s="8" customFormat="1" x14ac:dyDescent="0.3">
      <c r="A11" s="37">
        <v>2</v>
      </c>
      <c r="B11" s="37" t="s">
        <v>327</v>
      </c>
      <c r="C11" s="37" t="s">
        <v>328</v>
      </c>
      <c r="D11" s="38"/>
      <c r="E11" s="37" t="s">
        <v>321</v>
      </c>
      <c r="F11" s="37"/>
      <c r="G11" s="37">
        <v>45</v>
      </c>
      <c r="H11" s="37">
        <f t="shared" ref="H11:H16" si="0">273.15+G11</f>
        <v>318.14999999999998</v>
      </c>
      <c r="I11" s="214">
        <f t="shared" ref="I11:I16" si="1">-LOG10(EXP(LN(10^-14)+13.36*(1/298.15-1/H11)/0.0019872))</f>
        <v>13.3843803901134</v>
      </c>
      <c r="J11" s="88">
        <v>22.49</v>
      </c>
      <c r="K11" s="37"/>
      <c r="L11" s="37"/>
      <c r="M11" s="37"/>
      <c r="N11" s="37"/>
      <c r="O11" s="248"/>
      <c r="P11" s="248"/>
      <c r="Q11" s="214"/>
      <c r="R11" s="214"/>
      <c r="S11" s="214"/>
      <c r="T11" s="254"/>
      <c r="U11" s="254"/>
      <c r="V11" s="254"/>
      <c r="W11" s="39"/>
      <c r="X11" s="39"/>
      <c r="Y11" s="39"/>
      <c r="Z11" s="37">
        <v>7</v>
      </c>
      <c r="AA11" s="37"/>
      <c r="AB11" s="122">
        <v>9.9999999999999995E-7</v>
      </c>
      <c r="AC11" s="37" t="s">
        <v>600</v>
      </c>
      <c r="AD11" s="249">
        <f t="shared" ref="AD11:AD16" si="2">AB11</f>
        <v>9.9999999999999995E-7</v>
      </c>
      <c r="AE11" s="218">
        <f t="shared" ref="AE11:AE16" si="3">(LN(2)/AF11)/(60*60*24)</f>
        <v>87.223889337991594</v>
      </c>
      <c r="AF11" s="215">
        <f t="shared" ref="AF11:AF16" si="4">EXP(LN(AD11)+$J11*(1/$H11-1/298.15)/0.0019872)</f>
        <v>9.1976371071337616E-8</v>
      </c>
      <c r="AG11" s="158">
        <f>AVERAGE(AE11:AE16)</f>
        <v>67.730890131217151</v>
      </c>
      <c r="AH11" s="158">
        <f>MEDIAN(AE11:AE16)</f>
        <v>65.864681563157248</v>
      </c>
      <c r="AI11" s="158">
        <f>STDEV(AE11:AE16)</f>
        <v>10.856641585775661</v>
      </c>
      <c r="AJ11" s="159"/>
      <c r="AK11" s="159"/>
      <c r="AL11" s="159"/>
      <c r="AM11" s="37"/>
      <c r="AN11" s="37"/>
      <c r="AO11" s="122"/>
      <c r="AP11" s="37"/>
      <c r="AQ11" s="249"/>
      <c r="AR11" s="249"/>
      <c r="AS11" s="218"/>
      <c r="AT11" s="215"/>
      <c r="AU11" s="215"/>
      <c r="AV11" s="120"/>
      <c r="AW11" s="120"/>
      <c r="AX11" s="120"/>
      <c r="AY11" s="37"/>
      <c r="AZ11" s="37"/>
      <c r="BA11" s="37"/>
      <c r="BB11" s="186"/>
      <c r="BC11" s="186"/>
      <c r="BD11" s="186"/>
      <c r="BE11" s="37"/>
      <c r="BF11" s="37"/>
    </row>
    <row r="12" spans="1:58" x14ac:dyDescent="0.3">
      <c r="G12" s="31">
        <v>45</v>
      </c>
      <c r="H12" s="31">
        <f t="shared" si="0"/>
        <v>318.14999999999998</v>
      </c>
      <c r="I12" s="208">
        <f t="shared" si="1"/>
        <v>13.3843803901134</v>
      </c>
      <c r="J12" s="91">
        <v>22.49</v>
      </c>
      <c r="Q12" s="208"/>
      <c r="R12" s="208"/>
      <c r="S12" s="208"/>
      <c r="Z12" s="31">
        <v>9</v>
      </c>
      <c r="AB12" s="103">
        <v>1.3999999999999999E-6</v>
      </c>
      <c r="AC12" s="31" t="s">
        <v>600</v>
      </c>
      <c r="AD12" s="250">
        <f t="shared" si="2"/>
        <v>1.3999999999999999E-6</v>
      </c>
      <c r="AE12" s="219">
        <f t="shared" si="3"/>
        <v>62.302778098565476</v>
      </c>
      <c r="AF12" s="209">
        <f t="shared" si="4"/>
        <v>1.2876691949987255E-7</v>
      </c>
      <c r="AS12" s="219"/>
      <c r="AT12" s="209"/>
      <c r="AU12" s="209"/>
    </row>
    <row r="13" spans="1:58" x14ac:dyDescent="0.3">
      <c r="G13" s="31">
        <v>45</v>
      </c>
      <c r="H13" s="31">
        <f t="shared" si="0"/>
        <v>318.14999999999998</v>
      </c>
      <c r="I13" s="208">
        <f t="shared" si="1"/>
        <v>13.3843803901134</v>
      </c>
      <c r="J13" s="91">
        <v>22.49</v>
      </c>
      <c r="Q13" s="208"/>
      <c r="R13" s="208"/>
      <c r="S13" s="208"/>
      <c r="Z13" s="31">
        <v>11</v>
      </c>
      <c r="AB13" s="103">
        <v>1.3999999999999999E-6</v>
      </c>
      <c r="AC13" s="31" t="s">
        <v>600</v>
      </c>
      <c r="AD13" s="250">
        <f t="shared" si="2"/>
        <v>1.3999999999999999E-6</v>
      </c>
      <c r="AE13" s="219">
        <f t="shared" si="3"/>
        <v>62.302778098565476</v>
      </c>
      <c r="AF13" s="209">
        <f t="shared" si="4"/>
        <v>1.2876691949987255E-7</v>
      </c>
      <c r="AS13" s="219"/>
      <c r="AT13" s="209"/>
      <c r="AU13" s="209"/>
    </row>
    <row r="14" spans="1:58" x14ac:dyDescent="0.3">
      <c r="G14" s="31">
        <v>61</v>
      </c>
      <c r="H14" s="31">
        <f t="shared" si="0"/>
        <v>334.15</v>
      </c>
      <c r="I14" s="208">
        <f t="shared" si="1"/>
        <v>12.944944240629182</v>
      </c>
      <c r="J14" s="91">
        <v>22.49</v>
      </c>
      <c r="Q14" s="208"/>
      <c r="R14" s="208"/>
      <c r="S14" s="208"/>
      <c r="Z14" s="31">
        <v>7</v>
      </c>
      <c r="AB14" s="103">
        <v>6.9E-6</v>
      </c>
      <c r="AC14" s="31" t="s">
        <v>600</v>
      </c>
      <c r="AD14" s="250">
        <f t="shared" si="2"/>
        <v>6.9E-6</v>
      </c>
      <c r="AE14" s="219">
        <f t="shared" si="3"/>
        <v>69.426585027749027</v>
      </c>
      <c r="AF14" s="209">
        <f t="shared" si="4"/>
        <v>1.1555424782638935E-7</v>
      </c>
      <c r="AS14" s="219"/>
      <c r="AT14" s="209"/>
      <c r="AU14" s="209"/>
    </row>
    <row r="15" spans="1:58" x14ac:dyDescent="0.3">
      <c r="G15" s="31">
        <v>61</v>
      </c>
      <c r="H15" s="31">
        <f t="shared" si="0"/>
        <v>334.15</v>
      </c>
      <c r="I15" s="208">
        <f t="shared" si="1"/>
        <v>12.944944240629182</v>
      </c>
      <c r="J15" s="91">
        <v>22.49</v>
      </c>
      <c r="Q15" s="208"/>
      <c r="R15" s="208"/>
      <c r="S15" s="208"/>
      <c r="Z15" s="31">
        <v>9</v>
      </c>
      <c r="AB15" s="103">
        <v>6.9E-6</v>
      </c>
      <c r="AC15" s="31" t="s">
        <v>600</v>
      </c>
      <c r="AD15" s="250">
        <f t="shared" si="2"/>
        <v>6.9E-6</v>
      </c>
      <c r="AE15" s="219">
        <f t="shared" si="3"/>
        <v>69.426585027749027</v>
      </c>
      <c r="AF15" s="209">
        <f t="shared" si="4"/>
        <v>1.1555424782638935E-7</v>
      </c>
      <c r="AS15" s="219"/>
      <c r="AT15" s="209"/>
      <c r="AU15" s="209"/>
    </row>
    <row r="16" spans="1:58" x14ac:dyDescent="0.3">
      <c r="G16" s="31">
        <v>61</v>
      </c>
      <c r="H16" s="31">
        <f t="shared" si="0"/>
        <v>334.15</v>
      </c>
      <c r="I16" s="208">
        <f t="shared" si="1"/>
        <v>12.944944240629182</v>
      </c>
      <c r="J16" s="91">
        <v>22.49</v>
      </c>
      <c r="Q16" s="208"/>
      <c r="R16" s="208"/>
      <c r="S16" s="208"/>
      <c r="Z16" s="31">
        <v>11</v>
      </c>
      <c r="AB16" s="103">
        <v>8.6000000000000007E-6</v>
      </c>
      <c r="AC16" s="31" t="s">
        <v>600</v>
      </c>
      <c r="AD16" s="250">
        <f t="shared" si="2"/>
        <v>8.6000000000000007E-6</v>
      </c>
      <c r="AE16" s="219">
        <f t="shared" si="3"/>
        <v>55.702725196682351</v>
      </c>
      <c r="AF16" s="209">
        <f t="shared" si="4"/>
        <v>1.4402413497202153E-7</v>
      </c>
      <c r="AS16" s="219"/>
      <c r="AT16" s="209"/>
      <c r="AU16" s="209"/>
    </row>
    <row r="17" spans="1:58" x14ac:dyDescent="0.3">
      <c r="I17" s="208"/>
      <c r="J17" s="91"/>
      <c r="Q17" s="208"/>
      <c r="R17" s="208"/>
      <c r="S17" s="208"/>
      <c r="AD17" s="250"/>
      <c r="AE17" s="208"/>
      <c r="AF17" s="209"/>
      <c r="AS17" s="208"/>
      <c r="AT17" s="209"/>
      <c r="AU17" s="209"/>
    </row>
    <row r="18" spans="1:58" ht="15" thickBot="1" x14ac:dyDescent="0.35">
      <c r="I18" s="208"/>
      <c r="J18" s="91"/>
      <c r="Q18" s="208"/>
      <c r="R18" s="208"/>
      <c r="S18" s="208"/>
      <c r="AD18" s="250"/>
      <c r="AE18" s="208"/>
      <c r="AF18" s="209"/>
      <c r="AS18" s="208"/>
      <c r="AT18" s="209"/>
      <c r="AU18" s="209"/>
    </row>
    <row r="19" spans="1:58" s="8" customFormat="1" x14ac:dyDescent="0.3">
      <c r="A19" s="37">
        <v>4</v>
      </c>
      <c r="B19" s="37" t="s">
        <v>333</v>
      </c>
      <c r="C19" s="37" t="s">
        <v>334</v>
      </c>
      <c r="D19" s="38"/>
      <c r="E19" s="37" t="s">
        <v>331</v>
      </c>
      <c r="F19" s="37"/>
      <c r="G19" s="37">
        <v>20.094999999999999</v>
      </c>
      <c r="H19" s="37">
        <f>273.15+G19</f>
        <v>293.245</v>
      </c>
      <c r="I19" s="214">
        <f>-LOG10(EXP(LN(10^-14)+13.36*(1/298.15-1/H19)/0.0019872))</f>
        <v>14.163803347615984</v>
      </c>
      <c r="J19" s="88">
        <v>27.53</v>
      </c>
      <c r="K19" s="37"/>
      <c r="L19" s="37"/>
      <c r="M19" s="37"/>
      <c r="N19" s="37"/>
      <c r="O19" s="248"/>
      <c r="P19" s="248"/>
      <c r="Q19" s="214"/>
      <c r="R19" s="214"/>
      <c r="S19" s="214"/>
      <c r="T19" s="254"/>
      <c r="U19" s="254"/>
      <c r="V19" s="254"/>
      <c r="W19" s="39"/>
      <c r="X19" s="39"/>
      <c r="Y19" s="39"/>
      <c r="Z19" s="37">
        <v>7</v>
      </c>
      <c r="AA19" s="37"/>
      <c r="AB19" s="122">
        <v>2.0990000000000001E-5</v>
      </c>
      <c r="AC19" s="37" t="s">
        <v>600</v>
      </c>
      <c r="AD19" s="249">
        <f>AB19</f>
        <v>2.0990000000000001E-5</v>
      </c>
      <c r="AE19" s="642">
        <f>(LN(2)/AF19)/(60*60*24)</f>
        <v>0.17569580563802054</v>
      </c>
      <c r="AF19" s="215">
        <f>EXP(LN(AD19)+$J19*(1/$H19-1/298.15)/0.0019872)</f>
        <v>4.5661515839284945E-5</v>
      </c>
      <c r="AG19" s="158">
        <f>AVERAGE(AE19:AE22)</f>
        <v>0.18052130393868057</v>
      </c>
      <c r="AH19" s="158">
        <f>MEDIAN(AE19:AE22)</f>
        <v>0.17917055911493149</v>
      </c>
      <c r="AI19" s="158">
        <f>STDEV(AE19:AE22)</f>
        <v>6.2631976503495033E-3</v>
      </c>
      <c r="AJ19" s="159"/>
      <c r="AK19" s="159"/>
      <c r="AL19" s="159"/>
      <c r="AM19" s="37"/>
      <c r="AN19" s="37"/>
      <c r="AO19" s="122"/>
      <c r="AP19" s="37"/>
      <c r="AQ19" s="249"/>
      <c r="AR19" s="249"/>
      <c r="AS19" s="214"/>
      <c r="AT19" s="215"/>
      <c r="AU19" s="215"/>
      <c r="AV19" s="120"/>
      <c r="AW19" s="120"/>
      <c r="AX19" s="120"/>
      <c r="AY19" s="37"/>
      <c r="AZ19" s="37"/>
      <c r="BA19" s="37"/>
      <c r="BB19" s="186" t="s">
        <v>332</v>
      </c>
      <c r="BC19" s="186"/>
      <c r="BD19" s="186"/>
      <c r="BE19" s="37"/>
      <c r="BF19" s="37"/>
    </row>
    <row r="20" spans="1:58" x14ac:dyDescent="0.3">
      <c r="G20" s="31">
        <v>30.055</v>
      </c>
      <c r="H20" s="31">
        <f>273.15+G20</f>
        <v>303.20499999999998</v>
      </c>
      <c r="I20" s="208">
        <f>-LOG10(EXP(LN(10^-14)+13.36*(1/298.15-1/H20)/0.0019872))</f>
        <v>13.836732712147588</v>
      </c>
      <c r="J20" s="91">
        <v>27.53</v>
      </c>
      <c r="Q20" s="208"/>
      <c r="R20" s="208"/>
      <c r="S20" s="208"/>
      <c r="Z20" s="31">
        <v>7</v>
      </c>
      <c r="AB20" s="103">
        <v>9.9300000000000001E-5</v>
      </c>
      <c r="AC20" s="31" t="s">
        <v>600</v>
      </c>
      <c r="AD20" s="250">
        <f>AB20</f>
        <v>9.9300000000000001E-5</v>
      </c>
      <c r="AE20" s="220">
        <f>(LN(2)/AF20)/(60*60*24)</f>
        <v>0.17530557845274727</v>
      </c>
      <c r="AF20" s="209">
        <f>EXP(LN(AD20)+$J20*(1/$H20-1/298.15)/0.0019872)</f>
        <v>4.5763157583709396E-5</v>
      </c>
      <c r="AS20" s="208"/>
      <c r="AT20" s="209"/>
      <c r="AU20" s="209"/>
    </row>
    <row r="21" spans="1:58" x14ac:dyDescent="0.3">
      <c r="G21" s="31">
        <v>40.008000000000003</v>
      </c>
      <c r="H21" s="31">
        <f>273.15+G21</f>
        <v>313.15799999999996</v>
      </c>
      <c r="I21" s="208">
        <f>-LOG10(EXP(LN(10^-14)+13.36*(1/298.15-1/H21)/0.0019872))</f>
        <v>13.530675001387095</v>
      </c>
      <c r="J21" s="91">
        <v>27.53</v>
      </c>
      <c r="Q21" s="208"/>
      <c r="R21" s="208"/>
      <c r="S21" s="208"/>
      <c r="Z21" s="31">
        <v>7</v>
      </c>
      <c r="AB21" s="103">
        <f>40.72*10^-5</f>
        <v>4.0720000000000003E-4</v>
      </c>
      <c r="AC21" s="31" t="s">
        <v>600</v>
      </c>
      <c r="AD21" s="250">
        <f>AB21</f>
        <v>4.0720000000000003E-4</v>
      </c>
      <c r="AE21" s="220">
        <f>(LN(2)/AF21)/(60*60*24)</f>
        <v>0.18264531259184244</v>
      </c>
      <c r="AF21" s="209">
        <f>EXP(LN(AD21)+$J21*(1/$H21-1/298.15)/0.0019872)</f>
        <v>4.3924131959325833E-5</v>
      </c>
      <c r="AQ21" s="86"/>
      <c r="AR21" s="86"/>
      <c r="AS21" s="208"/>
      <c r="AT21" s="209"/>
      <c r="AU21" s="209"/>
    </row>
    <row r="22" spans="1:58" ht="12" customHeight="1" x14ac:dyDescent="0.3">
      <c r="G22" s="31">
        <v>45.006999999999998</v>
      </c>
      <c r="H22" s="31">
        <f>273.15+G22</f>
        <v>318.15699999999998</v>
      </c>
      <c r="I22" s="208">
        <f>-LOG10(EXP(LN(10^-14)+13.36*(1/298.15-1/H22)/0.0019872))</f>
        <v>13.384178472678485</v>
      </c>
      <c r="J22" s="91">
        <v>27.53</v>
      </c>
      <c r="Q22" s="208"/>
      <c r="R22" s="208"/>
      <c r="S22" s="208"/>
      <c r="Z22" s="31">
        <v>7</v>
      </c>
      <c r="AB22" s="103">
        <v>7.9089999999999998E-4</v>
      </c>
      <c r="AC22" s="31" t="s">
        <v>600</v>
      </c>
      <c r="AD22" s="250">
        <f>AB22</f>
        <v>7.9089999999999998E-4</v>
      </c>
      <c r="AE22" s="220">
        <f>(LN(2)/AF22)/(60*60*24)</f>
        <v>0.18843851907211209</v>
      </c>
      <c r="AF22" s="209">
        <f>EXP(LN(AD22)+$J22*(1/$H22-1/298.15)/0.0019872)</f>
        <v>4.2573762792979287E-5</v>
      </c>
      <c r="AQ22" s="86"/>
      <c r="AR22" s="86"/>
      <c r="AS22" s="208"/>
      <c r="AT22" s="209"/>
      <c r="AU22" s="209"/>
    </row>
    <row r="23" spans="1:58" hidden="1" x14ac:dyDescent="0.3">
      <c r="I23" s="208"/>
      <c r="Q23" s="208"/>
      <c r="R23" s="208"/>
      <c r="S23" s="208"/>
      <c r="AE23" s="208"/>
      <c r="AF23" s="209"/>
      <c r="AQ23" s="86"/>
      <c r="AR23" s="86"/>
      <c r="AS23" s="208"/>
      <c r="AT23" s="209"/>
      <c r="AU23" s="209"/>
    </row>
    <row r="24" spans="1:58" hidden="1" x14ac:dyDescent="0.3">
      <c r="A24" s="31">
        <v>5</v>
      </c>
      <c r="B24" s="31" t="s">
        <v>344</v>
      </c>
      <c r="C24" s="31" t="s">
        <v>345</v>
      </c>
      <c r="E24" s="31" t="s">
        <v>349</v>
      </c>
      <c r="F24" s="31" t="s">
        <v>350</v>
      </c>
      <c r="G24" s="31">
        <v>25</v>
      </c>
      <c r="H24" s="31">
        <f>273.15+G24</f>
        <v>298.14999999999998</v>
      </c>
      <c r="I24" s="208">
        <f>-LOG10(EXP(LN(10^-14)+13.36*(1/298.15-1/H24)/0.0019872))</f>
        <v>14</v>
      </c>
      <c r="J24" s="92">
        <v>25.814</v>
      </c>
      <c r="Q24" s="208"/>
      <c r="R24" s="208"/>
      <c r="S24" s="208"/>
      <c r="Z24" s="31">
        <v>7</v>
      </c>
      <c r="AB24" s="103">
        <f>1.83*10^-8</f>
        <v>1.8300000000000002E-8</v>
      </c>
      <c r="AC24" s="31" t="s">
        <v>611</v>
      </c>
      <c r="AD24" s="250">
        <f>AB24/60</f>
        <v>3.0500000000000003E-10</v>
      </c>
      <c r="AE24" s="219">
        <f>(LN(2)/AF24)/(60*60*24)</f>
        <v>26303.399383725926</v>
      </c>
      <c r="AF24" s="209">
        <f>EXP(LN(AD24)+$J24*(1/$H24-1/298.15)/0.0019872)</f>
        <v>3.0499999999999983E-10</v>
      </c>
      <c r="AG24" s="156">
        <v>26303.399383725926</v>
      </c>
      <c r="AQ24" s="86"/>
      <c r="AR24" s="86"/>
      <c r="AS24" s="208"/>
      <c r="AT24" s="209"/>
      <c r="AU24" s="209"/>
      <c r="BB24" s="185" t="s">
        <v>346</v>
      </c>
    </row>
    <row r="25" spans="1:58" s="13" customFormat="1" x14ac:dyDescent="0.3">
      <c r="A25" s="29"/>
      <c r="B25" s="241" t="s">
        <v>808</v>
      </c>
      <c r="C25" s="29"/>
      <c r="D25" s="29"/>
      <c r="E25" s="29"/>
      <c r="F25" s="29"/>
      <c r="G25" s="29"/>
      <c r="H25" s="29"/>
      <c r="I25" s="213"/>
      <c r="J25" s="245"/>
      <c r="K25" s="29"/>
      <c r="L25" s="29"/>
      <c r="M25" s="29"/>
      <c r="N25" s="29"/>
      <c r="O25" s="246"/>
      <c r="P25" s="246"/>
      <c r="Q25" s="213"/>
      <c r="R25" s="213"/>
      <c r="S25" s="213"/>
      <c r="T25" s="29"/>
      <c r="U25" s="29"/>
      <c r="V25" s="29"/>
      <c r="W25" s="29"/>
      <c r="X25" s="29"/>
      <c r="Y25" s="29"/>
      <c r="Z25" s="29"/>
      <c r="AA25" s="29"/>
      <c r="AB25" s="253"/>
      <c r="AC25" s="29"/>
      <c r="AD25" s="258"/>
      <c r="AE25" s="643"/>
      <c r="AF25" s="644"/>
      <c r="AG25" s="184"/>
      <c r="AH25" s="184"/>
      <c r="AI25" s="184"/>
      <c r="AJ25" s="184"/>
      <c r="AK25" s="184"/>
      <c r="AL25" s="184"/>
      <c r="AM25" s="29"/>
      <c r="AN25" s="29"/>
      <c r="AO25" s="253"/>
      <c r="AP25" s="29"/>
      <c r="AQ25" s="258"/>
      <c r="AR25" s="258"/>
      <c r="AS25" s="213"/>
      <c r="AT25" s="644"/>
      <c r="AU25" s="644"/>
      <c r="AV25" s="253"/>
      <c r="AW25" s="253"/>
      <c r="AX25" s="253"/>
      <c r="AY25" s="29"/>
      <c r="AZ25" s="29"/>
      <c r="BA25" s="29"/>
      <c r="BB25" s="29"/>
      <c r="BC25" s="29"/>
      <c r="BD25" s="29"/>
      <c r="BE25" s="29"/>
      <c r="BF25" s="29"/>
    </row>
    <row r="26" spans="1:58" x14ac:dyDescent="0.3">
      <c r="A26" s="31">
        <v>5</v>
      </c>
      <c r="B26" s="31" t="s">
        <v>344</v>
      </c>
      <c r="C26" s="31" t="s">
        <v>345</v>
      </c>
      <c r="E26" s="31" t="s">
        <v>349</v>
      </c>
      <c r="F26" s="31" t="s">
        <v>350</v>
      </c>
      <c r="G26" s="31">
        <v>25</v>
      </c>
      <c r="H26" s="31">
        <v>298.14999999999998</v>
      </c>
      <c r="I26" s="208">
        <v>14</v>
      </c>
      <c r="J26" s="92">
        <v>24.69</v>
      </c>
      <c r="Q26" s="208"/>
      <c r="R26" s="208"/>
      <c r="S26" s="208"/>
      <c r="Z26" s="31">
        <v>7</v>
      </c>
      <c r="AB26" s="103">
        <v>1.8300000000000002E-8</v>
      </c>
      <c r="AC26" s="31" t="s">
        <v>611</v>
      </c>
      <c r="AD26" s="250">
        <f>AB26/60</f>
        <v>3.0500000000000003E-10</v>
      </c>
      <c r="AE26" s="219">
        <f>(LN(2)/AF26)/(60*60*24)</f>
        <v>26303.399383725926</v>
      </c>
      <c r="AF26" s="209">
        <f>EXP(LN(AD26)+$J26*(1/$H26-1/298.15)/0.0019872)</f>
        <v>3.0499999999999983E-10</v>
      </c>
      <c r="AG26" s="170">
        <f>AE26</f>
        <v>26303.399383725926</v>
      </c>
      <c r="AN26" s="40"/>
      <c r="AO26" s="119"/>
      <c r="AP26" s="40"/>
      <c r="AQ26" s="86"/>
      <c r="AR26" s="86"/>
      <c r="AS26" s="208"/>
      <c r="AT26" s="209"/>
      <c r="AU26" s="209"/>
    </row>
    <row r="27" spans="1:58" x14ac:dyDescent="0.3">
      <c r="I27" s="208"/>
      <c r="Q27" s="208"/>
      <c r="R27" s="208"/>
      <c r="S27" s="208"/>
      <c r="AD27" s="250"/>
      <c r="AE27" s="219"/>
      <c r="AF27" s="209"/>
      <c r="AN27" s="40"/>
      <c r="AO27" s="119"/>
      <c r="AP27" s="40"/>
      <c r="AQ27" s="86"/>
      <c r="AR27" s="86"/>
      <c r="AS27" s="208"/>
      <c r="AT27" s="209"/>
      <c r="AU27" s="209"/>
    </row>
    <row r="28" spans="1:58" ht="15" thickBot="1" x14ac:dyDescent="0.35">
      <c r="I28" s="208"/>
      <c r="Q28" s="208"/>
      <c r="R28" s="208"/>
      <c r="S28" s="208"/>
      <c r="AD28" s="250"/>
      <c r="AE28" s="219"/>
      <c r="AF28" s="209"/>
      <c r="AN28" s="40"/>
      <c r="AO28" s="119"/>
      <c r="AP28" s="40"/>
      <c r="AQ28" s="86"/>
      <c r="AR28" s="86"/>
      <c r="AS28" s="208"/>
      <c r="AT28" s="209"/>
      <c r="AU28" s="209"/>
    </row>
    <row r="29" spans="1:58" s="8" customFormat="1" x14ac:dyDescent="0.3">
      <c r="A29" s="37">
        <v>6</v>
      </c>
      <c r="B29" s="37" t="s">
        <v>347</v>
      </c>
      <c r="C29" s="37" t="s">
        <v>348</v>
      </c>
      <c r="D29" s="38"/>
      <c r="E29" s="37" t="s">
        <v>349</v>
      </c>
      <c r="F29" s="37" t="s">
        <v>350</v>
      </c>
      <c r="G29" s="37">
        <v>25</v>
      </c>
      <c r="H29" s="37">
        <f>273.15+G29</f>
        <v>298.14999999999998</v>
      </c>
      <c r="I29" s="214">
        <f>-LOG10(EXP(LN(10^-14)+13.36*(1/298.15-1/H29)/0.0019872))</f>
        <v>14</v>
      </c>
      <c r="J29" s="96">
        <v>24.69</v>
      </c>
      <c r="K29" s="37"/>
      <c r="L29" s="37"/>
      <c r="M29" s="37"/>
      <c r="N29" s="37"/>
      <c r="O29" s="248"/>
      <c r="P29" s="248"/>
      <c r="Q29" s="214"/>
      <c r="R29" s="214"/>
      <c r="S29" s="214"/>
      <c r="T29" s="254"/>
      <c r="U29" s="254"/>
      <c r="V29" s="254"/>
      <c r="W29" s="39"/>
      <c r="X29" s="39"/>
      <c r="Y29" s="39"/>
      <c r="Z29" s="37">
        <v>7</v>
      </c>
      <c r="AA29" s="37"/>
      <c r="AB29" s="122">
        <f>2.15*10^-8</f>
        <v>2.1500000000000001E-8</v>
      </c>
      <c r="AC29" s="37" t="s">
        <v>611</v>
      </c>
      <c r="AD29" s="249">
        <f>AB29/60</f>
        <v>3.5833333333333334E-10</v>
      </c>
      <c r="AE29" s="218">
        <f>(LN(2)/AF29)/(60*60*24)</f>
        <v>22388.474824287608</v>
      </c>
      <c r="AF29" s="215">
        <f>EXP(LN(AD29)+$J29*(1/$H29-1/298.15)/0.0019872)</f>
        <v>3.583333333333338E-10</v>
      </c>
      <c r="AG29" s="158">
        <f>AE29</f>
        <v>22388.474824287608</v>
      </c>
      <c r="AH29" s="158"/>
      <c r="AI29" s="158"/>
      <c r="AJ29" s="159"/>
      <c r="AK29" s="159"/>
      <c r="AL29" s="159"/>
      <c r="AM29" s="37"/>
      <c r="AN29" s="259"/>
      <c r="AO29" s="259"/>
      <c r="AP29" s="39"/>
      <c r="AQ29" s="260"/>
      <c r="AR29" s="260"/>
      <c r="AS29" s="214"/>
      <c r="AT29" s="214"/>
      <c r="AU29" s="214"/>
      <c r="AV29" s="254"/>
      <c r="AW29" s="254"/>
      <c r="AX29" s="254"/>
      <c r="AY29" s="37"/>
      <c r="AZ29" s="37"/>
      <c r="BA29" s="37"/>
      <c r="BB29" s="186"/>
      <c r="BC29" s="186"/>
      <c r="BD29" s="186"/>
      <c r="BE29" s="37"/>
      <c r="BF29" s="37"/>
    </row>
    <row r="30" spans="1:58" x14ac:dyDescent="0.3">
      <c r="I30" s="208"/>
      <c r="Q30" s="208"/>
      <c r="R30" s="208"/>
      <c r="S30" s="208"/>
      <c r="AD30" s="250"/>
      <c r="AE30" s="208"/>
      <c r="AF30" s="209"/>
      <c r="AN30" s="261"/>
      <c r="AO30" s="261"/>
      <c r="AP30" s="40"/>
      <c r="AQ30" s="262"/>
      <c r="AR30" s="262"/>
      <c r="AS30" s="208"/>
      <c r="AT30" s="208"/>
      <c r="AU30" s="208"/>
      <c r="AV30" s="117"/>
      <c r="AW30" s="117"/>
      <c r="AX30" s="117"/>
    </row>
    <row r="31" spans="1:58" x14ac:dyDescent="0.3">
      <c r="I31" s="208"/>
      <c r="Q31" s="208"/>
      <c r="R31" s="208"/>
      <c r="S31" s="208"/>
      <c r="AD31" s="250"/>
      <c r="AE31" s="219"/>
      <c r="AF31" s="209"/>
      <c r="AQ31" s="86"/>
      <c r="AR31" s="86"/>
      <c r="AS31" s="208"/>
      <c r="AT31" s="209"/>
      <c r="AU31" s="209"/>
    </row>
    <row r="32" spans="1:58" ht="15" thickBot="1" x14ac:dyDescent="0.35">
      <c r="I32" s="208"/>
      <c r="Q32" s="208"/>
      <c r="R32" s="208"/>
      <c r="S32" s="208"/>
      <c r="AD32" s="250"/>
      <c r="AE32" s="208"/>
      <c r="AF32" s="209"/>
      <c r="AS32" s="208"/>
      <c r="AT32" s="209"/>
      <c r="AU32" s="209"/>
    </row>
    <row r="33" spans="1:58" s="8" customFormat="1" x14ac:dyDescent="0.3">
      <c r="A33" s="37">
        <v>7</v>
      </c>
      <c r="B33" s="37" t="s">
        <v>367</v>
      </c>
      <c r="C33" s="37" t="s">
        <v>368</v>
      </c>
      <c r="D33" s="38"/>
      <c r="E33" s="37" t="s">
        <v>349</v>
      </c>
      <c r="F33" s="37" t="s">
        <v>350</v>
      </c>
      <c r="G33" s="37">
        <v>25</v>
      </c>
      <c r="H33" s="37">
        <f>273.15+G33</f>
        <v>298.14999999999998</v>
      </c>
      <c r="I33" s="214">
        <f>-LOG10(EXP(LN(10^-14)+13.36*(1/298.15-1/H33)/0.0019872))</f>
        <v>14</v>
      </c>
      <c r="J33" s="812">
        <v>24.69</v>
      </c>
      <c r="K33" s="37"/>
      <c r="L33" s="37"/>
      <c r="M33" s="37"/>
      <c r="N33" s="37"/>
      <c r="O33" s="248"/>
      <c r="P33" s="248"/>
      <c r="Q33" s="214"/>
      <c r="R33" s="214"/>
      <c r="S33" s="214"/>
      <c r="T33" s="254"/>
      <c r="U33" s="254"/>
      <c r="V33" s="254"/>
      <c r="W33" s="39"/>
      <c r="X33" s="39"/>
      <c r="Y33" s="39"/>
      <c r="Z33" s="37">
        <v>7</v>
      </c>
      <c r="AA33" s="37"/>
      <c r="AB33" s="122">
        <f>1.31*10^-4</f>
        <v>1.3100000000000001E-4</v>
      </c>
      <c r="AC33" s="37" t="s">
        <v>611</v>
      </c>
      <c r="AD33" s="249">
        <f>AB33/60</f>
        <v>2.1833333333333337E-6</v>
      </c>
      <c r="AE33" s="645">
        <f>(LN(2)/AF33)/(60*60*24)</f>
        <v>3.6744443413907213</v>
      </c>
      <c r="AF33" s="215">
        <f>EXP(LN(AD33)+$J33*(1/$H33-1/298.15)/0.0019872)</f>
        <v>2.1833333333333321E-6</v>
      </c>
      <c r="AG33" s="158">
        <f>AE33</f>
        <v>3.6744443413907213</v>
      </c>
      <c r="AH33" s="158"/>
      <c r="AI33" s="158"/>
      <c r="AJ33" s="159"/>
      <c r="AK33" s="159"/>
      <c r="AL33" s="159"/>
      <c r="AM33" s="37"/>
      <c r="AN33" s="37"/>
      <c r="AO33" s="122"/>
      <c r="AP33" s="37"/>
      <c r="AQ33" s="249"/>
      <c r="AR33" s="249"/>
      <c r="AS33" s="214"/>
      <c r="AT33" s="215"/>
      <c r="AU33" s="215"/>
      <c r="AV33" s="120"/>
      <c r="AW33" s="120"/>
      <c r="AX33" s="120"/>
      <c r="AY33" s="37"/>
      <c r="AZ33" s="37"/>
      <c r="BA33" s="37"/>
      <c r="BB33" s="186" t="s">
        <v>369</v>
      </c>
      <c r="BC33" s="186"/>
      <c r="BD33" s="186"/>
      <c r="BE33" s="37"/>
      <c r="BF33" s="37"/>
    </row>
    <row r="34" spans="1:58" x14ac:dyDescent="0.3">
      <c r="I34" s="208"/>
      <c r="Q34" s="208"/>
      <c r="R34" s="208"/>
      <c r="S34" s="208"/>
      <c r="AD34" s="250"/>
      <c r="AE34" s="219"/>
      <c r="AF34" s="209"/>
      <c r="AS34" s="208"/>
      <c r="AT34" s="209"/>
      <c r="AU34" s="209"/>
    </row>
    <row r="35" spans="1:58" ht="15" thickBot="1" x14ac:dyDescent="0.35">
      <c r="I35" s="208"/>
      <c r="Q35" s="208"/>
      <c r="R35" s="208"/>
      <c r="S35" s="208"/>
      <c r="AD35" s="250"/>
      <c r="AE35" s="208"/>
      <c r="AF35" s="209"/>
      <c r="AS35" s="208"/>
      <c r="AT35" s="209"/>
      <c r="AU35" s="209"/>
    </row>
    <row r="36" spans="1:58" s="8" customFormat="1" x14ac:dyDescent="0.3">
      <c r="A36" s="37">
        <v>8</v>
      </c>
      <c r="B36" s="37" t="s">
        <v>359</v>
      </c>
      <c r="C36" s="37" t="s">
        <v>360</v>
      </c>
      <c r="D36" s="38"/>
      <c r="E36" s="37" t="s">
        <v>366</v>
      </c>
      <c r="F36" s="37"/>
      <c r="G36" s="37">
        <v>27</v>
      </c>
      <c r="H36" s="37">
        <f>273.15+G36</f>
        <v>300.14999999999998</v>
      </c>
      <c r="I36" s="214">
        <f>-LOG10(EXP(LN(10^-14)+13.36*(1/298.15-1/H36)/0.0019872))</f>
        <v>13.934746167287882</v>
      </c>
      <c r="J36" s="96">
        <v>24.69</v>
      </c>
      <c r="K36" s="37"/>
      <c r="L36" s="37"/>
      <c r="M36" s="37"/>
      <c r="N36" s="37"/>
      <c r="O36" s="248"/>
      <c r="P36" s="248"/>
      <c r="Q36" s="214"/>
      <c r="R36" s="214"/>
      <c r="S36" s="214"/>
      <c r="T36" s="254"/>
      <c r="U36" s="254"/>
      <c r="V36" s="254"/>
      <c r="W36" s="39"/>
      <c r="X36" s="39"/>
      <c r="Y36" s="39"/>
      <c r="Z36" s="37">
        <v>7</v>
      </c>
      <c r="AA36" s="37"/>
      <c r="AB36" s="122">
        <f>2.2*10^-8</f>
        <v>2.2000000000000002E-8</v>
      </c>
      <c r="AC36" s="37" t="s">
        <v>600</v>
      </c>
      <c r="AD36" s="249">
        <f>AB36</f>
        <v>2.2000000000000002E-8</v>
      </c>
      <c r="AE36" s="218">
        <f>(LN(2)/AF36)/(60*60*24)</f>
        <v>481.37290028162619</v>
      </c>
      <c r="AF36" s="215">
        <f>EXP(LN(AD36)+$J36*(1/$H36-1/298.15)/0.0019872)</f>
        <v>1.6665950258817719E-8</v>
      </c>
      <c r="AG36" s="158">
        <f>AE36</f>
        <v>481.37290028162619</v>
      </c>
      <c r="AH36" s="158"/>
      <c r="AI36" s="158"/>
      <c r="AJ36" s="159"/>
      <c r="AK36" s="159"/>
      <c r="AL36" s="159"/>
      <c r="AM36" s="37"/>
      <c r="AN36" s="37"/>
      <c r="AO36" s="122"/>
      <c r="AP36" s="37"/>
      <c r="AQ36" s="249"/>
      <c r="AR36" s="249"/>
      <c r="AS36" s="214"/>
      <c r="AT36" s="215"/>
      <c r="AU36" s="215"/>
      <c r="AV36" s="120"/>
      <c r="AW36" s="120"/>
      <c r="AX36" s="120"/>
      <c r="AY36" s="37"/>
      <c r="AZ36" s="37"/>
      <c r="BA36" s="37"/>
      <c r="BB36" s="186" t="s">
        <v>358</v>
      </c>
      <c r="BC36" s="186" t="s">
        <v>357</v>
      </c>
      <c r="BD36" s="186"/>
      <c r="BE36" s="37"/>
      <c r="BF36" s="37"/>
    </row>
    <row r="37" spans="1:58" x14ac:dyDescent="0.3">
      <c r="G37" s="31">
        <v>27</v>
      </c>
      <c r="H37" s="31">
        <f>273.15+G37</f>
        <v>300.14999999999998</v>
      </c>
      <c r="I37" s="208">
        <f>-LOG10(EXP(LN(10^-14)+13.36*(1/298.15-1/H37)/0.0019872))</f>
        <v>13.934746167287882</v>
      </c>
      <c r="J37" s="92">
        <v>24.69</v>
      </c>
      <c r="Q37" s="208"/>
      <c r="R37" s="208"/>
      <c r="S37" s="208"/>
      <c r="AD37" s="250"/>
      <c r="AE37" s="219"/>
      <c r="AF37" s="209"/>
      <c r="AM37" s="31">
        <v>13</v>
      </c>
      <c r="AO37" s="103">
        <f>3.8*10^-5</f>
        <v>3.8000000000000002E-5</v>
      </c>
      <c r="AP37" s="31" t="s">
        <v>600</v>
      </c>
      <c r="AQ37" s="250">
        <f>AO37*10^(9-AM37)</f>
        <v>3.8000000000000001E-9</v>
      </c>
      <c r="AR37" s="250">
        <f>AQ37*10^($I37-9)</f>
        <v>3.26986455731074E-4</v>
      </c>
      <c r="AS37" s="219">
        <f>(LN(2)/AT37)/(60*60*24)</f>
        <v>3238.7285835794905</v>
      </c>
      <c r="AT37" s="209">
        <f>AU37*10^(9-14)</f>
        <v>2.4770636393278064E-9</v>
      </c>
      <c r="AU37" s="209">
        <f>EXP(LN(AR37)+$J37*(1/$H37-1/298.15)/0.0019872)</f>
        <v>2.477063639327806E-4</v>
      </c>
      <c r="AV37" s="118">
        <f>AS37</f>
        <v>3238.7285835794905</v>
      </c>
    </row>
    <row r="38" spans="1:58" ht="15" thickBot="1" x14ac:dyDescent="0.35">
      <c r="I38" s="208"/>
      <c r="Q38" s="208"/>
      <c r="R38" s="209"/>
      <c r="S38" s="209"/>
      <c r="T38" s="118"/>
      <c r="U38" s="118"/>
      <c r="V38" s="118"/>
      <c r="W38" s="119"/>
      <c r="X38" s="119"/>
      <c r="Y38" s="119"/>
      <c r="AD38" s="250"/>
      <c r="AE38" s="219"/>
      <c r="AF38" s="209"/>
      <c r="AS38" s="208"/>
      <c r="AT38" s="209"/>
      <c r="AU38" s="209"/>
    </row>
    <row r="39" spans="1:58" s="8" customFormat="1" x14ac:dyDescent="0.3">
      <c r="A39" s="37">
        <v>9</v>
      </c>
      <c r="B39" s="37" t="s">
        <v>361</v>
      </c>
      <c r="C39" s="37" t="s">
        <v>362</v>
      </c>
      <c r="D39" s="38"/>
      <c r="E39" s="37" t="s">
        <v>366</v>
      </c>
      <c r="F39" s="37" t="s">
        <v>365</v>
      </c>
      <c r="G39" s="37">
        <v>27</v>
      </c>
      <c r="H39" s="37">
        <f>273.15+G39</f>
        <v>300.14999999999998</v>
      </c>
      <c r="I39" s="214">
        <f>-LOG10(EXP(LN(10^-14)+13.36*(1/298.15-1/H39)/0.0019872))</f>
        <v>13.934746167287882</v>
      </c>
      <c r="J39" s="96">
        <v>24.69</v>
      </c>
      <c r="K39" s="37">
        <v>3.9</v>
      </c>
      <c r="L39" s="37"/>
      <c r="M39" s="122">
        <v>1.9000000000000001E-9</v>
      </c>
      <c r="N39" s="37" t="s">
        <v>600</v>
      </c>
      <c r="O39" s="249">
        <f>M39*10^(K39-5)</f>
        <v>1.5092236459761339E-10</v>
      </c>
      <c r="P39" s="249">
        <f>O39*10^5</f>
        <v>1.5092236459761338E-5</v>
      </c>
      <c r="Q39" s="218">
        <f>(LN(2)/R39)/(60*60*24)</f>
        <v>70169.877303679968</v>
      </c>
      <c r="R39" s="215">
        <f>S39*10^-5</f>
        <v>1.1433021006031704E-10</v>
      </c>
      <c r="S39" s="215">
        <f>EXP(LN(P39)+$J39*(1/$H39-1/298.15)/0.0019872)</f>
        <v>1.1433021006031703E-5</v>
      </c>
      <c r="T39" s="120">
        <f>AVERAGE(Q39:Q40)</f>
        <v>51300.14568213348</v>
      </c>
      <c r="U39" s="120">
        <f>MEDIAN(Q39:Q40)</f>
        <v>51300.14568213348</v>
      </c>
      <c r="V39" s="120">
        <f>STDEV(Q39:Q40)</f>
        <v>26685.830377531503</v>
      </c>
      <c r="W39" s="121"/>
      <c r="X39" s="121"/>
      <c r="Y39" s="121"/>
      <c r="Z39" s="37"/>
      <c r="AA39" s="37"/>
      <c r="AB39" s="122"/>
      <c r="AC39" s="37"/>
      <c r="AD39" s="249"/>
      <c r="AE39" s="218"/>
      <c r="AF39" s="215"/>
      <c r="AG39" s="158"/>
      <c r="AH39" s="158"/>
      <c r="AI39" s="158"/>
      <c r="AJ39" s="159"/>
      <c r="AK39" s="159"/>
      <c r="AL39" s="159"/>
      <c r="AM39" s="37">
        <v>12.1</v>
      </c>
      <c r="AN39" s="37"/>
      <c r="AO39" s="122">
        <f>9.9*10^-3</f>
        <v>9.9000000000000008E-3</v>
      </c>
      <c r="AP39" s="37" t="s">
        <v>625</v>
      </c>
      <c r="AQ39" s="249">
        <f>AR39*10^(9-$I39)</f>
        <v>1.1505063693200832E-7</v>
      </c>
      <c r="AR39" s="249">
        <f>AO39</f>
        <v>9.9000000000000008E-3</v>
      </c>
      <c r="AS39" s="218">
        <f>(LN(2)/AT39)/(60*60*24)</f>
        <v>106.97175561813927</v>
      </c>
      <c r="AT39" s="215">
        <f>AU39*10^(9-14)</f>
        <v>7.4996776164679657E-8</v>
      </c>
      <c r="AU39" s="215">
        <f>EXP(LN(AR39)+$J39*(1/$H39-1/298.15)/0.0019872)</f>
        <v>7.4996776164679649E-3</v>
      </c>
      <c r="AV39" s="120">
        <f>AS39</f>
        <v>106.97175561813927</v>
      </c>
      <c r="AW39" s="120"/>
      <c r="AX39" s="120"/>
      <c r="AY39" s="37"/>
      <c r="AZ39" s="37"/>
      <c r="BA39" s="37"/>
      <c r="BB39" s="186" t="s">
        <v>363</v>
      </c>
      <c r="BC39" s="186" t="s">
        <v>364</v>
      </c>
      <c r="BD39" s="186"/>
      <c r="BE39" s="37"/>
      <c r="BF39" s="37"/>
    </row>
    <row r="40" spans="1:58" x14ac:dyDescent="0.3">
      <c r="G40" s="31">
        <v>95</v>
      </c>
      <c r="H40" s="31">
        <f>273.15+G40</f>
        <v>368.15</v>
      </c>
      <c r="I40" s="208">
        <f>-LOG10(EXP(LN(10^-14)+13.36*(1/298.15-1/H40)/0.0019872))</f>
        <v>12.137965975556227</v>
      </c>
      <c r="J40" s="92">
        <v>24.69</v>
      </c>
      <c r="K40" s="31">
        <v>3.9</v>
      </c>
      <c r="M40" s="103">
        <v>8.6000000000000007E-6</v>
      </c>
      <c r="N40" s="31" t="s">
        <v>600</v>
      </c>
      <c r="O40" s="250">
        <f>M40*10^(K40-5)</f>
        <v>6.8312228186288168E-7</v>
      </c>
      <c r="P40" s="250">
        <f>O40*10^5</f>
        <v>6.8312228186288168E-2</v>
      </c>
      <c r="Q40" s="219">
        <f>(LN(2)/R40)/(60*60*24)</f>
        <v>32430.414060586991</v>
      </c>
      <c r="R40" s="209">
        <f>S40*10^-5</f>
        <v>2.4737694674661199E-10</v>
      </c>
      <c r="S40" s="209">
        <f>EXP(LN(P40)+$J40*(1/$H40-1/298.15)/0.0019872)</f>
        <v>2.4737694674661199E-5</v>
      </c>
      <c r="T40" s="118"/>
      <c r="U40" s="118"/>
      <c r="V40" s="118"/>
      <c r="W40" s="119"/>
      <c r="X40" s="119"/>
      <c r="Y40" s="119"/>
      <c r="AD40" s="250"/>
      <c r="AE40" s="219"/>
      <c r="AF40" s="209"/>
      <c r="AS40" s="219"/>
      <c r="AT40" s="209"/>
      <c r="AU40" s="209"/>
    </row>
    <row r="41" spans="1:58" ht="15" thickBot="1" x14ac:dyDescent="0.35">
      <c r="I41" s="208"/>
      <c r="O41" s="250"/>
      <c r="P41" s="250"/>
      <c r="Q41" s="208"/>
      <c r="R41" s="209"/>
      <c r="S41" s="209"/>
      <c r="T41" s="118"/>
      <c r="U41" s="118"/>
      <c r="V41" s="118"/>
      <c r="W41" s="119"/>
      <c r="X41" s="119"/>
      <c r="Y41" s="119"/>
      <c r="AE41" s="208"/>
      <c r="AF41" s="209"/>
      <c r="AS41" s="208"/>
      <c r="AT41" s="209"/>
      <c r="AU41" s="209"/>
    </row>
    <row r="42" spans="1:58" s="8" customFormat="1" x14ac:dyDescent="0.3">
      <c r="A42" s="37">
        <v>10</v>
      </c>
      <c r="B42" s="37" t="s">
        <v>457</v>
      </c>
      <c r="C42" s="37" t="s">
        <v>458</v>
      </c>
      <c r="D42" s="38"/>
      <c r="E42" s="37" t="s">
        <v>459</v>
      </c>
      <c r="F42" s="37"/>
      <c r="G42" s="37">
        <v>95</v>
      </c>
      <c r="H42" s="37">
        <f t="shared" ref="H42:H48" si="5">273.15+G42</f>
        <v>368.15</v>
      </c>
      <c r="I42" s="214">
        <f t="shared" ref="I42:I48" si="6">-LOG10(EXP(LN(10^-14)+13.36*(1/298.15-1/H42)/0.0019872))</f>
        <v>12.137965975556227</v>
      </c>
      <c r="J42" s="88">
        <v>21.77</v>
      </c>
      <c r="K42" s="37"/>
      <c r="L42" s="37"/>
      <c r="M42" s="122"/>
      <c r="N42" s="122"/>
      <c r="O42" s="249"/>
      <c r="P42" s="249"/>
      <c r="Q42" s="218"/>
      <c r="R42" s="215"/>
      <c r="S42" s="215"/>
      <c r="T42" s="120"/>
      <c r="U42" s="120"/>
      <c r="V42" s="120"/>
      <c r="W42" s="121"/>
      <c r="X42" s="121"/>
      <c r="Y42" s="121"/>
      <c r="Z42" s="37"/>
      <c r="AA42" s="37"/>
      <c r="AB42" s="122"/>
      <c r="AC42" s="37"/>
      <c r="AD42" s="248"/>
      <c r="AE42" s="214"/>
      <c r="AF42" s="215"/>
      <c r="AG42" s="158"/>
      <c r="AH42" s="158"/>
      <c r="AI42" s="158"/>
      <c r="AJ42" s="159"/>
      <c r="AK42" s="159"/>
      <c r="AL42" s="159"/>
      <c r="AM42" s="37">
        <v>5</v>
      </c>
      <c r="AN42" s="37"/>
      <c r="AO42" s="122">
        <f>0.153</f>
        <v>0.153</v>
      </c>
      <c r="AP42" s="122" t="s">
        <v>1257</v>
      </c>
      <c r="AQ42" s="249">
        <f>AO42*10^(9-AM42)/3600</f>
        <v>0.42499999999999999</v>
      </c>
      <c r="AR42" s="249">
        <f t="shared" ref="AR42:AR48" si="7">AQ42*10^($I42-9)</f>
        <v>583.92209069262708</v>
      </c>
      <c r="AS42" s="642">
        <f t="shared" ref="AS42:AS48" si="8">(LN(2)/AT42)/(60*60*24)</f>
        <v>1.4863617851331981</v>
      </c>
      <c r="AT42" s="215">
        <f t="shared" ref="AT42:AT48" si="9">AU42*10^(9-14)</f>
        <v>5.3974321005013437E-6</v>
      </c>
      <c r="AU42" s="215">
        <f t="shared" ref="AU42:AU48" si="10">EXP(LN(AR42)+$J42*(1/$H42-1/298.15)/0.0019872)</f>
        <v>0.53974321005013437</v>
      </c>
      <c r="AV42" s="120">
        <f>AVERAGE(AS42:AS48)</f>
        <v>1.2803276787424629</v>
      </c>
      <c r="AW42" s="120">
        <f>MEDIAN(AS42:AS48)</f>
        <v>1.3176970206010445</v>
      </c>
      <c r="AX42" s="120">
        <f>STDEV(AS42:AS48)</f>
        <v>0.28123419831325008</v>
      </c>
      <c r="AY42" s="37"/>
      <c r="AZ42" s="37"/>
      <c r="BA42" s="37"/>
      <c r="BB42" s="186" t="s">
        <v>340</v>
      </c>
      <c r="BC42" s="186" t="s">
        <v>341</v>
      </c>
      <c r="BD42" s="186"/>
      <c r="BE42" s="37"/>
      <c r="BF42" s="37"/>
    </row>
    <row r="43" spans="1:58" x14ac:dyDescent="0.3">
      <c r="G43" s="31">
        <v>80</v>
      </c>
      <c r="H43" s="31">
        <f t="shared" si="5"/>
        <v>353.15</v>
      </c>
      <c r="I43" s="208">
        <f t="shared" si="6"/>
        <v>12.474831397607506</v>
      </c>
      <c r="J43" s="91">
        <v>21.77</v>
      </c>
      <c r="O43" s="250"/>
      <c r="P43" s="250"/>
      <c r="Q43" s="219"/>
      <c r="R43" s="209"/>
      <c r="S43" s="209"/>
      <c r="T43" s="118"/>
      <c r="U43" s="118"/>
      <c r="V43" s="118"/>
      <c r="W43" s="119"/>
      <c r="X43" s="119"/>
      <c r="Y43" s="119"/>
      <c r="AE43" s="208"/>
      <c r="AF43" s="209"/>
      <c r="AM43" s="31">
        <v>5</v>
      </c>
      <c r="AO43" s="31">
        <f>0.0212</f>
        <v>2.12E-2</v>
      </c>
      <c r="AP43" s="147" t="s">
        <v>1257</v>
      </c>
      <c r="AQ43" s="531">
        <f t="shared" ref="AQ43:AQ48" si="11">AO43*10^(9-AM43)/3600</f>
        <v>5.8888888888888886E-2</v>
      </c>
      <c r="AR43" s="250">
        <f t="shared" si="7"/>
        <v>175.73762699156512</v>
      </c>
      <c r="AS43" s="220">
        <f t="shared" si="8"/>
        <v>1.395389656126202</v>
      </c>
      <c r="AT43" s="209">
        <f t="shared" si="9"/>
        <v>5.7493165273333715E-6</v>
      </c>
      <c r="AU43" s="209">
        <f t="shared" si="10"/>
        <v>0.57493165273333713</v>
      </c>
    </row>
    <row r="44" spans="1:58" x14ac:dyDescent="0.3">
      <c r="G44" s="31">
        <v>70</v>
      </c>
      <c r="H44" s="31">
        <f t="shared" si="5"/>
        <v>343.15</v>
      </c>
      <c r="I44" s="208">
        <f t="shared" si="6"/>
        <v>12.715769772716893</v>
      </c>
      <c r="J44" s="91">
        <v>21.77</v>
      </c>
      <c r="O44" s="250"/>
      <c r="P44" s="250"/>
      <c r="Q44" s="219"/>
      <c r="R44" s="209"/>
      <c r="S44" s="209"/>
      <c r="T44" s="118"/>
      <c r="U44" s="118"/>
      <c r="V44" s="118"/>
      <c r="W44" s="119"/>
      <c r="X44" s="119"/>
      <c r="Y44" s="119"/>
      <c r="AE44" s="208"/>
      <c r="AF44" s="209"/>
      <c r="AM44" s="31">
        <v>5</v>
      </c>
      <c r="AO44" s="31">
        <f>0.00522</f>
        <v>5.2199999999999998E-3</v>
      </c>
      <c r="AP44" s="147" t="s">
        <v>1257</v>
      </c>
      <c r="AQ44" s="531">
        <f t="shared" si="11"/>
        <v>1.4499999999999999E-2</v>
      </c>
      <c r="AR44" s="250">
        <f t="shared" si="7"/>
        <v>75.359459507363468</v>
      </c>
      <c r="AS44" s="220">
        <f t="shared" si="8"/>
        <v>1.3176970206010445</v>
      </c>
      <c r="AT44" s="209">
        <f t="shared" si="9"/>
        <v>6.08830154930233E-6</v>
      </c>
      <c r="AU44" s="209">
        <f t="shared" si="10"/>
        <v>0.60883015493023296</v>
      </c>
    </row>
    <row r="45" spans="1:58" x14ac:dyDescent="0.3">
      <c r="G45" s="31">
        <v>60</v>
      </c>
      <c r="H45" s="31">
        <f t="shared" si="5"/>
        <v>333.15</v>
      </c>
      <c r="I45" s="208">
        <f t="shared" si="6"/>
        <v>12.971172405674658</v>
      </c>
      <c r="J45" s="91">
        <v>21.77</v>
      </c>
      <c r="O45" s="250"/>
      <c r="P45" s="250"/>
      <c r="Q45" s="219"/>
      <c r="R45" s="209"/>
      <c r="S45" s="209"/>
      <c r="T45" s="118"/>
      <c r="U45" s="118"/>
      <c r="V45" s="118"/>
      <c r="W45" s="119"/>
      <c r="X45" s="119"/>
      <c r="Y45" s="119"/>
      <c r="AE45" s="208"/>
      <c r="AF45" s="209"/>
      <c r="AM45" s="31">
        <v>6.85</v>
      </c>
      <c r="AO45" s="31">
        <f>0.0828</f>
        <v>8.2799999999999999E-2</v>
      </c>
      <c r="AP45" s="147" t="s">
        <v>1257</v>
      </c>
      <c r="AQ45" s="531">
        <f t="shared" si="11"/>
        <v>3.2488363526323397E-3</v>
      </c>
      <c r="AR45" s="250">
        <f t="shared" si="7"/>
        <v>30.401866085444272</v>
      </c>
      <c r="AS45" s="220">
        <f t="shared" si="8"/>
        <v>1.2527857386537826</v>
      </c>
      <c r="AT45" s="209">
        <f t="shared" si="9"/>
        <v>6.4037580924709872E-6</v>
      </c>
      <c r="AU45" s="209">
        <f t="shared" si="10"/>
        <v>0.64037580924709869</v>
      </c>
    </row>
    <row r="46" spans="1:58" x14ac:dyDescent="0.3">
      <c r="G46" s="31">
        <v>50</v>
      </c>
      <c r="H46" s="31">
        <f t="shared" si="5"/>
        <v>323.14999999999998</v>
      </c>
      <c r="I46" s="208">
        <f t="shared" si="6"/>
        <v>13.242382102408241</v>
      </c>
      <c r="J46" s="91">
        <v>21.77</v>
      </c>
      <c r="O46" s="250"/>
      <c r="P46" s="250"/>
      <c r="Q46" s="219"/>
      <c r="R46" s="209"/>
      <c r="S46" s="209"/>
      <c r="T46" s="118"/>
      <c r="U46" s="118"/>
      <c r="V46" s="118"/>
      <c r="W46" s="119"/>
      <c r="X46" s="119"/>
      <c r="Y46" s="119"/>
      <c r="AE46" s="208"/>
      <c r="AF46" s="209"/>
      <c r="AM46" s="31">
        <v>6.85</v>
      </c>
      <c r="AO46" s="31">
        <f>0.0123</f>
        <v>1.23E-2</v>
      </c>
      <c r="AP46" s="147" t="s">
        <v>1257</v>
      </c>
      <c r="AQ46" s="531">
        <f>AO46*10^(9-AM46)/3600</f>
        <v>4.8261699441277511E-4</v>
      </c>
      <c r="AR46" s="250">
        <f>AQ46*10^($I46-9)</f>
        <v>8.4330507338116174</v>
      </c>
      <c r="AS46" s="220">
        <f t="shared" si="8"/>
        <v>1.6325202035122466</v>
      </c>
      <c r="AT46" s="209">
        <f t="shared" si="9"/>
        <v>4.9142036924115908E-6</v>
      </c>
      <c r="AU46" s="209">
        <f t="shared" si="10"/>
        <v>0.49142036924115906</v>
      </c>
    </row>
    <row r="47" spans="1:58" x14ac:dyDescent="0.3">
      <c r="G47" s="31">
        <v>40</v>
      </c>
      <c r="H47" s="31">
        <f t="shared" si="5"/>
        <v>313.14999999999998</v>
      </c>
      <c r="I47" s="208">
        <f t="shared" si="6"/>
        <v>13.530913191237214</v>
      </c>
      <c r="J47" s="91">
        <v>21.77</v>
      </c>
      <c r="Q47" s="208"/>
      <c r="R47" s="208"/>
      <c r="S47" s="208"/>
      <c r="AE47" s="208"/>
      <c r="AF47" s="209"/>
      <c r="AM47" s="31">
        <v>8.82</v>
      </c>
      <c r="AO47" s="175">
        <f>0.294</f>
        <v>0.29399999999999998</v>
      </c>
      <c r="AP47" s="147" t="s">
        <v>1257</v>
      </c>
      <c r="AQ47" s="531">
        <f t="shared" si="11"/>
        <v>1.2360750195562358E-4</v>
      </c>
      <c r="AR47" s="250">
        <f t="shared" si="7"/>
        <v>4.1971841184235252</v>
      </c>
      <c r="AS47" s="220">
        <f t="shared" si="8"/>
        <v>1.1110316713060318</v>
      </c>
      <c r="AT47" s="209">
        <f t="shared" si="9"/>
        <v>7.2207993878390615E-6</v>
      </c>
      <c r="AU47" s="209">
        <f t="shared" si="10"/>
        <v>0.72207993878390608</v>
      </c>
    </row>
    <row r="48" spans="1:58" x14ac:dyDescent="0.3">
      <c r="G48" s="31">
        <v>30</v>
      </c>
      <c r="H48" s="31">
        <f t="shared" si="5"/>
        <v>303.14999999999998</v>
      </c>
      <c r="I48" s="208">
        <f t="shared" si="6"/>
        <v>13.838479812893434</v>
      </c>
      <c r="J48" s="91">
        <v>21.77</v>
      </c>
      <c r="Q48" s="208"/>
      <c r="R48" s="208"/>
      <c r="S48" s="208"/>
      <c r="AE48" s="208"/>
      <c r="AF48" s="209"/>
      <c r="AM48" s="31">
        <v>8.8800000000000008</v>
      </c>
      <c r="AO48" s="175">
        <f>0.076</f>
        <v>7.5999999999999998E-2</v>
      </c>
      <c r="AP48" s="147" t="s">
        <v>1257</v>
      </c>
      <c r="AQ48" s="531">
        <f t="shared" si="11"/>
        <v>2.782986448063521E-5</v>
      </c>
      <c r="AR48" s="250">
        <f t="shared" si="7"/>
        <v>1.9186285576883055</v>
      </c>
      <c r="AS48" s="220">
        <f t="shared" si="8"/>
        <v>0.76650767586473467</v>
      </c>
      <c r="AT48" s="209">
        <f t="shared" si="9"/>
        <v>1.0466348954673924E-5</v>
      </c>
      <c r="AU48" s="209">
        <f t="shared" si="10"/>
        <v>1.0466348954673923</v>
      </c>
    </row>
    <row r="49" spans="1:58" ht="15" thickBot="1" x14ac:dyDescent="0.35">
      <c r="I49" s="208"/>
      <c r="J49" s="91"/>
      <c r="Q49" s="208"/>
      <c r="R49" s="208"/>
      <c r="S49" s="208"/>
      <c r="AE49" s="208"/>
      <c r="AF49" s="209"/>
      <c r="AS49" s="208"/>
      <c r="AT49" s="209"/>
      <c r="AU49" s="209"/>
    </row>
    <row r="50" spans="1:58" s="8" customFormat="1" x14ac:dyDescent="0.3">
      <c r="A50" s="37">
        <v>3</v>
      </c>
      <c r="B50" s="37" t="s">
        <v>329</v>
      </c>
      <c r="C50" s="37" t="s">
        <v>330</v>
      </c>
      <c r="D50" s="38"/>
      <c r="E50" s="37" t="s">
        <v>331</v>
      </c>
      <c r="F50" s="37"/>
      <c r="G50" s="37">
        <v>29.82</v>
      </c>
      <c r="H50" s="37">
        <f>273.15+G50</f>
        <v>302.96999999999997</v>
      </c>
      <c r="I50" s="214">
        <f>-LOG10(EXP(LN(10^-14)+13.36*(1/298.15-1/H50)/0.0019872))</f>
        <v>13.844202032176828</v>
      </c>
      <c r="J50" s="88">
        <v>27.59</v>
      </c>
      <c r="K50" s="37"/>
      <c r="L50" s="37"/>
      <c r="M50" s="37"/>
      <c r="N50" s="37"/>
      <c r="O50" s="248"/>
      <c r="P50" s="248"/>
      <c r="Q50" s="214"/>
      <c r="R50" s="214"/>
      <c r="S50" s="214"/>
      <c r="T50" s="254"/>
      <c r="U50" s="254"/>
      <c r="V50" s="254"/>
      <c r="W50" s="39"/>
      <c r="X50" s="39"/>
      <c r="Y50" s="39"/>
      <c r="Z50" s="37">
        <v>7</v>
      </c>
      <c r="AA50" s="37"/>
      <c r="AB50" s="122">
        <f>1.895*10^-5</f>
        <v>1.8950000000000003E-5</v>
      </c>
      <c r="AC50" s="37" t="s">
        <v>600</v>
      </c>
      <c r="AD50" s="249">
        <f>AB50</f>
        <v>1.8950000000000003E-5</v>
      </c>
      <c r="AE50" s="642">
        <f>(LN(2)/AF50)/(60*60*24)</f>
        <v>0.88806338880147706</v>
      </c>
      <c r="AF50" s="215">
        <f>EXP(LN(AD50)+$J50*(1/$H50-1/298.15)/0.0019872)</f>
        <v>9.0337434390393609E-6</v>
      </c>
      <c r="AG50" s="158">
        <f>AVERAGE(AE50:AE53)</f>
        <v>0.96255739889693825</v>
      </c>
      <c r="AH50" s="158">
        <f>MEDIAN(AE50:AE53)</f>
        <v>0.96002471823696212</v>
      </c>
      <c r="AI50" s="158">
        <f>STDEV(AE50:AE53)</f>
        <v>6.9160060706547136E-2</v>
      </c>
      <c r="AJ50" s="159"/>
      <c r="AK50" s="159"/>
      <c r="AL50" s="159"/>
      <c r="AM50" s="37"/>
      <c r="AN50" s="37"/>
      <c r="AO50" s="122"/>
      <c r="AP50" s="37"/>
      <c r="AQ50" s="249"/>
      <c r="AR50" s="249"/>
      <c r="AS50" s="214"/>
      <c r="AT50" s="215"/>
      <c r="AU50" s="215"/>
      <c r="AV50" s="120"/>
      <c r="AW50" s="120"/>
      <c r="AX50" s="120"/>
      <c r="AY50" s="37"/>
      <c r="AZ50" s="37"/>
      <c r="BA50" s="37"/>
      <c r="BB50" s="186"/>
      <c r="BC50" s="186"/>
      <c r="BD50" s="186"/>
      <c r="BE50" s="37"/>
      <c r="BF50" s="37"/>
    </row>
    <row r="51" spans="1:58" x14ac:dyDescent="0.3">
      <c r="G51" s="31">
        <v>40.323999999999998</v>
      </c>
      <c r="H51" s="31">
        <f>273.15+G51</f>
        <v>313.47399999999999</v>
      </c>
      <c r="I51" s="208">
        <f>-LOG10(EXP(LN(10^-14)+13.36*(1/298.15-1/H51)/0.0019872))</f>
        <v>13.521276226730095</v>
      </c>
      <c r="J51" s="91">
        <v>27.59</v>
      </c>
      <c r="Q51" s="208"/>
      <c r="R51" s="208"/>
      <c r="S51" s="208"/>
      <c r="Z51" s="31">
        <v>7</v>
      </c>
      <c r="AB51" s="103">
        <v>8.4489999999999999E-5</v>
      </c>
      <c r="AC51" s="31" t="s">
        <v>600</v>
      </c>
      <c r="AD51" s="250">
        <f>AB51</f>
        <v>8.4489999999999999E-5</v>
      </c>
      <c r="AE51" s="220">
        <f>(LN(2)/AF51)/(60*60*24)</f>
        <v>0.9249714592727043</v>
      </c>
      <c r="AF51" s="209">
        <f>EXP(LN(AD51)+$J51*(1/$H51-1/298.15)/0.0019872)</f>
        <v>8.6732803824503333E-6</v>
      </c>
      <c r="AS51" s="208"/>
      <c r="AT51" s="209"/>
      <c r="AU51" s="209"/>
    </row>
    <row r="52" spans="1:58" x14ac:dyDescent="0.3">
      <c r="G52" s="31">
        <v>50.267000000000003</v>
      </c>
      <c r="H52" s="31">
        <f>273.15+G52</f>
        <v>323.41699999999997</v>
      </c>
      <c r="I52" s="208">
        <f>-LOG10(EXP(LN(10^-14)+13.36*(1/298.15-1/H52)/0.0019872))</f>
        <v>13.234922881867998</v>
      </c>
      <c r="J52" s="91">
        <v>27.59</v>
      </c>
      <c r="Q52" s="208"/>
      <c r="R52" s="208"/>
      <c r="S52" s="208"/>
      <c r="Z52" s="31">
        <v>7</v>
      </c>
      <c r="AB52" s="103">
        <f>30.65*10^-5</f>
        <v>3.0650000000000002E-4</v>
      </c>
      <c r="AC52" s="31" t="s">
        <v>600</v>
      </c>
      <c r="AD52" s="250">
        <f>AB52</f>
        <v>3.0650000000000002E-4</v>
      </c>
      <c r="AE52" s="220">
        <f>(LN(2)/AF52)/(60*60*24)</f>
        <v>0.99507797720121982</v>
      </c>
      <c r="AF52" s="209">
        <f>EXP(LN(AD52)+$J52*(1/$H52-1/298.15)/0.0019872)</f>
        <v>8.0622192389392267E-6</v>
      </c>
      <c r="AS52" s="208"/>
      <c r="AT52" s="209"/>
      <c r="AU52" s="209"/>
    </row>
    <row r="53" spans="1:58" x14ac:dyDescent="0.3">
      <c r="G53" s="31">
        <v>55.203000000000003</v>
      </c>
      <c r="H53" s="31">
        <f>273.15+G53</f>
        <v>328.35299999999995</v>
      </c>
      <c r="I53" s="208">
        <f>-LOG10(EXP(LN(10^-14)+13.36*(1/298.15-1/H53)/0.0019872))</f>
        <v>13.099210176170708</v>
      </c>
      <c r="J53" s="91">
        <v>27.59</v>
      </c>
      <c r="Q53" s="208"/>
      <c r="R53" s="208"/>
      <c r="S53" s="208"/>
      <c r="Z53" s="31">
        <v>7</v>
      </c>
      <c r="AB53" s="103">
        <v>5.5800000000000001E-4</v>
      </c>
      <c r="AC53" s="31" t="s">
        <v>600</v>
      </c>
      <c r="AD53" s="250">
        <f>AB53</f>
        <v>5.5800000000000001E-4</v>
      </c>
      <c r="AE53" s="220">
        <f>(LN(2)/AF53)/(60*60*24)</f>
        <v>1.0421167703123517</v>
      </c>
      <c r="AF53" s="209">
        <f>EXP(LN(AD53)+$J53*(1/$H53-1/298.15)/0.0019872)</f>
        <v>7.6983089041277238E-6</v>
      </c>
      <c r="AS53" s="208"/>
      <c r="AT53" s="209"/>
      <c r="AU53" s="209"/>
    </row>
    <row r="54" spans="1:58" s="14" customFormat="1" x14ac:dyDescent="0.3">
      <c r="A54" s="243"/>
      <c r="B54" s="243"/>
      <c r="C54" s="243"/>
      <c r="D54" s="244"/>
      <c r="E54" s="243"/>
      <c r="F54" s="243"/>
      <c r="G54" s="243"/>
      <c r="H54" s="243"/>
      <c r="I54" s="641"/>
      <c r="J54" s="251"/>
      <c r="K54" s="243"/>
      <c r="L54" s="243"/>
      <c r="M54" s="243"/>
      <c r="N54" s="243"/>
      <c r="O54" s="252"/>
      <c r="P54" s="252"/>
      <c r="Q54" s="641"/>
      <c r="R54" s="641"/>
      <c r="S54" s="641"/>
      <c r="T54" s="255"/>
      <c r="U54" s="255"/>
      <c r="V54" s="255"/>
      <c r="W54" s="256"/>
      <c r="X54" s="256"/>
      <c r="Y54" s="256"/>
      <c r="Z54" s="243"/>
      <c r="AA54" s="243"/>
      <c r="AB54" s="257"/>
      <c r="AC54" s="243"/>
      <c r="AD54" s="252"/>
      <c r="AE54" s="646"/>
      <c r="AF54" s="647"/>
      <c r="AG54" s="263"/>
      <c r="AH54" s="263"/>
      <c r="AI54" s="263"/>
      <c r="AJ54" s="264"/>
      <c r="AK54" s="264"/>
      <c r="AL54" s="264"/>
      <c r="AM54" s="243"/>
      <c r="AN54" s="243"/>
      <c r="AO54" s="257"/>
      <c r="AP54" s="243"/>
      <c r="AQ54" s="265"/>
      <c r="AR54" s="265"/>
      <c r="AS54" s="641"/>
      <c r="AT54" s="647"/>
      <c r="AU54" s="647"/>
      <c r="AV54" s="266"/>
      <c r="AW54" s="266"/>
      <c r="AX54" s="266"/>
      <c r="AY54" s="243"/>
      <c r="AZ54" s="243"/>
      <c r="BA54" s="243"/>
      <c r="BB54" s="267"/>
      <c r="BC54" s="267"/>
      <c r="BD54" s="267"/>
      <c r="BE54" s="243"/>
      <c r="BF54" s="243"/>
    </row>
    <row r="55" spans="1:58" x14ac:dyDescent="0.3">
      <c r="N55" s="115" t="s">
        <v>790</v>
      </c>
      <c r="O55" s="115"/>
      <c r="P55" s="115"/>
      <c r="Q55" s="283">
        <f>AVERAGE(Q6:Q53)</f>
        <v>51300.14568213348</v>
      </c>
      <c r="R55" s="115"/>
      <c r="S55" s="115"/>
      <c r="T55" s="142">
        <f>AVERAGE(T6:T53)</f>
        <v>51300.14568213348</v>
      </c>
      <c r="U55" s="152"/>
      <c r="V55" s="152"/>
      <c r="W55" s="153"/>
      <c r="X55" s="153"/>
      <c r="Y55" s="153"/>
      <c r="Z55" s="115" t="s">
        <v>790</v>
      </c>
      <c r="AA55" s="115"/>
      <c r="AB55" s="115"/>
      <c r="AC55" s="115" t="s">
        <v>790</v>
      </c>
      <c r="AD55" s="115"/>
      <c r="AE55" s="173">
        <f>AVERAGE(AE6:AE53)</f>
        <v>3650.0185337795569</v>
      </c>
      <c r="AF55" s="115"/>
      <c r="AG55" s="142">
        <f>AVERAGE(AG6:AG53)</f>
        <v>8436.5278015445911</v>
      </c>
      <c r="AH55" s="173"/>
      <c r="AI55" s="173"/>
      <c r="AJ55" s="174"/>
      <c r="AK55" s="174"/>
      <c r="AL55" s="174"/>
      <c r="AM55" s="115" t="s">
        <v>790</v>
      </c>
      <c r="AN55" s="115"/>
      <c r="AO55" s="115"/>
      <c r="AP55" s="115" t="s">
        <v>790</v>
      </c>
      <c r="AQ55" s="115"/>
      <c r="AR55" s="115"/>
      <c r="AS55" s="152">
        <f>AVERAGE(AS6:AS53)</f>
        <v>13380.099976699499</v>
      </c>
      <c r="AT55" s="115"/>
      <c r="AU55" s="115"/>
      <c r="AV55" s="142">
        <f>AVERAGE(AV6:AV53)</f>
        <v>33448.329450230638</v>
      </c>
      <c r="AW55" s="152"/>
      <c r="AX55" s="152"/>
      <c r="BB55" s="192" t="s">
        <v>790</v>
      </c>
    </row>
    <row r="56" spans="1:58" x14ac:dyDescent="0.3">
      <c r="N56" s="115" t="s">
        <v>791</v>
      </c>
      <c r="O56" s="115"/>
      <c r="P56" s="115"/>
      <c r="Q56" s="115">
        <f>STDEV(Q6:Q53)</f>
        <v>26685.830377531503</v>
      </c>
      <c r="R56" s="115"/>
      <c r="S56" s="115"/>
      <c r="T56" s="142"/>
      <c r="U56" s="152"/>
      <c r="V56" s="152"/>
      <c r="W56" s="153"/>
      <c r="X56" s="153"/>
      <c r="Y56" s="153"/>
      <c r="Z56" s="115" t="s">
        <v>791</v>
      </c>
      <c r="AA56" s="115"/>
      <c r="AB56" s="115"/>
      <c r="AC56" s="115" t="s">
        <v>791</v>
      </c>
      <c r="AD56" s="115"/>
      <c r="AE56" s="173">
        <f>STDEV(AE6:AE53)</f>
        <v>8960.3406125610309</v>
      </c>
      <c r="AF56" s="115"/>
      <c r="AG56" s="142">
        <f>STDEV(AG6:AG53)</f>
        <v>12473.906841667775</v>
      </c>
      <c r="AH56" s="173"/>
      <c r="AI56" s="173"/>
      <c r="AJ56" s="174"/>
      <c r="AK56" s="174"/>
      <c r="AL56" s="174"/>
      <c r="AM56" s="115" t="s">
        <v>791</v>
      </c>
      <c r="AN56" s="115"/>
      <c r="AO56" s="115"/>
      <c r="AP56" s="115" t="s">
        <v>791</v>
      </c>
      <c r="AQ56" s="115"/>
      <c r="AR56" s="115"/>
      <c r="AS56" s="115">
        <f>STDEV(AS6:AS53)</f>
        <v>41145.374973741731</v>
      </c>
      <c r="AT56" s="115"/>
      <c r="AU56" s="115"/>
      <c r="AV56" s="142">
        <f>STDEV(AV6:AV53)</f>
        <v>64682.776448032375</v>
      </c>
      <c r="AW56" s="152"/>
      <c r="AX56" s="152"/>
      <c r="BB56" s="192" t="s">
        <v>791</v>
      </c>
    </row>
    <row r="57" spans="1:58" x14ac:dyDescent="0.3">
      <c r="N57" s="31" t="s">
        <v>800</v>
      </c>
      <c r="O57" s="31"/>
      <c r="P57" s="31"/>
      <c r="Q57" s="103">
        <f>MEDIAN(Q6:Q53)</f>
        <v>51300.14568213348</v>
      </c>
      <c r="R57" s="31"/>
      <c r="S57" s="31"/>
      <c r="T57" s="142">
        <f>MEDIAN(T24:T53)</f>
        <v>51300.14568213348</v>
      </c>
      <c r="U57" s="129"/>
      <c r="V57" s="129"/>
      <c r="W57" s="146"/>
      <c r="X57" s="146"/>
      <c r="Y57" s="146"/>
      <c r="Z57" s="31" t="s">
        <v>800</v>
      </c>
      <c r="AB57" s="31"/>
      <c r="AC57" s="31" t="s">
        <v>800</v>
      </c>
      <c r="AD57" s="31"/>
      <c r="AE57" s="175">
        <f>MEDIAN(AE6:AE53)</f>
        <v>62.302778098565476</v>
      </c>
      <c r="AF57" s="31"/>
      <c r="AG57" s="142">
        <f>MEDIAN(AG6:AG53)</f>
        <v>379.55530870478577</v>
      </c>
      <c r="AH57" s="175"/>
      <c r="AI57" s="175"/>
      <c r="AM57" s="31" t="s">
        <v>800</v>
      </c>
      <c r="AO57" s="31"/>
      <c r="AP57" s="31" t="s">
        <v>800</v>
      </c>
      <c r="AQ57" s="31"/>
      <c r="AR57" s="31"/>
      <c r="AS57" s="129">
        <f>MEDIAN(AS6:AS53)</f>
        <v>1.4408757206297</v>
      </c>
      <c r="AT57" s="31"/>
      <c r="AU57" s="31"/>
      <c r="AV57" s="142">
        <f>MEDIAN(AV6:AV53)</f>
        <v>1672.8501695988148</v>
      </c>
      <c r="AW57" s="129"/>
      <c r="AX57" s="129"/>
      <c r="BB57" s="185" t="s">
        <v>800</v>
      </c>
    </row>
    <row r="58" spans="1:58" x14ac:dyDescent="0.3">
      <c r="N58" s="31" t="s">
        <v>789</v>
      </c>
      <c r="O58" s="31"/>
      <c r="P58" s="31"/>
      <c r="Q58" s="31">
        <f>COUNT(Q6:Q53)</f>
        <v>2</v>
      </c>
      <c r="R58" s="31"/>
      <c r="S58" s="31"/>
      <c r="T58" s="144">
        <f>COUNT(T24:T53)</f>
        <v>1</v>
      </c>
      <c r="U58" s="129"/>
      <c r="V58" s="129"/>
      <c r="W58" s="146"/>
      <c r="X58" s="146"/>
      <c r="Y58" s="146"/>
      <c r="Z58" s="31" t="s">
        <v>789</v>
      </c>
      <c r="AB58" s="31"/>
      <c r="AC58" s="31" t="s">
        <v>789</v>
      </c>
      <c r="AD58" s="31"/>
      <c r="AE58" s="31">
        <f>COUNT(AE6:AE53)</f>
        <v>21</v>
      </c>
      <c r="AF58" s="31"/>
      <c r="AG58" s="176">
        <f>COUNT(AG6:AG53)</f>
        <v>9</v>
      </c>
      <c r="AH58" s="175"/>
      <c r="AI58" s="175"/>
      <c r="AM58" s="31" t="s">
        <v>789</v>
      </c>
      <c r="AO58" s="31"/>
      <c r="AP58" s="31" t="s">
        <v>789</v>
      </c>
      <c r="AQ58" s="31"/>
      <c r="AR58" s="31"/>
      <c r="AS58" s="31">
        <f>COUNT(AS6:AS53)</f>
        <v>10</v>
      </c>
      <c r="AT58" s="31"/>
      <c r="AU58" s="31"/>
      <c r="AV58" s="144">
        <f>COUNT(AV6:AV53)</f>
        <v>4</v>
      </c>
      <c r="AW58" s="129"/>
      <c r="AX58" s="129"/>
      <c r="BB58" s="185" t="s">
        <v>789</v>
      </c>
    </row>
    <row r="59" spans="1:58" x14ac:dyDescent="0.3">
      <c r="N59" s="31" t="s">
        <v>787</v>
      </c>
      <c r="O59" s="31"/>
      <c r="P59" s="31"/>
      <c r="Q59" s="103">
        <f>MIN(Q6:Q53)</f>
        <v>32430.414060586991</v>
      </c>
      <c r="R59" s="31"/>
      <c r="S59" s="31"/>
      <c r="T59" s="176">
        <f>MIN(T24:T53)</f>
        <v>51300.14568213348</v>
      </c>
      <c r="U59" s="129"/>
      <c r="V59" s="129"/>
      <c r="W59" s="146"/>
      <c r="X59" s="146"/>
      <c r="Y59" s="146"/>
      <c r="Z59" s="31" t="s">
        <v>787</v>
      </c>
      <c r="AB59" s="31"/>
      <c r="AC59" s="31" t="s">
        <v>787</v>
      </c>
      <c r="AD59" s="31"/>
      <c r="AE59" s="175">
        <f>MIN(AE6:AE53)</f>
        <v>0.17530557845274727</v>
      </c>
      <c r="AF59" s="31"/>
      <c r="AG59" s="142">
        <f>MIN(AG6:AG53)</f>
        <v>0.18052130393868057</v>
      </c>
      <c r="AH59" s="175"/>
      <c r="AI59" s="175"/>
      <c r="AM59" s="31" t="s">
        <v>787</v>
      </c>
      <c r="AO59" s="31"/>
      <c r="AP59" s="31" t="s">
        <v>787</v>
      </c>
      <c r="AQ59" s="31"/>
      <c r="AR59" s="31"/>
      <c r="AS59" s="335">
        <f>MIN(AS6:AS53)</f>
        <v>0.76650767586473467</v>
      </c>
      <c r="AT59" s="31"/>
      <c r="AU59" s="31"/>
      <c r="AV59" s="240">
        <f>MIN(AV6:AV53)</f>
        <v>1.2803276787424629</v>
      </c>
      <c r="AW59" s="129"/>
      <c r="AX59" s="129"/>
      <c r="BB59" s="185" t="s">
        <v>787</v>
      </c>
    </row>
    <row r="60" spans="1:58" x14ac:dyDescent="0.3">
      <c r="N60" s="31" t="s">
        <v>788</v>
      </c>
      <c r="O60" s="31"/>
      <c r="P60" s="31"/>
      <c r="Q60" s="103">
        <f>MAX(Q6:Q53)</f>
        <v>70169.877303679968</v>
      </c>
      <c r="R60" s="31"/>
      <c r="S60" s="31"/>
      <c r="T60" s="142">
        <f>MAX(T24:T53)</f>
        <v>51300.14568213348</v>
      </c>
      <c r="U60" s="129"/>
      <c r="V60" s="129"/>
      <c r="W60" s="146"/>
      <c r="X60" s="146"/>
      <c r="Y60" s="146"/>
      <c r="Z60" s="31" t="s">
        <v>788</v>
      </c>
      <c r="AB60" s="31"/>
      <c r="AC60" s="31" t="s">
        <v>788</v>
      </c>
      <c r="AD60" s="31"/>
      <c r="AE60" s="175">
        <f>MAX(AE6:AE53)</f>
        <v>26303.399383725926</v>
      </c>
      <c r="AF60" s="31"/>
      <c r="AG60" s="142">
        <f>MAX(AG6:AG53)</f>
        <v>26303.399383725926</v>
      </c>
      <c r="AH60" s="175"/>
      <c r="AI60" s="175"/>
      <c r="AM60" s="31" t="s">
        <v>788</v>
      </c>
      <c r="AO60" s="31"/>
      <c r="AP60" s="31" t="s">
        <v>788</v>
      </c>
      <c r="AQ60" s="31"/>
      <c r="AR60" s="31"/>
      <c r="AS60" s="129">
        <f>MAX(AS6:AS53)</f>
        <v>130446.33713404616</v>
      </c>
      <c r="AT60" s="31"/>
      <c r="AU60" s="31"/>
      <c r="AV60" s="142">
        <f>MAX(AV6:AV53)</f>
        <v>130446.33713404616</v>
      </c>
      <c r="AW60" s="129"/>
      <c r="AX60" s="129"/>
      <c r="BB60" s="185" t="s">
        <v>788</v>
      </c>
    </row>
    <row r="61" spans="1:58" x14ac:dyDescent="0.3">
      <c r="AF61" s="843" t="s">
        <v>1276</v>
      </c>
      <c r="AG61" s="157">
        <f>QUARTILE(AG$6:AG53,3)-QUARTILE(AG$6:AG53,1)</f>
        <v>22384.800379946217</v>
      </c>
      <c r="AH61" s="119"/>
      <c r="AU61" s="843" t="s">
        <v>1276</v>
      </c>
      <c r="AV61" s="119">
        <f>QUARTILE(AV$6:AV53,3)-QUARTILE(AV$6:AV53,1)</f>
        <v>34960.081822562868</v>
      </c>
      <c r="AW61" s="119"/>
    </row>
    <row r="62" spans="1:58" x14ac:dyDescent="0.3">
      <c r="AF62" s="843" t="s">
        <v>1277</v>
      </c>
      <c r="AG62" s="157">
        <f>MAX(AG57-2*AG61,0)</f>
        <v>0</v>
      </c>
      <c r="AH62" s="844" t="str">
        <f>IF(AG59&lt;AG62,"Outlier Flag","")</f>
        <v/>
      </c>
      <c r="AU62" s="843" t="s">
        <v>1277</v>
      </c>
      <c r="AV62" s="157">
        <f>MAX(AV57-2*AV61,0)</f>
        <v>0</v>
      </c>
      <c r="AW62" s="844" t="str">
        <f>IF(AV59&lt;AV62,"Outlier Flag","")</f>
        <v/>
      </c>
    </row>
    <row r="63" spans="1:58" x14ac:dyDescent="0.3">
      <c r="AF63" s="843" t="s">
        <v>1278</v>
      </c>
      <c r="AG63" s="157">
        <f>AG57+2.2*AG61</f>
        <v>49626.116144586471</v>
      </c>
      <c r="AH63" s="844" t="str">
        <f>IF(AG60&gt;AG63,"Outlier Flag","")</f>
        <v/>
      </c>
      <c r="AU63" s="843" t="s">
        <v>1278</v>
      </c>
      <c r="AV63" s="119">
        <f>AV57+2.2*AV61</f>
        <v>78585.030179237132</v>
      </c>
      <c r="AW63" s="844" t="str">
        <f>IF(AV60&gt;AV63,"Outlier Flag","")</f>
        <v>Outlier Flag</v>
      </c>
      <c r="AY63" s="103"/>
    </row>
    <row r="68" spans="42:48" x14ac:dyDescent="0.3">
      <c r="AP68" s="31" t="s">
        <v>790</v>
      </c>
      <c r="AV68" s="156">
        <v>1115.6602222921242</v>
      </c>
    </row>
    <row r="69" spans="42:48" x14ac:dyDescent="0.3">
      <c r="AP69" s="31" t="s">
        <v>791</v>
      </c>
      <c r="AV69" s="156">
        <v>1839.3904206311217</v>
      </c>
    </row>
    <row r="70" spans="42:48" x14ac:dyDescent="0.3">
      <c r="AP70" s="31" t="s">
        <v>800</v>
      </c>
      <c r="AV70" s="156">
        <v>106.97175561813927</v>
      </c>
    </row>
    <row r="71" spans="42:48" x14ac:dyDescent="0.3">
      <c r="AP71" s="31" t="s">
        <v>789</v>
      </c>
      <c r="AV71" s="156">
        <v>3</v>
      </c>
    </row>
    <row r="72" spans="42:48" x14ac:dyDescent="0.3">
      <c r="AP72" s="31" t="s">
        <v>787</v>
      </c>
      <c r="AV72" s="156">
        <v>1.2803276787424629</v>
      </c>
    </row>
    <row r="73" spans="42:48" x14ac:dyDescent="0.3">
      <c r="AP73" s="31" t="s">
        <v>788</v>
      </c>
      <c r="AV73" s="156">
        <v>3238.7285835794905</v>
      </c>
    </row>
  </sheetData>
  <sheetProtection formatCells="0" formatColumns="0" formatRows="0" insertColumns="0" insertRows="0" insertHyperlinks="0" deleteColumns="0" deleteRows="0" sort="0"/>
  <mergeCells count="1">
    <mergeCell ref="A1: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3"/>
  <sheetViews>
    <sheetView zoomScaleNormal="100" workbookViewId="0">
      <selection sqref="A1:B1"/>
    </sheetView>
  </sheetViews>
  <sheetFormatPr defaultRowHeight="14.4" x14ac:dyDescent="0.3"/>
  <cols>
    <col min="1" max="1" width="3.6640625" style="31" customWidth="1"/>
    <col min="2" max="2" width="38.109375" style="31" bestFit="1" customWidth="1"/>
    <col min="3" max="3" width="16.5546875" style="31" customWidth="1"/>
    <col min="4" max="4" width="20.109375" style="32" customWidth="1"/>
    <col min="5" max="5" width="57" style="31" customWidth="1"/>
    <col min="6" max="6" width="76" style="31" customWidth="1"/>
    <col min="7" max="8" width="12.33203125" style="31" customWidth="1"/>
    <col min="9" max="9" width="8.88671875" style="583" customWidth="1"/>
    <col min="10" max="10" width="9.88671875" style="31" bestFit="1" customWidth="1"/>
    <col min="11" max="12" width="8.88671875" style="31"/>
    <col min="13" max="13" width="11.6640625" style="103" customWidth="1"/>
    <col min="14" max="14" width="11.5546875" style="31" bestFit="1" customWidth="1"/>
    <col min="15" max="15" width="10.44140625" style="250" customWidth="1"/>
    <col min="16" max="16" width="13.44140625" style="247" bestFit="1" customWidth="1"/>
    <col min="17" max="17" width="12.44140625" style="583" customWidth="1"/>
    <col min="18" max="18" width="10.33203125" style="586" customWidth="1"/>
    <col min="19" max="19" width="13.44140625" style="586" customWidth="1"/>
    <col min="20" max="22" width="10.109375" style="118" customWidth="1"/>
    <col min="23" max="25" width="17.5546875" style="119" customWidth="1"/>
    <col min="26" max="27" width="8.88671875" style="31"/>
    <col min="28" max="28" width="11.6640625" style="103" customWidth="1"/>
    <col min="29" max="29" width="8.88671875" style="31"/>
    <col min="30" max="30" width="15.88671875" style="250" bestFit="1" customWidth="1"/>
    <col min="31" max="31" width="10.109375" style="583" customWidth="1"/>
    <col min="32" max="32" width="13.44140625" style="586" customWidth="1"/>
    <col min="33" max="35" width="10.33203125" style="118" customWidth="1"/>
    <col min="36" max="38" width="15.33203125" style="119" customWidth="1"/>
    <col min="39" max="40" width="8.88671875" style="31"/>
    <col min="41" max="41" width="11.5546875" style="103" customWidth="1"/>
    <col min="42" max="42" width="13.44140625" style="31" bestFit="1" customWidth="1"/>
    <col min="43" max="43" width="10.44140625" style="250" customWidth="1"/>
    <col min="44" max="44" width="13.44140625" style="247" bestFit="1" customWidth="1"/>
    <col min="45" max="45" width="10.109375" style="583" customWidth="1"/>
    <col min="46" max="46" width="10.33203125" style="586" customWidth="1"/>
    <col min="47" max="47" width="13.44140625" style="586" bestFit="1" customWidth="1"/>
    <col min="48" max="50" width="10.33203125" style="118" customWidth="1"/>
    <col min="51" max="53" width="15.6640625" style="31" customWidth="1"/>
    <col min="54" max="54" width="27.88671875" style="185" customWidth="1"/>
    <col min="55" max="55" width="19.109375" style="185" bestFit="1" customWidth="1"/>
    <col min="56" max="56" width="20.6640625" style="185" customWidth="1"/>
    <col min="57" max="58" width="8.88671875" style="31"/>
  </cols>
  <sheetData>
    <row r="1" spans="1:58" x14ac:dyDescent="0.3">
      <c r="A1" s="900" t="s">
        <v>6</v>
      </c>
      <c r="B1" s="900"/>
      <c r="K1" s="229" t="s">
        <v>626</v>
      </c>
      <c r="L1" s="238"/>
      <c r="M1" s="238"/>
      <c r="N1" s="238"/>
      <c r="O1" s="608" t="s">
        <v>601</v>
      </c>
      <c r="P1" s="609"/>
      <c r="Q1" s="208" t="s">
        <v>602</v>
      </c>
      <c r="R1" s="209"/>
      <c r="S1" s="209"/>
      <c r="T1" s="610"/>
      <c r="U1" s="610"/>
      <c r="V1" s="610"/>
      <c r="W1" s="611"/>
      <c r="X1" s="611"/>
      <c r="Y1" s="611"/>
      <c r="Z1" s="229" t="s">
        <v>89</v>
      </c>
      <c r="AA1" s="238"/>
      <c r="AB1" s="238"/>
      <c r="AC1" s="238"/>
      <c r="AD1" s="609" t="s">
        <v>601</v>
      </c>
      <c r="AE1" s="208" t="s">
        <v>602</v>
      </c>
      <c r="AF1" s="209"/>
      <c r="AG1" s="612"/>
      <c r="AH1" s="612"/>
      <c r="AI1" s="612"/>
      <c r="AJ1" s="611"/>
      <c r="AK1" s="611"/>
      <c r="AL1" s="611"/>
      <c r="AM1" s="229" t="s">
        <v>627</v>
      </c>
      <c r="AN1" s="238"/>
      <c r="AO1" s="238"/>
      <c r="AP1" s="238"/>
      <c r="AQ1" s="608" t="s">
        <v>601</v>
      </c>
      <c r="AR1" s="608"/>
      <c r="AS1" s="208" t="s">
        <v>602</v>
      </c>
      <c r="AT1" s="209"/>
      <c r="AU1" s="209"/>
      <c r="AV1" s="610"/>
      <c r="AW1" s="610"/>
      <c r="AX1" s="610"/>
      <c r="AY1" s="611"/>
      <c r="AZ1" s="611"/>
      <c r="BA1" s="611"/>
      <c r="BB1" s="613"/>
      <c r="BC1" s="613"/>
      <c r="BD1" s="613"/>
    </row>
    <row r="2" spans="1:58" x14ac:dyDescent="0.3">
      <c r="G2" s="584"/>
      <c r="H2" s="584"/>
      <c r="J2" s="92"/>
      <c r="K2" s="229"/>
      <c r="L2" s="238"/>
      <c r="M2" s="238"/>
      <c r="N2" s="238"/>
      <c r="O2" s="615" t="s">
        <v>603</v>
      </c>
      <c r="P2" s="616"/>
      <c r="Q2" s="210" t="s">
        <v>603</v>
      </c>
      <c r="R2" s="210" t="s">
        <v>603</v>
      </c>
      <c r="S2" s="210"/>
      <c r="T2" s="617" t="s">
        <v>801</v>
      </c>
      <c r="U2" s="617"/>
      <c r="V2" s="617"/>
      <c r="W2" s="618"/>
      <c r="X2" s="618"/>
      <c r="Y2" s="618"/>
      <c r="Z2" s="238"/>
      <c r="AA2" s="238"/>
      <c r="AB2" s="238"/>
      <c r="AC2" s="238"/>
      <c r="AD2" s="616"/>
      <c r="AE2" s="208"/>
      <c r="AF2" s="210"/>
      <c r="AG2" s="619" t="s">
        <v>801</v>
      </c>
      <c r="AH2" s="619"/>
      <c r="AI2" s="619"/>
      <c r="AJ2" s="618"/>
      <c r="AK2" s="618"/>
      <c r="AL2" s="618"/>
      <c r="AM2" s="229"/>
      <c r="AN2" s="238"/>
      <c r="AO2" s="238"/>
      <c r="AP2" s="238"/>
      <c r="AQ2" s="615" t="s">
        <v>604</v>
      </c>
      <c r="AR2" s="615"/>
      <c r="AS2" s="210" t="s">
        <v>604</v>
      </c>
      <c r="AT2" s="210" t="s">
        <v>604</v>
      </c>
      <c r="AU2" s="210"/>
      <c r="AV2" s="617" t="s">
        <v>801</v>
      </c>
      <c r="AW2" s="617"/>
      <c r="AX2" s="617"/>
      <c r="AY2" s="618"/>
      <c r="AZ2" s="618"/>
      <c r="BA2" s="618"/>
      <c r="BB2" s="613"/>
      <c r="BC2" s="613"/>
      <c r="BD2" s="613"/>
    </row>
    <row r="3" spans="1:58" ht="43.2" x14ac:dyDescent="0.3">
      <c r="A3" s="238"/>
      <c r="B3" s="229" t="s">
        <v>1</v>
      </c>
      <c r="C3" s="229" t="s">
        <v>2</v>
      </c>
      <c r="D3" s="625" t="s">
        <v>930</v>
      </c>
      <c r="E3" s="229" t="s">
        <v>5</v>
      </c>
      <c r="F3" s="229" t="s">
        <v>7</v>
      </c>
      <c r="G3" s="634" t="s">
        <v>1176</v>
      </c>
      <c r="H3" s="634" t="s">
        <v>1176</v>
      </c>
      <c r="I3" s="635" t="s">
        <v>593</v>
      </c>
      <c r="J3" s="636" t="s">
        <v>594</v>
      </c>
      <c r="K3" s="229" t="s">
        <v>109</v>
      </c>
      <c r="L3" s="229" t="s">
        <v>87</v>
      </c>
      <c r="M3" s="620" t="s">
        <v>1180</v>
      </c>
      <c r="N3" s="620" t="s">
        <v>1179</v>
      </c>
      <c r="O3" s="621" t="s">
        <v>1177</v>
      </c>
      <c r="P3" s="621" t="s">
        <v>1178</v>
      </c>
      <c r="Q3" s="211" t="s">
        <v>87</v>
      </c>
      <c r="R3" s="212" t="s">
        <v>1177</v>
      </c>
      <c r="S3" s="212" t="s">
        <v>1178</v>
      </c>
      <c r="T3" s="617" t="s">
        <v>811</v>
      </c>
      <c r="U3" s="617" t="s">
        <v>799</v>
      </c>
      <c r="V3" s="617" t="s">
        <v>807</v>
      </c>
      <c r="W3" s="618" t="s">
        <v>1181</v>
      </c>
      <c r="X3" s="618" t="s">
        <v>1021</v>
      </c>
      <c r="Y3" s="622" t="s">
        <v>951</v>
      </c>
      <c r="Z3" s="229" t="s">
        <v>86</v>
      </c>
      <c r="AA3" s="229" t="s">
        <v>87</v>
      </c>
      <c r="AB3" s="620" t="s">
        <v>1180</v>
      </c>
      <c r="AC3" s="620" t="s">
        <v>1179</v>
      </c>
      <c r="AD3" s="621" t="s">
        <v>1177</v>
      </c>
      <c r="AE3" s="211" t="s">
        <v>87</v>
      </c>
      <c r="AF3" s="212" t="s">
        <v>1177</v>
      </c>
      <c r="AG3" s="619" t="s">
        <v>811</v>
      </c>
      <c r="AH3" s="619" t="s">
        <v>799</v>
      </c>
      <c r="AI3" s="619" t="s">
        <v>807</v>
      </c>
      <c r="AJ3" s="618" t="s">
        <v>1182</v>
      </c>
      <c r="AK3" s="618" t="s">
        <v>1021</v>
      </c>
      <c r="AL3" s="622" t="s">
        <v>951</v>
      </c>
      <c r="AM3" s="229" t="s">
        <v>86</v>
      </c>
      <c r="AN3" s="229" t="s">
        <v>113</v>
      </c>
      <c r="AO3" s="620" t="s">
        <v>111</v>
      </c>
      <c r="AP3" s="620" t="s">
        <v>1179</v>
      </c>
      <c r="AQ3" s="621" t="s">
        <v>1177</v>
      </c>
      <c r="AR3" s="621" t="s">
        <v>1178</v>
      </c>
      <c r="AS3" s="211" t="s">
        <v>87</v>
      </c>
      <c r="AT3" s="212" t="s">
        <v>1177</v>
      </c>
      <c r="AU3" s="212" t="s">
        <v>1178</v>
      </c>
      <c r="AV3" s="617" t="s">
        <v>811</v>
      </c>
      <c r="AW3" s="617" t="s">
        <v>799</v>
      </c>
      <c r="AX3" s="617" t="s">
        <v>807</v>
      </c>
      <c r="AY3" s="618" t="s">
        <v>1183</v>
      </c>
      <c r="AZ3" s="618" t="s">
        <v>1021</v>
      </c>
      <c r="BA3" s="622" t="s">
        <v>951</v>
      </c>
      <c r="BB3" s="623" t="s">
        <v>1184</v>
      </c>
      <c r="BC3" s="623" t="s">
        <v>90</v>
      </c>
      <c r="BD3" s="624" t="s">
        <v>1022</v>
      </c>
    </row>
    <row r="4" spans="1:58" x14ac:dyDescent="0.3">
      <c r="A4" s="238"/>
      <c r="B4" s="238"/>
      <c r="C4" s="238"/>
      <c r="D4" s="614"/>
      <c r="E4" s="238"/>
      <c r="F4" s="238"/>
      <c r="G4" s="637" t="s">
        <v>85</v>
      </c>
      <c r="H4" s="637" t="s">
        <v>522</v>
      </c>
      <c r="I4" s="635"/>
      <c r="J4" s="638" t="s">
        <v>595</v>
      </c>
      <c r="K4" s="238"/>
      <c r="L4" s="238" t="s">
        <v>88</v>
      </c>
      <c r="M4" s="238"/>
      <c r="N4" s="238"/>
      <c r="O4" s="608" t="s">
        <v>596</v>
      </c>
      <c r="P4" s="609" t="s">
        <v>597</v>
      </c>
      <c r="Q4" s="208" t="s">
        <v>88</v>
      </c>
      <c r="R4" s="209" t="s">
        <v>596</v>
      </c>
      <c r="S4" s="209" t="s">
        <v>597</v>
      </c>
      <c r="T4" s="651" t="s">
        <v>88</v>
      </c>
      <c r="U4" s="651" t="s">
        <v>88</v>
      </c>
      <c r="V4" s="651" t="s">
        <v>88</v>
      </c>
      <c r="W4" s="618"/>
      <c r="X4" s="618"/>
      <c r="Y4" s="618"/>
      <c r="Z4" s="238"/>
      <c r="AA4" s="238" t="s">
        <v>88</v>
      </c>
      <c r="AB4" s="238"/>
      <c r="AC4" s="238"/>
      <c r="AD4" s="609" t="s">
        <v>596</v>
      </c>
      <c r="AE4" s="208" t="s">
        <v>88</v>
      </c>
      <c r="AF4" s="209" t="s">
        <v>596</v>
      </c>
      <c r="AG4" s="629" t="s">
        <v>88</v>
      </c>
      <c r="AH4" s="629" t="s">
        <v>88</v>
      </c>
      <c r="AI4" s="629" t="s">
        <v>88</v>
      </c>
      <c r="AJ4" s="628"/>
      <c r="AK4" s="628"/>
      <c r="AL4" s="628"/>
      <c r="AM4" s="238"/>
      <c r="AN4" s="238" t="s">
        <v>88</v>
      </c>
      <c r="AO4" s="238"/>
      <c r="AP4" s="238"/>
      <c r="AQ4" s="608" t="s">
        <v>596</v>
      </c>
      <c r="AR4" s="608" t="s">
        <v>597</v>
      </c>
      <c r="AS4" s="208" t="s">
        <v>88</v>
      </c>
      <c r="AT4" s="209" t="s">
        <v>596</v>
      </c>
      <c r="AU4" s="209" t="s">
        <v>597</v>
      </c>
      <c r="AV4" s="631" t="s">
        <v>88</v>
      </c>
      <c r="AW4" s="631" t="s">
        <v>88</v>
      </c>
      <c r="AX4" s="631" t="s">
        <v>88</v>
      </c>
      <c r="AY4" s="628"/>
      <c r="AZ4" s="628"/>
      <c r="BA4" s="652"/>
      <c r="BB4" s="623"/>
      <c r="BC4" s="632"/>
      <c r="BD4" s="633"/>
    </row>
    <row r="5" spans="1:58" x14ac:dyDescent="0.3">
      <c r="A5" s="242"/>
      <c r="B5" s="57"/>
      <c r="E5" s="268"/>
      <c r="I5" s="585"/>
    </row>
    <row r="6" spans="1:58" ht="28.8" x14ac:dyDescent="0.3">
      <c r="A6" s="242">
        <v>1</v>
      </c>
      <c r="B6" s="269" t="s">
        <v>546</v>
      </c>
      <c r="C6" s="31" t="s">
        <v>545</v>
      </c>
      <c r="D6" s="32" t="s">
        <v>945</v>
      </c>
      <c r="E6" s="268" t="s">
        <v>1271</v>
      </c>
      <c r="F6" s="31" t="s">
        <v>679</v>
      </c>
      <c r="G6" s="31">
        <v>30</v>
      </c>
      <c r="H6" s="31">
        <f>G6+273.15</f>
        <v>303.14999999999998</v>
      </c>
      <c r="I6" s="219">
        <f>-LOG10(EXP(LN(10^-14)+13.36*(1/298.15-1/H6)/0.0019872))</f>
        <v>13.838479812893434</v>
      </c>
      <c r="J6" s="31">
        <v>15.4</v>
      </c>
      <c r="K6" s="31">
        <v>5</v>
      </c>
      <c r="M6" s="787">
        <f>10^(-3.5)</f>
        <v>3.1622776601683783E-4</v>
      </c>
      <c r="N6" s="31" t="s">
        <v>600</v>
      </c>
      <c r="O6" s="250">
        <f>M6*10^(K6-5)</f>
        <v>3.1622776601683783E-4</v>
      </c>
      <c r="P6" s="250">
        <f>O6*10^5</f>
        <v>31.622776601683782</v>
      </c>
      <c r="Q6" s="653">
        <f>(LN(2)/R6)/(60*60*24)</f>
        <v>3.894889739887393E-2</v>
      </c>
      <c r="R6" s="209">
        <f>S6*10^(-5)</f>
        <v>2.059759671725225E-4</v>
      </c>
      <c r="S6" s="209">
        <f>EXP(LN(P6)+$J6*(1/$H6-1/298.15)/0.0019872)</f>
        <v>20.597596717252248</v>
      </c>
      <c r="T6" s="118">
        <f>Q6</f>
        <v>3.894889739887393E-2</v>
      </c>
      <c r="Z6" s="31">
        <v>7</v>
      </c>
      <c r="AB6" s="103">
        <f>10^(-5)</f>
        <v>1.0000000000000001E-5</v>
      </c>
      <c r="AC6" s="31" t="s">
        <v>600</v>
      </c>
      <c r="AD6" s="250">
        <f>AB6</f>
        <v>1.0000000000000001E-5</v>
      </c>
      <c r="AE6" s="653">
        <f>(LN(2)/AF6)/(60*60*24)</f>
        <v>1.2316722813264929</v>
      </c>
      <c r="AF6" s="209">
        <f>EXP(LN(AD6)+$J6*(1/$H6-1/298.15)/0.0019872)</f>
        <v>6.5135319952124355E-6</v>
      </c>
      <c r="AG6" s="274">
        <f>AVERAGE(AE6:AE7)</f>
        <v>1.2316722813264929</v>
      </c>
      <c r="AH6" s="156">
        <f>MEDIAN(AE6:AE7)</f>
        <v>1.2316722813264929</v>
      </c>
      <c r="AI6" s="156">
        <f>_xlfn.STDEV.S(AE6:AE7)</f>
        <v>0</v>
      </c>
      <c r="AJ6" s="157"/>
      <c r="AK6" s="157"/>
      <c r="AL6" s="157"/>
      <c r="AR6" s="250"/>
      <c r="AS6" s="219"/>
      <c r="AT6" s="209"/>
      <c r="AU6" s="209"/>
    </row>
    <row r="7" spans="1:58" x14ac:dyDescent="0.3">
      <c r="A7" s="242"/>
      <c r="B7" s="57"/>
      <c r="E7" s="270"/>
      <c r="F7" s="271"/>
      <c r="G7" s="31">
        <v>30</v>
      </c>
      <c r="H7" s="31">
        <f>G7+273.15</f>
        <v>303.14999999999998</v>
      </c>
      <c r="I7" s="219">
        <f>-LOG10(EXP(LN(10^-14)+13.36*(1/298.15-1/H7)/0.0019872))</f>
        <v>13.838479812893434</v>
      </c>
      <c r="J7" s="31">
        <v>15.4</v>
      </c>
      <c r="Q7" s="653"/>
      <c r="R7" s="209"/>
      <c r="S7" s="209"/>
      <c r="Z7" s="31">
        <v>9</v>
      </c>
      <c r="AB7" s="103">
        <f>10^(-5)</f>
        <v>1.0000000000000001E-5</v>
      </c>
      <c r="AC7" s="31" t="s">
        <v>600</v>
      </c>
      <c r="AD7" s="250">
        <f>AB7</f>
        <v>1.0000000000000001E-5</v>
      </c>
      <c r="AE7" s="653">
        <f>(LN(2)/AF7)/(60*60*24)</f>
        <v>1.2316722813264929</v>
      </c>
      <c r="AF7" s="209">
        <f>EXP(LN(AD7)+$J7*(1/$H7-1/298.15)/0.0019872)</f>
        <v>6.5135319952124355E-6</v>
      </c>
      <c r="AG7" s="156"/>
      <c r="AH7" s="156"/>
      <c r="AI7" s="156"/>
      <c r="AJ7" s="157"/>
      <c r="AK7" s="157"/>
      <c r="AL7" s="157"/>
      <c r="AR7" s="250"/>
      <c r="AS7" s="208"/>
      <c r="AT7" s="209"/>
      <c r="AU7" s="209"/>
    </row>
    <row r="8" spans="1:58" x14ac:dyDescent="0.3">
      <c r="I8" s="219"/>
      <c r="Q8" s="653"/>
      <c r="R8" s="209"/>
      <c r="S8" s="209"/>
      <c r="AE8" s="653"/>
      <c r="AF8" s="209"/>
      <c r="AG8" s="156"/>
      <c r="AH8" s="156"/>
      <c r="AI8" s="156"/>
      <c r="AJ8" s="157"/>
      <c r="AK8" s="157"/>
      <c r="AL8" s="157"/>
      <c r="AR8" s="250"/>
      <c r="AS8" s="208"/>
      <c r="AT8" s="209"/>
      <c r="AU8" s="209"/>
    </row>
    <row r="9" spans="1:58" ht="15" thickBot="1" x14ac:dyDescent="0.35">
      <c r="I9" s="219"/>
      <c r="Q9" s="653"/>
      <c r="R9" s="209"/>
      <c r="S9" s="209"/>
      <c r="AE9" s="653"/>
      <c r="AF9" s="209"/>
      <c r="AG9" s="156"/>
      <c r="AH9" s="156"/>
      <c r="AI9" s="156"/>
      <c r="AJ9" s="157"/>
      <c r="AK9" s="157"/>
      <c r="AL9" s="157"/>
      <c r="AR9" s="250"/>
      <c r="AS9" s="208"/>
      <c r="AT9" s="209"/>
      <c r="AU9" s="209"/>
    </row>
    <row r="10" spans="1:58" s="8" customFormat="1" x14ac:dyDescent="0.3">
      <c r="A10" s="37">
        <v>2</v>
      </c>
      <c r="B10" s="37" t="s">
        <v>558</v>
      </c>
      <c r="C10" s="37" t="s">
        <v>560</v>
      </c>
      <c r="D10" s="38" t="s">
        <v>945</v>
      </c>
      <c r="E10" s="37" t="s">
        <v>568</v>
      </c>
      <c r="F10" s="272" t="s">
        <v>570</v>
      </c>
      <c r="G10" s="37">
        <v>25</v>
      </c>
      <c r="H10" s="37">
        <f>G10+273.15</f>
        <v>298.14999999999998</v>
      </c>
      <c r="I10" s="218">
        <f>-LOG10(EXP(LN(10^-14)+13.36*(1/298.15-1/H10)/0.0019872))</f>
        <v>14</v>
      </c>
      <c r="J10" s="96">
        <v>17.670000000000002</v>
      </c>
      <c r="K10" s="37"/>
      <c r="L10" s="37"/>
      <c r="M10" s="122"/>
      <c r="N10" s="37"/>
      <c r="O10" s="249"/>
      <c r="P10" s="248"/>
      <c r="Q10" s="654"/>
      <c r="R10" s="215"/>
      <c r="S10" s="215"/>
      <c r="T10" s="120"/>
      <c r="U10" s="120"/>
      <c r="V10" s="120"/>
      <c r="W10" s="121"/>
      <c r="X10" s="121"/>
      <c r="Y10" s="121"/>
      <c r="Z10" s="37">
        <v>11</v>
      </c>
      <c r="AA10" s="37"/>
      <c r="AB10" s="122">
        <v>2.2000000000000001E-4</v>
      </c>
      <c r="AC10" s="122" t="s">
        <v>600</v>
      </c>
      <c r="AD10" s="249">
        <f>AB10</f>
        <v>2.2000000000000001E-4</v>
      </c>
      <c r="AE10" s="654">
        <f>(LN(2)/AF10)/(60*60*24)</f>
        <v>3.6466076418347287E-2</v>
      </c>
      <c r="AF10" s="215">
        <f>EXP(LN(AD10)+$J10*(1/$H10-1/298.15)/0.0019872)</f>
        <v>2.2000000000000001E-4</v>
      </c>
      <c r="AG10" s="158">
        <f>AE10</f>
        <v>3.6466076418347287E-2</v>
      </c>
      <c r="AH10" s="158"/>
      <c r="AI10" s="158"/>
      <c r="AJ10" s="159"/>
      <c r="AK10" s="159"/>
      <c r="AL10" s="159"/>
      <c r="AM10" s="37"/>
      <c r="AN10" s="37"/>
      <c r="AO10" s="122"/>
      <c r="AP10" s="37"/>
      <c r="AQ10" s="249"/>
      <c r="AR10" s="249"/>
      <c r="AS10" s="218"/>
      <c r="AT10" s="215"/>
      <c r="AU10" s="215"/>
      <c r="AV10" s="120"/>
      <c r="AW10" s="120"/>
      <c r="AX10" s="120"/>
      <c r="AY10" s="37"/>
      <c r="AZ10" s="37"/>
      <c r="BA10" s="37"/>
      <c r="BB10" s="186" t="s">
        <v>562</v>
      </c>
      <c r="BC10" s="186" t="s">
        <v>564</v>
      </c>
      <c r="BD10" s="186" t="s">
        <v>566</v>
      </c>
      <c r="BE10" s="37"/>
      <c r="BF10" s="37"/>
    </row>
    <row r="11" spans="1:58" x14ac:dyDescent="0.3">
      <c r="F11" s="31" t="s">
        <v>569</v>
      </c>
      <c r="G11" s="31">
        <v>25</v>
      </c>
      <c r="H11" s="31">
        <f>G11+273.15</f>
        <v>298.14999999999998</v>
      </c>
      <c r="I11" s="219">
        <f>-LOG10(EXP(LN(10^-14)+13.36*(1/298.15-1/H11)/0.0019872))</f>
        <v>14</v>
      </c>
      <c r="J11" s="92">
        <v>17.670000000000002</v>
      </c>
      <c r="K11" s="31">
        <v>5.65</v>
      </c>
      <c r="M11" s="103">
        <v>16400</v>
      </c>
      <c r="N11" s="103" t="s">
        <v>625</v>
      </c>
      <c r="O11" s="250">
        <f>P11*10^(-5)</f>
        <v>0.16400000000000001</v>
      </c>
      <c r="P11" s="250">
        <f>M11</f>
        <v>16400</v>
      </c>
      <c r="Q11" s="653">
        <f>(LN(2)/R11)/(60*60*24)</f>
        <v>4.8917907390465879E-5</v>
      </c>
      <c r="R11" s="209">
        <f>S11*10^(-5)</f>
        <v>0.16399999999999998</v>
      </c>
      <c r="S11" s="209">
        <f>EXP(LN(P11)+$J11*(1/$H11-1/298.15)/0.0019872)</f>
        <v>16399.999999999996</v>
      </c>
      <c r="T11" s="118">
        <f>Q11</f>
        <v>4.8917907390465879E-5</v>
      </c>
      <c r="AE11" s="653"/>
      <c r="AF11" s="209"/>
      <c r="AG11" s="156"/>
      <c r="AH11" s="156"/>
      <c r="AI11" s="156"/>
      <c r="AJ11" s="157"/>
      <c r="AK11" s="157"/>
      <c r="AL11" s="157"/>
      <c r="AR11" s="250"/>
      <c r="AS11" s="208"/>
      <c r="AT11" s="209"/>
      <c r="AU11" s="209"/>
      <c r="BB11" s="185" t="s">
        <v>563</v>
      </c>
      <c r="BC11" s="185" t="s">
        <v>565</v>
      </c>
      <c r="BD11" s="185" t="s">
        <v>567</v>
      </c>
    </row>
    <row r="12" spans="1:58" x14ac:dyDescent="0.3">
      <c r="I12" s="219"/>
      <c r="J12" s="92"/>
      <c r="Q12" s="653"/>
      <c r="R12" s="209"/>
      <c r="S12" s="209"/>
      <c r="AE12" s="653"/>
      <c r="AF12" s="209"/>
      <c r="AG12" s="156"/>
      <c r="AH12" s="156"/>
      <c r="AI12" s="156"/>
      <c r="AJ12" s="157"/>
      <c r="AK12" s="157"/>
      <c r="AL12" s="157"/>
      <c r="AR12" s="250"/>
      <c r="AS12" s="208"/>
      <c r="AT12" s="209"/>
      <c r="AU12" s="209"/>
    </row>
    <row r="13" spans="1:58" ht="15" thickBot="1" x14ac:dyDescent="0.35">
      <c r="I13" s="219"/>
      <c r="J13" s="92"/>
      <c r="Q13" s="653"/>
      <c r="R13" s="209"/>
      <c r="S13" s="209"/>
      <c r="AE13" s="653"/>
      <c r="AF13" s="209"/>
      <c r="AG13" s="156"/>
      <c r="AH13" s="156"/>
      <c r="AI13" s="156"/>
      <c r="AJ13" s="157"/>
      <c r="AK13" s="157"/>
      <c r="AL13" s="157"/>
      <c r="AR13" s="250"/>
      <c r="AS13" s="208"/>
      <c r="AT13" s="209"/>
      <c r="AU13" s="209"/>
    </row>
    <row r="14" spans="1:58" s="8" customFormat="1" x14ac:dyDescent="0.3">
      <c r="A14" s="37">
        <v>3</v>
      </c>
      <c r="B14" s="37" t="s">
        <v>559</v>
      </c>
      <c r="C14" s="37" t="s">
        <v>561</v>
      </c>
      <c r="D14" s="38" t="s">
        <v>945</v>
      </c>
      <c r="E14" s="37" t="s">
        <v>568</v>
      </c>
      <c r="F14" s="37" t="s">
        <v>578</v>
      </c>
      <c r="G14" s="37">
        <v>25</v>
      </c>
      <c r="H14" s="37">
        <f>G14+273.15</f>
        <v>298.14999999999998</v>
      </c>
      <c r="I14" s="218">
        <f>-LOG10(EXP(LN(10^-14)+13.36*(1/298.15-1/H14)/0.0019872))</f>
        <v>14</v>
      </c>
      <c r="J14" s="96">
        <v>17.670000000000002</v>
      </c>
      <c r="K14" s="37"/>
      <c r="L14" s="37"/>
      <c r="M14" s="122">
        <v>3.55</v>
      </c>
      <c r="N14" s="37" t="s">
        <v>625</v>
      </c>
      <c r="O14" s="249">
        <f>P14*10^(-5)</f>
        <v>3.5500000000000002E-5</v>
      </c>
      <c r="P14" s="248">
        <f>M14</f>
        <v>3.55</v>
      </c>
      <c r="Q14" s="654">
        <f>(LN(2)/R14)/(60*60*24)</f>
        <v>0.22598695245172967</v>
      </c>
      <c r="R14" s="215">
        <f>S14*10^(-5)</f>
        <v>3.5500000000000002E-5</v>
      </c>
      <c r="S14" s="215">
        <f>EXP(LN(P14)+$J14*(1/$H14-1/298.15)/0.0019872)</f>
        <v>3.55</v>
      </c>
      <c r="T14" s="120">
        <f>Q14</f>
        <v>0.22598695245172967</v>
      </c>
      <c r="U14" s="120"/>
      <c r="V14" s="120"/>
      <c r="W14" s="121"/>
      <c r="X14" s="121"/>
      <c r="Y14" s="121"/>
      <c r="Z14" s="37"/>
      <c r="AA14" s="37"/>
      <c r="AB14" s="122"/>
      <c r="AC14" s="37"/>
      <c r="AD14" s="249"/>
      <c r="AE14" s="654"/>
      <c r="AF14" s="215"/>
      <c r="AG14" s="158"/>
      <c r="AH14" s="158"/>
      <c r="AI14" s="158"/>
      <c r="AJ14" s="159"/>
      <c r="AK14" s="159"/>
      <c r="AL14" s="159"/>
      <c r="AM14" s="37"/>
      <c r="AN14" s="37"/>
      <c r="AO14" s="122"/>
      <c r="AP14" s="37"/>
      <c r="AQ14" s="249"/>
      <c r="AR14" s="249"/>
      <c r="AS14" s="214"/>
      <c r="AT14" s="215"/>
      <c r="AU14" s="215"/>
      <c r="AV14" s="120"/>
      <c r="AW14" s="120"/>
      <c r="AX14" s="120"/>
      <c r="AY14" s="37"/>
      <c r="AZ14" s="37"/>
      <c r="BA14" s="37"/>
      <c r="BB14" s="186" t="s">
        <v>571</v>
      </c>
      <c r="BC14" s="186" t="s">
        <v>574</v>
      </c>
      <c r="BD14" s="186" t="s">
        <v>577</v>
      </c>
      <c r="BE14" s="37"/>
      <c r="BF14" s="37"/>
    </row>
    <row r="15" spans="1:58" x14ac:dyDescent="0.3">
      <c r="I15" s="219"/>
      <c r="J15" s="92"/>
      <c r="Q15" s="653"/>
      <c r="R15" s="209"/>
      <c r="S15" s="209"/>
      <c r="AE15" s="653"/>
      <c r="AF15" s="209"/>
      <c r="AG15" s="156"/>
      <c r="AH15" s="156"/>
      <c r="AI15" s="156"/>
      <c r="AJ15" s="157"/>
      <c r="AK15" s="157"/>
      <c r="AL15" s="157"/>
      <c r="AR15" s="250"/>
      <c r="AS15" s="208"/>
      <c r="AT15" s="209"/>
      <c r="AU15" s="209"/>
      <c r="BB15" s="185" t="s">
        <v>572</v>
      </c>
      <c r="BC15" s="185" t="s">
        <v>575</v>
      </c>
    </row>
    <row r="16" spans="1:58" ht="15" thickBot="1" x14ac:dyDescent="0.35">
      <c r="I16" s="219"/>
      <c r="J16" s="92"/>
      <c r="Q16" s="653"/>
      <c r="R16" s="209"/>
      <c r="S16" s="209"/>
      <c r="AE16" s="653"/>
      <c r="AF16" s="209"/>
      <c r="AG16" s="156"/>
      <c r="AH16" s="156"/>
      <c r="AI16" s="156"/>
      <c r="AJ16" s="157"/>
      <c r="AK16" s="157"/>
      <c r="AL16" s="157"/>
      <c r="AR16" s="250"/>
      <c r="AS16" s="208"/>
      <c r="AT16" s="209"/>
      <c r="AU16" s="209"/>
      <c r="BB16" s="185" t="s">
        <v>573</v>
      </c>
      <c r="BC16" s="185" t="s">
        <v>576</v>
      </c>
    </row>
    <row r="17" spans="1:58" s="8" customFormat="1" x14ac:dyDescent="0.3">
      <c r="A17" s="37">
        <v>4</v>
      </c>
      <c r="B17" s="37" t="s">
        <v>579</v>
      </c>
      <c r="C17" s="37" t="s">
        <v>582</v>
      </c>
      <c r="D17" s="38" t="s">
        <v>945</v>
      </c>
      <c r="E17" s="37" t="s">
        <v>583</v>
      </c>
      <c r="F17" s="37" t="s">
        <v>584</v>
      </c>
      <c r="G17" s="37">
        <v>25</v>
      </c>
      <c r="H17" s="37">
        <f>G17+273.15</f>
        <v>298.14999999999998</v>
      </c>
      <c r="I17" s="218">
        <f>-LOG10(EXP(LN(10^-14)+13.36*(1/298.15-1/H17)/0.0019872))</f>
        <v>14</v>
      </c>
      <c r="J17" s="96">
        <v>17.670000000000002</v>
      </c>
      <c r="K17" s="37">
        <v>4</v>
      </c>
      <c r="L17" s="37"/>
      <c r="M17" s="788">
        <f>10^(-1.1)</f>
        <v>7.9432823472428096E-2</v>
      </c>
      <c r="N17" s="37" t="s">
        <v>600</v>
      </c>
      <c r="O17" s="249">
        <f>M17*10^(K17-5)</f>
        <v>7.9432823472428103E-3</v>
      </c>
      <c r="P17" s="249">
        <f>O17*10^5</f>
        <v>794.32823472428106</v>
      </c>
      <c r="Q17" s="654">
        <f>(LN(2)/R17)/(60*60*24)</f>
        <v>1.0099775459726794E-3</v>
      </c>
      <c r="R17" s="215">
        <f>S17*10^(-5)</f>
        <v>7.9432823472428155E-3</v>
      </c>
      <c r="S17" s="215">
        <f>EXP(LN(P17)+$J17*(1/$H17-1/298.15)/0.0019872)</f>
        <v>794.3282347242814</v>
      </c>
      <c r="T17" s="120">
        <f>Q17</f>
        <v>1.0099775459726794E-3</v>
      </c>
      <c r="U17" s="120"/>
      <c r="V17" s="120"/>
      <c r="W17" s="121"/>
      <c r="X17" s="121"/>
      <c r="Y17" s="121"/>
      <c r="Z17" s="37">
        <v>7</v>
      </c>
      <c r="AA17" s="37"/>
      <c r="AB17" s="788">
        <f>10^(-1.6)</f>
        <v>2.511886431509578E-2</v>
      </c>
      <c r="AC17" s="37" t="s">
        <v>600</v>
      </c>
      <c r="AD17" s="249">
        <f>AB17</f>
        <v>2.511886431509578E-2</v>
      </c>
      <c r="AE17" s="654">
        <f>(LN(2)/AF17)/(60*60*24)</f>
        <v>3.1938294309010888E-4</v>
      </c>
      <c r="AF17" s="215">
        <f>EXP(LN(AD17)+$J17*(1/$H17-1/298.15)/0.0019872)</f>
        <v>2.5118864315095784E-2</v>
      </c>
      <c r="AG17" s="162">
        <f>AVERAGE(AE17:AE18)</f>
        <v>3.1938294309010888E-4</v>
      </c>
      <c r="AH17" s="162">
        <f>MEDIAN(AE17:AE18)</f>
        <v>3.1938294309010888E-4</v>
      </c>
      <c r="AI17" s="158">
        <f>_xlfn.STDEV.S(AE17:AE18)</f>
        <v>0</v>
      </c>
      <c r="AJ17" s="159"/>
      <c r="AK17" s="159"/>
      <c r="AL17" s="159"/>
      <c r="AM17" s="37"/>
      <c r="AN17" s="37"/>
      <c r="AO17" s="122"/>
      <c r="AP17" s="37"/>
      <c r="AQ17" s="249"/>
      <c r="AR17" s="249"/>
      <c r="AS17" s="645"/>
      <c r="AT17" s="215"/>
      <c r="AU17" s="215"/>
      <c r="AV17" s="120"/>
      <c r="AW17" s="120"/>
      <c r="AX17" s="120"/>
      <c r="AY17" s="37"/>
      <c r="AZ17" s="37"/>
      <c r="BA17" s="37"/>
      <c r="BB17" s="186"/>
      <c r="BC17" s="186"/>
      <c r="BD17" s="186"/>
      <c r="BE17" s="37"/>
      <c r="BF17" s="37"/>
    </row>
    <row r="18" spans="1:58" x14ac:dyDescent="0.3">
      <c r="G18" s="31">
        <v>25</v>
      </c>
      <c r="H18" s="31">
        <f>G18+273.15</f>
        <v>298.14999999999998</v>
      </c>
      <c r="I18" s="219">
        <f>-LOG10(EXP(LN(10^-14)+13.36*(1/298.15-1/H18)/0.0019872))</f>
        <v>14</v>
      </c>
      <c r="J18" s="92">
        <v>17.670000000000002</v>
      </c>
      <c r="Q18" s="653"/>
      <c r="R18" s="209"/>
      <c r="S18" s="209"/>
      <c r="Z18" s="31">
        <v>9</v>
      </c>
      <c r="AB18" s="787">
        <f>10^(-1.6)</f>
        <v>2.511886431509578E-2</v>
      </c>
      <c r="AC18" s="31" t="s">
        <v>600</v>
      </c>
      <c r="AD18" s="250">
        <f>AB18</f>
        <v>2.511886431509578E-2</v>
      </c>
      <c r="AE18" s="653">
        <f>(LN(2)/AF18)/(60*60*24)</f>
        <v>3.1938294309010888E-4</v>
      </c>
      <c r="AF18" s="209">
        <f>EXP(LN(AD18)+$J18*(1/$H18-1/298.15)/0.0019872)</f>
        <v>2.5118864315095784E-2</v>
      </c>
      <c r="AG18" s="156"/>
      <c r="AH18" s="156"/>
      <c r="AI18" s="156"/>
      <c r="AJ18" s="157"/>
      <c r="AK18" s="157"/>
      <c r="AL18" s="157"/>
      <c r="AR18" s="250"/>
      <c r="AS18" s="208"/>
      <c r="AT18" s="209"/>
      <c r="AU18" s="209"/>
    </row>
    <row r="19" spans="1:58" x14ac:dyDescent="0.3">
      <c r="I19" s="219"/>
      <c r="J19" s="92"/>
      <c r="Q19" s="653"/>
      <c r="R19" s="209"/>
      <c r="S19" s="209"/>
      <c r="AE19" s="653"/>
      <c r="AF19" s="209"/>
      <c r="AG19" s="156"/>
      <c r="AH19" s="156"/>
      <c r="AI19" s="156"/>
      <c r="AJ19" s="157"/>
      <c r="AK19" s="157"/>
      <c r="AL19" s="157"/>
      <c r="AR19" s="250"/>
      <c r="AS19" s="208"/>
      <c r="AT19" s="209"/>
      <c r="AU19" s="209"/>
    </row>
    <row r="20" spans="1:58" x14ac:dyDescent="0.3">
      <c r="I20" s="219"/>
      <c r="J20" s="92"/>
      <c r="Q20" s="653"/>
      <c r="R20" s="209"/>
      <c r="S20" s="209"/>
      <c r="AE20" s="653"/>
      <c r="AF20" s="209"/>
      <c r="AG20" s="156"/>
      <c r="AH20" s="156"/>
      <c r="AI20" s="156"/>
      <c r="AJ20" s="157"/>
      <c r="AK20" s="157"/>
      <c r="AL20" s="157"/>
      <c r="AR20" s="250"/>
      <c r="AS20" s="208"/>
      <c r="AT20" s="209"/>
      <c r="AU20" s="209"/>
    </row>
    <row r="21" spans="1:58" x14ac:dyDescent="0.3">
      <c r="I21" s="219"/>
      <c r="J21" s="92"/>
      <c r="Q21" s="653"/>
      <c r="R21" s="209"/>
      <c r="S21" s="209"/>
      <c r="AE21" s="653"/>
      <c r="AF21" s="209"/>
      <c r="AG21" s="156"/>
      <c r="AH21" s="156"/>
      <c r="AI21" s="156"/>
      <c r="AJ21" s="157"/>
      <c r="AK21" s="157"/>
      <c r="AL21" s="157"/>
      <c r="AR21" s="250"/>
      <c r="AS21" s="208"/>
      <c r="AT21" s="209"/>
      <c r="AU21" s="209"/>
    </row>
    <row r="22" spans="1:58" ht="15" thickBot="1" x14ac:dyDescent="0.35">
      <c r="I22" s="219"/>
      <c r="J22" s="92"/>
      <c r="Q22" s="653"/>
      <c r="R22" s="209"/>
      <c r="S22" s="209"/>
      <c r="AE22" s="653"/>
      <c r="AF22" s="209"/>
      <c r="AG22" s="156"/>
      <c r="AH22" s="156"/>
      <c r="AI22" s="156"/>
      <c r="AJ22" s="157"/>
      <c r="AK22" s="157"/>
      <c r="AL22" s="157"/>
      <c r="AR22" s="250"/>
      <c r="AS22" s="208"/>
      <c r="AT22" s="209"/>
      <c r="AU22" s="209"/>
    </row>
    <row r="23" spans="1:58" s="8" customFormat="1" x14ac:dyDescent="0.3">
      <c r="A23" s="37">
        <v>5</v>
      </c>
      <c r="B23" s="37" t="s">
        <v>580</v>
      </c>
      <c r="C23" s="37" t="s">
        <v>581</v>
      </c>
      <c r="D23" s="38" t="s">
        <v>945</v>
      </c>
      <c r="E23" s="37" t="s">
        <v>583</v>
      </c>
      <c r="F23" s="37" t="s">
        <v>584</v>
      </c>
      <c r="G23" s="37">
        <v>25</v>
      </c>
      <c r="H23" s="37">
        <f>G23+273.15</f>
        <v>298.14999999999998</v>
      </c>
      <c r="I23" s="218">
        <f>-LOG10(EXP(LN(10^-14)+13.36*(1/298.15-1/H23)/0.0019872))</f>
        <v>14</v>
      </c>
      <c r="J23" s="96">
        <v>17.670000000000002</v>
      </c>
      <c r="K23" s="37">
        <v>4.0999999999999996</v>
      </c>
      <c r="L23" s="37"/>
      <c r="M23" s="122">
        <f>10^(-0.9)</f>
        <v>0.12589254117941667</v>
      </c>
      <c r="N23" s="37" t="s">
        <v>600</v>
      </c>
      <c r="O23" s="249">
        <f>M23*10^(K23-5)</f>
        <v>1.584893192461111E-2</v>
      </c>
      <c r="P23" s="249">
        <f>O23*10^5</f>
        <v>1584.8931924611111</v>
      </c>
      <c r="Q23" s="654">
        <f>(LN(2)/R23)/(60*60*24)</f>
        <v>5.0618785229170906E-4</v>
      </c>
      <c r="R23" s="215">
        <f>S23*10^(-5)</f>
        <v>1.5848931924611117E-2</v>
      </c>
      <c r="S23" s="215">
        <f>EXP(LN(P23)+$J23*(1/$H23-1/298.15)/0.0019872)</f>
        <v>1584.8931924611115</v>
      </c>
      <c r="T23" s="120">
        <f>Q23</f>
        <v>5.0618785229170906E-4</v>
      </c>
      <c r="U23" s="120"/>
      <c r="V23" s="120"/>
      <c r="W23" s="121"/>
      <c r="X23" s="121"/>
      <c r="Y23" s="121"/>
      <c r="Z23" s="37">
        <v>7</v>
      </c>
      <c r="AA23" s="37"/>
      <c r="AB23" s="122">
        <f>10^(-3.2)</f>
        <v>6.3095734448019244E-4</v>
      </c>
      <c r="AC23" s="37" t="s">
        <v>600</v>
      </c>
      <c r="AD23" s="249">
        <f>AB23</f>
        <v>6.3095734448019244E-4</v>
      </c>
      <c r="AE23" s="654">
        <f>(LN(2)/AF23)/(60*60*24)</f>
        <v>1.27148639796652E-2</v>
      </c>
      <c r="AF23" s="215">
        <f>EXP(LN(AD23)+$J23*(1/$H23-1/298.15)/0.0019872)</f>
        <v>6.3095734448019233E-4</v>
      </c>
      <c r="AG23" s="275">
        <f>AVERAGE(AE23:AE24)</f>
        <v>1.27148639796652E-2</v>
      </c>
      <c r="AH23" s="275">
        <f>MEDIAN(AE23:AE24)</f>
        <v>1.27148639796652E-2</v>
      </c>
      <c r="AI23" s="158">
        <v>0</v>
      </c>
      <c r="AJ23" s="159"/>
      <c r="AK23" s="159"/>
      <c r="AL23" s="159"/>
      <c r="AM23" s="37"/>
      <c r="AN23" s="37"/>
      <c r="AO23" s="122"/>
      <c r="AP23" s="37"/>
      <c r="AQ23" s="249"/>
      <c r="AR23" s="249"/>
      <c r="AS23" s="655"/>
      <c r="AT23" s="215"/>
      <c r="AU23" s="215"/>
      <c r="AV23" s="120"/>
      <c r="AW23" s="120"/>
      <c r="AX23" s="120"/>
      <c r="AY23" s="37"/>
      <c r="AZ23" s="37"/>
      <c r="BA23" s="37"/>
      <c r="BB23" s="186"/>
      <c r="BC23" s="186"/>
      <c r="BD23" s="186"/>
      <c r="BE23" s="37"/>
      <c r="BF23" s="37"/>
    </row>
    <row r="24" spans="1:58" x14ac:dyDescent="0.3">
      <c r="G24" s="31">
        <v>25</v>
      </c>
      <c r="H24" s="31">
        <f>G24+273.15</f>
        <v>298.14999999999998</v>
      </c>
      <c r="I24" s="219">
        <f>-LOG10(EXP(LN(10^-14)+13.36*(1/298.15-1/H24)/0.0019872))</f>
        <v>14</v>
      </c>
      <c r="J24" s="92">
        <v>17.670000000000002</v>
      </c>
      <c r="P24" s="250"/>
      <c r="Q24" s="653"/>
      <c r="R24" s="209"/>
      <c r="S24" s="209"/>
      <c r="Z24" s="31">
        <v>9</v>
      </c>
      <c r="AB24" s="103">
        <f>10^(-3.2)</f>
        <v>6.3095734448019244E-4</v>
      </c>
      <c r="AC24" s="31" t="s">
        <v>600</v>
      </c>
      <c r="AD24" s="250">
        <f>AB24</f>
        <v>6.3095734448019244E-4</v>
      </c>
      <c r="AE24" s="653">
        <f>(LN(2)/AF24)/(60*60*24)</f>
        <v>1.27148639796652E-2</v>
      </c>
      <c r="AF24" s="209">
        <f>EXP(LN(AD24)+$J24*(1/$H24-1/298.15)/0.0019872)</f>
        <v>6.3095734448019233E-4</v>
      </c>
      <c r="AG24" s="156"/>
      <c r="AH24" s="156"/>
      <c r="AI24" s="156"/>
      <c r="AJ24" s="157"/>
      <c r="AK24" s="157"/>
      <c r="AL24" s="157"/>
      <c r="AR24" s="250"/>
      <c r="AS24" s="656"/>
      <c r="AT24" s="209"/>
      <c r="AU24" s="209"/>
    </row>
    <row r="25" spans="1:58" ht="15" thickBot="1" x14ac:dyDescent="0.35">
      <c r="I25" s="219"/>
      <c r="J25" s="92"/>
      <c r="Q25" s="653"/>
      <c r="R25" s="209"/>
      <c r="S25" s="209"/>
      <c r="AE25" s="653"/>
      <c r="AF25" s="209"/>
      <c r="AG25" s="156"/>
      <c r="AH25" s="156"/>
      <c r="AI25" s="156"/>
      <c r="AJ25" s="157"/>
      <c r="AK25" s="157"/>
      <c r="AL25" s="157"/>
      <c r="AS25" s="208"/>
      <c r="AT25" s="209"/>
      <c r="AU25" s="209"/>
    </row>
    <row r="26" spans="1:58" s="8" customFormat="1" x14ac:dyDescent="0.3">
      <c r="A26" s="37">
        <v>6</v>
      </c>
      <c r="B26" s="37" t="s">
        <v>585</v>
      </c>
      <c r="C26" s="37" t="s">
        <v>586</v>
      </c>
      <c r="D26" s="38" t="s">
        <v>945</v>
      </c>
      <c r="E26" s="37" t="s">
        <v>587</v>
      </c>
      <c r="F26" s="37" t="s">
        <v>680</v>
      </c>
      <c r="G26" s="37">
        <v>20</v>
      </c>
      <c r="H26" s="37">
        <f>G26+273.15</f>
        <v>293.14999999999998</v>
      </c>
      <c r="I26" s="218">
        <f>-LOG10(EXP(LN(10^-14)+13.36*(1/298.15-1/H26)/0.0019872))</f>
        <v>14.167030000755094</v>
      </c>
      <c r="J26" s="88">
        <v>18.989999999999998</v>
      </c>
      <c r="K26" s="37" t="s">
        <v>688</v>
      </c>
      <c r="L26" s="37"/>
      <c r="M26" s="122">
        <v>5.3299999999999997E-3</v>
      </c>
      <c r="N26" s="37" t="s">
        <v>687</v>
      </c>
      <c r="O26" s="249">
        <f>P26*10^(-5)</f>
        <v>5.3300000000000001E-8</v>
      </c>
      <c r="P26" s="249">
        <f>M26</f>
        <v>5.3299999999999997E-3</v>
      </c>
      <c r="Q26" s="654">
        <f>(LN(2)/R26)/(60*60*24)</f>
        <v>87.129829914293524</v>
      </c>
      <c r="R26" s="215">
        <f>S26*10^(-5)</f>
        <v>9.2075662490422456E-8</v>
      </c>
      <c r="S26" s="215">
        <f>EXP(LN(P26)+$J26*(1/$H26-1/298.15)/0.0019872)</f>
        <v>9.2075662490422455E-3</v>
      </c>
      <c r="T26" s="883">
        <f>AVERAGE(Q26:Q27)</f>
        <v>88.134563912904554</v>
      </c>
      <c r="U26" s="120">
        <f>MEDIAN(Q26:Q27)</f>
        <v>88.134563912904554</v>
      </c>
      <c r="V26" s="120">
        <f>STDEV(Q26:Q27)</f>
        <v>1.4209084474130795</v>
      </c>
      <c r="W26" s="121"/>
      <c r="X26" s="121"/>
      <c r="Y26" s="121"/>
      <c r="Z26" s="37">
        <v>7</v>
      </c>
      <c r="AA26" s="37"/>
      <c r="AB26" s="122">
        <v>3.5999999999999999E-7</v>
      </c>
      <c r="AC26" s="37" t="s">
        <v>600</v>
      </c>
      <c r="AD26" s="249">
        <f>AB26</f>
        <v>3.5999999999999999E-7</v>
      </c>
      <c r="AE26" s="654">
        <f>(LN(2)/AF26)/(60*60*24)</f>
        <v>12.900055373421765</v>
      </c>
      <c r="AF26" s="215">
        <f>EXP(LN(AD26)+$J26*(1/$H26-1/298.15)/0.0019872)</f>
        <v>6.2189940894094095E-7</v>
      </c>
      <c r="AG26" s="163">
        <f>AVERAGE(AE26:AE29)</f>
        <v>12.91784515604731</v>
      </c>
      <c r="AH26" s="163">
        <f>MEDIAN(AE26:AE29)</f>
        <v>12.562702264172984</v>
      </c>
      <c r="AI26" s="275">
        <f>STDEV(AE26:AE29)</f>
        <v>1.0653565844346191</v>
      </c>
      <c r="AJ26" s="276"/>
      <c r="AK26" s="276"/>
      <c r="AL26" s="276"/>
      <c r="AM26" s="37"/>
      <c r="AN26" s="37"/>
      <c r="AO26" s="122"/>
      <c r="AP26" s="37"/>
      <c r="AQ26" s="249"/>
      <c r="AR26" s="248"/>
      <c r="AS26" s="214"/>
      <c r="AT26" s="215"/>
      <c r="AU26" s="215"/>
      <c r="AV26" s="120"/>
      <c r="AW26" s="120"/>
      <c r="AX26" s="120"/>
      <c r="AY26" s="37"/>
      <c r="AZ26" s="37"/>
      <c r="BA26" s="37"/>
      <c r="BB26" s="186"/>
      <c r="BC26" s="186"/>
      <c r="BD26" s="186"/>
      <c r="BE26" s="37"/>
      <c r="BF26" s="37"/>
    </row>
    <row r="27" spans="1:58" x14ac:dyDescent="0.3">
      <c r="E27" s="31" t="s">
        <v>588</v>
      </c>
      <c r="F27" s="31" t="s">
        <v>681</v>
      </c>
      <c r="G27" s="31">
        <v>25</v>
      </c>
      <c r="H27" s="31">
        <f>G27+273.15</f>
        <v>298.14999999999998</v>
      </c>
      <c r="I27" s="219">
        <f>-LOG10(EXP(LN(10^-14)+13.36*(1/298.15-1/H27)/0.0019872))</f>
        <v>14</v>
      </c>
      <c r="J27" s="91">
        <v>18.989999999999998</v>
      </c>
      <c r="K27" s="31" t="s">
        <v>688</v>
      </c>
      <c r="M27" s="103">
        <v>8.9999999999999993E-3</v>
      </c>
      <c r="N27" s="31" t="s">
        <v>687</v>
      </c>
      <c r="O27" s="250">
        <f>P27*10^(-5)</f>
        <v>8.9999999999999999E-8</v>
      </c>
      <c r="P27" s="250">
        <f>M27</f>
        <v>8.9999999999999993E-3</v>
      </c>
      <c r="Q27" s="653">
        <f>(LN(2)/R27)/(60*60*24)</f>
        <v>89.139297911515598</v>
      </c>
      <c r="R27" s="209">
        <f>S27*10^(-5)</f>
        <v>8.9999999999999999E-8</v>
      </c>
      <c r="S27" s="209">
        <f>EXP(LN(P27)+$J27*(1/$H27-1/298.15)/0.0019872)</f>
        <v>8.9999999999999993E-3</v>
      </c>
      <c r="Z27" s="31">
        <v>7</v>
      </c>
      <c r="AB27" s="103">
        <v>5.5599999999999995E-7</v>
      </c>
      <c r="AC27" s="31" t="s">
        <v>600</v>
      </c>
      <c r="AD27" s="250">
        <f>AB27</f>
        <v>5.5599999999999995E-7</v>
      </c>
      <c r="AE27" s="653">
        <f>(LN(2)/AF27)/(60*60*24)</f>
        <v>14.429023043230931</v>
      </c>
      <c r="AF27" s="209">
        <f>EXP(LN(AD27)+$J27*(1/$H27-1/298.15)/0.0019872)</f>
        <v>5.5600000000000037E-7</v>
      </c>
      <c r="AG27" s="156"/>
      <c r="AH27" s="156"/>
      <c r="AI27" s="156"/>
      <c r="AJ27" s="157"/>
      <c r="AK27" s="157"/>
      <c r="AL27" s="157"/>
      <c r="AO27" s="103">
        <v>1.05</v>
      </c>
      <c r="AP27" s="277" t="s">
        <v>625</v>
      </c>
      <c r="AQ27" s="250">
        <f>AR27*10^(9-$I27)</f>
        <v>1.0500000000000001E-5</v>
      </c>
      <c r="AR27" s="250">
        <f>AO27</f>
        <v>1.05</v>
      </c>
      <c r="AS27" s="208">
        <f>(LN(2)/AT27)/(60*60*24)</f>
        <v>0.76405112495584793</v>
      </c>
      <c r="AT27" s="209">
        <f>AU27*10^(9-14)</f>
        <v>1.0500000000000001E-5</v>
      </c>
      <c r="AU27" s="209">
        <f>EXP(LN(AR27)+$J27*(1/$H27-1/298.15)/0.0019872)</f>
        <v>1.05</v>
      </c>
      <c r="AV27" s="117">
        <f>AS27</f>
        <v>0.76405112495584793</v>
      </c>
    </row>
    <row r="28" spans="1:58" x14ac:dyDescent="0.3">
      <c r="E28" s="31" t="s">
        <v>588</v>
      </c>
      <c r="F28" s="31" t="s">
        <v>682</v>
      </c>
      <c r="G28" s="31">
        <v>60</v>
      </c>
      <c r="H28" s="31">
        <f>G28+273.15</f>
        <v>333.15</v>
      </c>
      <c r="I28" s="219">
        <f>-LOG10(EXP(LN(10^-14)+13.36*(1/298.15-1/H28)/0.0019872))</f>
        <v>12.971172405674658</v>
      </c>
      <c r="J28" s="91">
        <v>18.989999999999998</v>
      </c>
      <c r="P28" s="250"/>
      <c r="Q28" s="653"/>
      <c r="R28" s="209"/>
      <c r="S28" s="209"/>
      <c r="Z28" s="31">
        <v>7</v>
      </c>
      <c r="AB28" s="103">
        <v>1.9199999999999999E-5</v>
      </c>
      <c r="AC28" s="31" t="s">
        <v>600</v>
      </c>
      <c r="AD28" s="250">
        <f>AB28</f>
        <v>1.9199999999999999E-5</v>
      </c>
      <c r="AE28" s="653">
        <f>(LN(2)/AF28)/(60*60*24)</f>
        <v>12.116953052612343</v>
      </c>
      <c r="AF28" s="209">
        <f>EXP(LN(AD28)+$J28*(1/$H28-1/298.15)/0.0019872)</f>
        <v>6.6209192832572644E-7</v>
      </c>
      <c r="AG28" s="156"/>
      <c r="AH28" s="156"/>
      <c r="AI28" s="156"/>
      <c r="AJ28" s="157"/>
      <c r="AK28" s="157"/>
      <c r="AL28" s="157"/>
      <c r="AR28" s="250"/>
      <c r="AS28" s="208"/>
      <c r="AT28" s="209"/>
      <c r="AU28" s="209"/>
    </row>
    <row r="29" spans="1:58" x14ac:dyDescent="0.3">
      <c r="E29" s="31" t="s">
        <v>588</v>
      </c>
      <c r="F29" s="31" t="s">
        <v>683</v>
      </c>
      <c r="G29" s="31">
        <v>70</v>
      </c>
      <c r="H29" s="31">
        <f>G29+273.15</f>
        <v>343.15</v>
      </c>
      <c r="I29" s="219">
        <f>-LOG10(EXP(LN(10^-14)+13.36*(1/298.15-1/H29)/0.0019872))</f>
        <v>12.715769772716893</v>
      </c>
      <c r="J29" s="91">
        <v>18.989999999999998</v>
      </c>
      <c r="P29" s="250"/>
      <c r="Q29" s="653"/>
      <c r="R29" s="209"/>
      <c r="S29" s="209"/>
      <c r="Z29" s="31">
        <v>7</v>
      </c>
      <c r="AB29" s="103">
        <v>4.3900000000000003E-5</v>
      </c>
      <c r="AC29" s="31" t="s">
        <v>600</v>
      </c>
      <c r="AD29" s="250">
        <f>AB29</f>
        <v>4.3900000000000003E-5</v>
      </c>
      <c r="AE29" s="653">
        <f>(LN(2)/AF29)/(60*60*24)</f>
        <v>12.225349154924205</v>
      </c>
      <c r="AF29" s="209">
        <f>EXP(LN(AD29)+$J29*(1/$H29-1/298.15)/0.0019872)</f>
        <v>6.5622148785869519E-7</v>
      </c>
      <c r="AG29" s="156"/>
      <c r="AH29" s="156"/>
      <c r="AI29" s="156"/>
      <c r="AJ29" s="157"/>
      <c r="AK29" s="157"/>
      <c r="AL29" s="157"/>
      <c r="AR29" s="250"/>
      <c r="AS29" s="208"/>
      <c r="AT29" s="209"/>
      <c r="AU29" s="209"/>
    </row>
    <row r="30" spans="1:58" ht="15" thickBot="1" x14ac:dyDescent="0.35">
      <c r="I30" s="219"/>
      <c r="J30" s="91"/>
      <c r="P30" s="250"/>
      <c r="Q30" s="653"/>
      <c r="R30" s="209"/>
      <c r="S30" s="209"/>
      <c r="AE30" s="653"/>
      <c r="AF30" s="209"/>
      <c r="AG30" s="156"/>
      <c r="AH30" s="156"/>
      <c r="AI30" s="156"/>
      <c r="AJ30" s="157"/>
      <c r="AK30" s="157"/>
      <c r="AL30" s="157"/>
      <c r="AR30" s="250"/>
      <c r="AS30" s="208"/>
      <c r="AT30" s="209"/>
      <c r="AU30" s="209"/>
    </row>
    <row r="31" spans="1:58" s="8" customFormat="1" x14ac:dyDescent="0.3">
      <c r="A31" s="37">
        <v>7</v>
      </c>
      <c r="B31" s="37" t="s">
        <v>589</v>
      </c>
      <c r="C31" s="37" t="s">
        <v>590</v>
      </c>
      <c r="D31" s="38" t="s">
        <v>945</v>
      </c>
      <c r="E31" s="37" t="s">
        <v>591</v>
      </c>
      <c r="F31" s="37" t="s">
        <v>684</v>
      </c>
      <c r="G31" s="37">
        <v>25</v>
      </c>
      <c r="H31" s="37">
        <f>G31+273.15</f>
        <v>298.14999999999998</v>
      </c>
      <c r="I31" s="218">
        <f>-LOG10(EXP(LN(10^-14)+13.36*(1/298.15-1/H31)/0.0019872))</f>
        <v>14</v>
      </c>
      <c r="J31" s="88">
        <v>18.62</v>
      </c>
      <c r="K31" s="37"/>
      <c r="L31" s="37"/>
      <c r="M31" s="122"/>
      <c r="N31" s="37"/>
      <c r="O31" s="249"/>
      <c r="P31" s="249"/>
      <c r="Q31" s="654"/>
      <c r="R31" s="215"/>
      <c r="S31" s="215"/>
      <c r="T31" s="120"/>
      <c r="U31" s="120"/>
      <c r="V31" s="120"/>
      <c r="W31" s="121"/>
      <c r="X31" s="121"/>
      <c r="Y31" s="121"/>
      <c r="Z31" s="37">
        <v>7</v>
      </c>
      <c r="AA31" s="37"/>
      <c r="AB31" s="122">
        <v>6.8999999999999996E-7</v>
      </c>
      <c r="AC31" s="37" t="s">
        <v>600</v>
      </c>
      <c r="AD31" s="249">
        <f>AB31</f>
        <v>6.8999999999999996E-7</v>
      </c>
      <c r="AE31" s="654">
        <f>(LN(2)/AF31)/(60*60*24)</f>
        <v>11.626864944980301</v>
      </c>
      <c r="AF31" s="215">
        <f>EXP(LN(AD31)+$J31*(1/$H31-1/298.15)/0.0019872)</f>
        <v>6.8999999999999964E-7</v>
      </c>
      <c r="AG31" s="163">
        <f>AVERAGE(AE31:AE33)</f>
        <v>11.381150265674357</v>
      </c>
      <c r="AH31" s="163">
        <f>MEDIAN(AE31:AE33)</f>
        <v>11.626864944980301</v>
      </c>
      <c r="AI31" s="158">
        <f>STDEV(AE31:AE33)</f>
        <v>0.95656884031277312</v>
      </c>
      <c r="AJ31" s="159"/>
      <c r="AK31" s="159"/>
      <c r="AL31" s="159"/>
      <c r="AM31" s="37"/>
      <c r="AN31" s="37"/>
      <c r="AO31" s="122">
        <v>8.7000000000000001E-5</v>
      </c>
      <c r="AP31" s="278" t="s">
        <v>625</v>
      </c>
      <c r="AQ31" s="249">
        <f>AR31*10^(9-$I31)</f>
        <v>8.700000000000001E-10</v>
      </c>
      <c r="AR31" s="249">
        <f>AO31</f>
        <v>8.7000000000000001E-5</v>
      </c>
      <c r="AS31" s="214">
        <f>(LN(2)/AT31)/(60*60*24)</f>
        <v>9221.3066805016078</v>
      </c>
      <c r="AT31" s="215">
        <f>AU31*10^(9-14)</f>
        <v>8.7000000000000051E-10</v>
      </c>
      <c r="AU31" s="215">
        <f>EXP(LN(AR31)+$J31*(1/$H31-1/298.15)/0.0019872)</f>
        <v>8.7000000000000041E-5</v>
      </c>
      <c r="AV31" s="120">
        <f>AVERAGE(AS31:AS32)</f>
        <v>9531.3409023955919</v>
      </c>
      <c r="AW31" s="120">
        <f>MEDIAN(AS31:AS32)</f>
        <v>9531.3409023955919</v>
      </c>
      <c r="AX31" s="120">
        <f>STDEV(AS31:AS32)</f>
        <v>438.4546014022618</v>
      </c>
      <c r="AY31" s="37"/>
      <c r="AZ31" s="37"/>
      <c r="BA31" s="37"/>
      <c r="BB31" s="186"/>
      <c r="BC31" s="186"/>
      <c r="BD31" s="186"/>
      <c r="BE31" s="37"/>
      <c r="BF31" s="37"/>
    </row>
    <row r="32" spans="1:58" x14ac:dyDescent="0.3">
      <c r="E32" s="31" t="s">
        <v>592</v>
      </c>
      <c r="F32" s="31" t="s">
        <v>685</v>
      </c>
      <c r="G32" s="31">
        <v>37</v>
      </c>
      <c r="H32" s="31">
        <f>G32+273.15</f>
        <v>310.14999999999998</v>
      </c>
      <c r="I32" s="219">
        <f>-LOG10(EXP(LN(10^-14)+13.36*(1/298.15-1/H32)/0.0019872))</f>
        <v>13.621100669575195</v>
      </c>
      <c r="J32" s="91">
        <v>18.62</v>
      </c>
      <c r="K32" s="31" t="s">
        <v>688</v>
      </c>
      <c r="M32" s="103">
        <v>0.124</v>
      </c>
      <c r="N32" s="31" t="s">
        <v>687</v>
      </c>
      <c r="O32" s="250">
        <f>P32*10^(-5)</f>
        <v>1.2400000000000002E-6</v>
      </c>
      <c r="P32" s="250">
        <f>M32</f>
        <v>0.124</v>
      </c>
      <c r="Q32" s="653">
        <f>(LN(2)/R32)/(60*60*24)</f>
        <v>21.825630315964794</v>
      </c>
      <c r="R32" s="209">
        <f>S32*10^(-5)</f>
        <v>3.6757411794738222E-7</v>
      </c>
      <c r="S32" s="209">
        <f>EXP(LN(P32)+$J32*(1/$H32-1/298.15)/0.0019872)</f>
        <v>3.6757411794738216E-2</v>
      </c>
      <c r="T32" s="118">
        <f>AVERAGE(Q32:Q35)</f>
        <v>19.357780765132716</v>
      </c>
      <c r="U32" s="118">
        <f>MEDIAN(Q32:Q35)</f>
        <v>18.164808604260561</v>
      </c>
      <c r="V32" s="118">
        <f>STDEV(Q32:Q35)</f>
        <v>2.1376127270379306</v>
      </c>
      <c r="Z32" s="31">
        <v>7</v>
      </c>
      <c r="AB32" s="103">
        <v>2.2199999999999999E-6</v>
      </c>
      <c r="AC32" s="31" t="s">
        <v>600</v>
      </c>
      <c r="AD32" s="250">
        <f>AB32</f>
        <v>2.2199999999999999E-6</v>
      </c>
      <c r="AE32" s="653">
        <f>(LN(2)/AF32)/(60*60*24)</f>
        <v>12.190892608917268</v>
      </c>
      <c r="AF32" s="209">
        <f>EXP(LN(AD32)+$J32*(1/$H32-1/298.15)/0.0019872)</f>
        <v>6.5807624342192639E-7</v>
      </c>
      <c r="AG32" s="156"/>
      <c r="AH32" s="156"/>
      <c r="AI32" s="156"/>
      <c r="AJ32" s="157"/>
      <c r="AK32" s="157"/>
      <c r="AL32" s="157"/>
      <c r="AO32" s="103">
        <v>2.7500000000000002E-4</v>
      </c>
      <c r="AP32" s="277" t="s">
        <v>625</v>
      </c>
      <c r="AQ32" s="250">
        <f>AR32*10^(9-$I32)</f>
        <v>6.5800928860598443E-9</v>
      </c>
      <c r="AR32" s="250">
        <f>AO32</f>
        <v>2.7500000000000002E-4</v>
      </c>
      <c r="AS32" s="208">
        <f>(LN(2)/AT32)/(60*60*24)</f>
        <v>9841.375124289576</v>
      </c>
      <c r="AT32" s="209">
        <f>AU32*10^(9-14)</f>
        <v>8.1518453577040439E-10</v>
      </c>
      <c r="AU32" s="209">
        <f>EXP(LN(AR32)+$J32*(1/$H32-1/298.15)/0.0019872)</f>
        <v>8.151845357704043E-5</v>
      </c>
    </row>
    <row r="33" spans="1:58" x14ac:dyDescent="0.3">
      <c r="E33" s="31" t="s">
        <v>591</v>
      </c>
      <c r="F33" s="31" t="s">
        <v>686</v>
      </c>
      <c r="G33" s="31">
        <v>60</v>
      </c>
      <c r="H33" s="31">
        <f>G33+273.15</f>
        <v>333.15</v>
      </c>
      <c r="I33" s="219">
        <f>-LOG10(EXP(LN(10^-14)+13.36*(1/298.15-1/H33)/0.0019872))</f>
        <v>12.971172405674658</v>
      </c>
      <c r="J33" s="91">
        <v>18.62</v>
      </c>
      <c r="P33" s="250"/>
      <c r="Q33" s="653"/>
      <c r="R33" s="209"/>
      <c r="S33" s="209"/>
      <c r="Z33" s="31">
        <v>7</v>
      </c>
      <c r="AB33" s="103">
        <v>2.1100000000000001E-5</v>
      </c>
      <c r="AC33" s="31" t="s">
        <v>600</v>
      </c>
      <c r="AD33" s="250">
        <f>AB33</f>
        <v>2.1100000000000001E-5</v>
      </c>
      <c r="AE33" s="653">
        <f>(LN(2)/AF33)/(60*60*24)</f>
        <v>10.325693243125498</v>
      </c>
      <c r="AF33" s="209">
        <f>EXP(LN(AD33)+$J33*(1/$H33-1/298.15)/0.0019872)</f>
        <v>7.7694897796596275E-7</v>
      </c>
      <c r="AG33" s="156"/>
      <c r="AH33" s="156"/>
      <c r="AI33" s="156"/>
      <c r="AJ33" s="157"/>
      <c r="AK33" s="157"/>
      <c r="AL33" s="157"/>
      <c r="AS33" s="208"/>
      <c r="AT33" s="209"/>
      <c r="AU33" s="209"/>
    </row>
    <row r="34" spans="1:58" x14ac:dyDescent="0.3">
      <c r="G34" s="31">
        <v>30</v>
      </c>
      <c r="H34" s="31">
        <f>G34+273.15</f>
        <v>303.14999999999998</v>
      </c>
      <c r="I34" s="219">
        <f>-LOG10(EXP(LN(10^-14)+13.36*(1/298.15-1/H34)/0.0019872))</f>
        <v>13.838479812893434</v>
      </c>
      <c r="J34" s="91">
        <v>18.62</v>
      </c>
      <c r="K34" s="31" t="s">
        <v>688</v>
      </c>
      <c r="M34" s="103">
        <v>7.4499999999999997E-2</v>
      </c>
      <c r="N34" s="31" t="s">
        <v>687</v>
      </c>
      <c r="O34" s="250">
        <f>P34*10^(-5)</f>
        <v>7.4500000000000007E-7</v>
      </c>
      <c r="P34" s="250">
        <f>M34</f>
        <v>7.4499999999999997E-2</v>
      </c>
      <c r="Q34" s="653">
        <f>(LN(2)/R34)/(60*60*24)</f>
        <v>18.082903375172801</v>
      </c>
      <c r="R34" s="209">
        <f>S34*10^(-5)</f>
        <v>4.4365313719759566E-7</v>
      </c>
      <c r="S34" s="209">
        <f>EXP(LN(P34)+$J34*(1/$H34-1/298.15)/0.0019872)</f>
        <v>4.4365313719759561E-2</v>
      </c>
      <c r="AE34" s="653"/>
      <c r="AF34" s="209"/>
      <c r="AS34" s="208"/>
      <c r="AT34" s="209"/>
      <c r="AU34" s="209"/>
    </row>
    <row r="35" spans="1:58" ht="15" thickBot="1" x14ac:dyDescent="0.35">
      <c r="G35" s="31">
        <v>40</v>
      </c>
      <c r="H35" s="31">
        <f>G35+273.15</f>
        <v>313.14999999999998</v>
      </c>
      <c r="I35" s="219">
        <f>-LOG10(EXP(LN(10^-14)+13.36*(1/298.15-1/H35)/0.0019872))</f>
        <v>13.530913191237214</v>
      </c>
      <c r="J35" s="91">
        <v>18.62</v>
      </c>
      <c r="K35" s="31" t="s">
        <v>688</v>
      </c>
      <c r="M35" s="103">
        <v>0.19900000000000001</v>
      </c>
      <c r="N35" s="31" t="s">
        <v>687</v>
      </c>
      <c r="O35" s="250">
        <f>P35*10^(-5)</f>
        <v>1.9900000000000004E-6</v>
      </c>
      <c r="P35" s="250">
        <f>M35</f>
        <v>0.19900000000000001</v>
      </c>
      <c r="Q35" s="653">
        <f>(LN(2)/R35)/(60*60*24)</f>
        <v>18.164808604260561</v>
      </c>
      <c r="R35" s="209">
        <f>S35*10^(-5)</f>
        <v>4.4165270258640196E-7</v>
      </c>
      <c r="S35" s="209">
        <f>EXP(LN(P35)+$J35*(1/$H35-1/298.15)/0.0019872)</f>
        <v>4.4165270258640192E-2</v>
      </c>
      <c r="AE35" s="653"/>
      <c r="AF35" s="209"/>
      <c r="AS35" s="208"/>
      <c r="AT35" s="209"/>
      <c r="AU35" s="209"/>
    </row>
    <row r="36" spans="1:58" s="8" customFormat="1" x14ac:dyDescent="0.3">
      <c r="A36" s="37"/>
      <c r="B36" s="37"/>
      <c r="C36" s="37"/>
      <c r="D36" s="38"/>
      <c r="E36" s="37"/>
      <c r="F36" s="37"/>
      <c r="G36" s="37"/>
      <c r="H36" s="37"/>
      <c r="I36" s="605"/>
      <c r="J36" s="37"/>
      <c r="K36" s="37"/>
      <c r="L36" s="37"/>
      <c r="M36" s="122"/>
      <c r="N36" s="37"/>
      <c r="O36" s="249"/>
      <c r="P36" s="248"/>
      <c r="Q36" s="214"/>
      <c r="R36" s="215"/>
      <c r="S36" s="215"/>
      <c r="T36" s="120"/>
      <c r="U36" s="120"/>
      <c r="V36" s="120"/>
      <c r="W36" s="121"/>
      <c r="X36" s="121"/>
      <c r="Y36" s="121"/>
      <c r="Z36" s="37"/>
      <c r="AA36" s="37"/>
      <c r="AB36" s="122"/>
      <c r="AC36" s="37"/>
      <c r="AD36" s="249"/>
      <c r="AE36" s="654"/>
      <c r="AF36" s="215"/>
      <c r="AG36" s="158"/>
      <c r="AH36" s="120"/>
      <c r="AI36" s="120"/>
      <c r="AJ36" s="121"/>
      <c r="AK36" s="121"/>
      <c r="AL36" s="121"/>
      <c r="AM36" s="37"/>
      <c r="AN36" s="37"/>
      <c r="AO36" s="122"/>
      <c r="AP36" s="37"/>
      <c r="AQ36" s="249"/>
      <c r="AR36" s="248"/>
      <c r="AS36" s="214"/>
      <c r="AT36" s="215"/>
      <c r="AU36" s="215"/>
      <c r="AV36" s="120"/>
      <c r="AW36" s="120"/>
      <c r="AX36" s="120"/>
      <c r="AY36" s="37"/>
      <c r="AZ36" s="37"/>
      <c r="BA36" s="37"/>
      <c r="BB36" s="186"/>
      <c r="BC36" s="186"/>
      <c r="BD36" s="186"/>
      <c r="BE36" s="37"/>
      <c r="BF36" s="37"/>
    </row>
    <row r="37" spans="1:58" x14ac:dyDescent="0.3">
      <c r="N37" s="115" t="s">
        <v>790</v>
      </c>
      <c r="O37" s="115"/>
      <c r="P37" s="115"/>
      <c r="Q37" s="173">
        <f>AVERAGE(Q6:Q35)</f>
        <v>23.460897105436352</v>
      </c>
      <c r="R37" s="115"/>
      <c r="S37" s="115"/>
      <c r="T37" s="142">
        <f>AVERAGE(T6:T35)</f>
        <v>15.394120801599074</v>
      </c>
      <c r="U37" s="152"/>
      <c r="V37" s="152"/>
      <c r="W37" s="153"/>
      <c r="X37" s="153"/>
      <c r="Y37" s="153"/>
      <c r="Z37" s="115" t="s">
        <v>790</v>
      </c>
      <c r="AA37" s="115"/>
      <c r="AB37" s="115"/>
      <c r="AC37" s="115" t="s">
        <v>790</v>
      </c>
      <c r="AD37" s="115"/>
      <c r="AE37" s="173">
        <f>AVERAGE(AE6:AE35)</f>
        <v>6.3100507538663688</v>
      </c>
      <c r="AF37" s="115"/>
      <c r="AG37" s="142">
        <f>AVERAGE(AG6:AG35)</f>
        <v>4.2633613377315438</v>
      </c>
      <c r="AH37" s="173"/>
      <c r="AI37" s="173"/>
      <c r="AJ37" s="174"/>
      <c r="AK37" s="174"/>
      <c r="AL37" s="174"/>
      <c r="AM37" s="115" t="s">
        <v>790</v>
      </c>
      <c r="AN37" s="115"/>
      <c r="AO37" s="115"/>
      <c r="AP37" s="115" t="s">
        <v>790</v>
      </c>
      <c r="AQ37" s="115"/>
      <c r="AR37" s="115"/>
      <c r="AS37" s="173">
        <f>AVERAGE(AS10:AS35)</f>
        <v>6354.4819519720468</v>
      </c>
      <c r="AT37" s="115"/>
      <c r="AU37" s="115"/>
      <c r="AV37" s="142">
        <f>AVERAGE(AV7:AV35)</f>
        <v>4766.0524767602737</v>
      </c>
      <c r="AW37" s="152"/>
      <c r="AX37" s="152"/>
      <c r="BB37" s="192" t="s">
        <v>790</v>
      </c>
    </row>
    <row r="38" spans="1:58" x14ac:dyDescent="0.3">
      <c r="N38" s="115" t="s">
        <v>791</v>
      </c>
      <c r="O38" s="115"/>
      <c r="P38" s="115"/>
      <c r="Q38" s="173">
        <f>STDEV(Q6:Q35)</f>
        <v>35.224119193033538</v>
      </c>
      <c r="R38" s="115"/>
      <c r="S38" s="115"/>
      <c r="T38" s="142">
        <f>STDEV(T6:T35)</f>
        <v>32.872544100629995</v>
      </c>
      <c r="U38" s="152"/>
      <c r="V38" s="152"/>
      <c r="W38" s="153"/>
      <c r="X38" s="153"/>
      <c r="Y38" s="153"/>
      <c r="Z38" s="115" t="s">
        <v>791</v>
      </c>
      <c r="AA38" s="115"/>
      <c r="AB38" s="115"/>
      <c r="AC38" s="115" t="s">
        <v>791</v>
      </c>
      <c r="AD38" s="115"/>
      <c r="AE38" s="173">
        <f>STDEV(AE6:AE35)</f>
        <v>6.2444495918241278</v>
      </c>
      <c r="AF38" s="115"/>
      <c r="AG38" s="142">
        <f>STDEV(AG6:AG35)</f>
        <v>6.1459305824615145</v>
      </c>
      <c r="AH38" s="173"/>
      <c r="AI38" s="173"/>
      <c r="AJ38" s="174"/>
      <c r="AK38" s="174"/>
      <c r="AL38" s="174"/>
      <c r="AM38" s="115" t="s">
        <v>791</v>
      </c>
      <c r="AN38" s="115"/>
      <c r="AO38" s="115"/>
      <c r="AP38" s="115" t="s">
        <v>791</v>
      </c>
      <c r="AQ38" s="115"/>
      <c r="AR38" s="115"/>
      <c r="AS38" s="173">
        <f>STDEV(AS7:AS35)</f>
        <v>5511.208541817663</v>
      </c>
      <c r="AT38" s="115"/>
      <c r="AU38" s="115"/>
      <c r="AV38" s="142">
        <f>STDEV(AV7:AV35)</f>
        <v>6739.1355201530005</v>
      </c>
      <c r="AW38" s="152"/>
      <c r="AX38" s="152"/>
      <c r="BB38" s="192" t="s">
        <v>791</v>
      </c>
    </row>
    <row r="39" spans="1:58" x14ac:dyDescent="0.3">
      <c r="N39" s="31" t="s">
        <v>800</v>
      </c>
      <c r="O39" s="31"/>
      <c r="P39" s="31"/>
      <c r="Q39" s="175">
        <f>MEDIAN(Q6:Q35)</f>
        <v>9.1544451638122641</v>
      </c>
      <c r="R39" s="31"/>
      <c r="S39" s="31"/>
      <c r="T39" s="142">
        <f>MEDIAN(T6:T35)</f>
        <v>3.894889739887393E-2</v>
      </c>
      <c r="U39" s="129"/>
      <c r="V39" s="129"/>
      <c r="W39" s="146"/>
      <c r="X39" s="146"/>
      <c r="Y39" s="146"/>
      <c r="Z39" s="31" t="s">
        <v>800</v>
      </c>
      <c r="AB39" s="31"/>
      <c r="AC39" s="31" t="s">
        <v>800</v>
      </c>
      <c r="AD39" s="31"/>
      <c r="AE39" s="175">
        <f>MEDIAN(AE6:AE35)</f>
        <v>5.778682762225996</v>
      </c>
      <c r="AF39" s="31"/>
      <c r="AG39" s="142">
        <f>MEDIAN(AG6:AG35)</f>
        <v>0.63406917887242009</v>
      </c>
      <c r="AH39" s="175"/>
      <c r="AI39" s="175"/>
      <c r="AJ39" s="157"/>
      <c r="AK39" s="157"/>
      <c r="AL39" s="157"/>
      <c r="AM39" s="31" t="s">
        <v>800</v>
      </c>
      <c r="AO39" s="31"/>
      <c r="AP39" s="31" t="s">
        <v>800</v>
      </c>
      <c r="AQ39" s="31"/>
      <c r="AR39" s="31"/>
      <c r="AS39" s="175">
        <f>MEDIAN(AS7:AS35)</f>
        <v>9221.3066805016078</v>
      </c>
      <c r="AT39" s="31"/>
      <c r="AU39" s="31"/>
      <c r="AV39" s="142">
        <f>MEDIAN(AV7:AV35)</f>
        <v>4766.0524767602737</v>
      </c>
      <c r="AW39" s="129"/>
      <c r="AX39" s="129"/>
      <c r="BB39" s="185" t="s">
        <v>800</v>
      </c>
    </row>
    <row r="40" spans="1:58" x14ac:dyDescent="0.3">
      <c r="N40" s="31" t="s">
        <v>789</v>
      </c>
      <c r="O40" s="31"/>
      <c r="P40" s="31"/>
      <c r="Q40" s="31">
        <f>COUNT(Q6:Q35)</f>
        <v>10</v>
      </c>
      <c r="R40" s="31"/>
      <c r="S40" s="31"/>
      <c r="T40" s="144">
        <f>COUNT(T6:T35)</f>
        <v>7</v>
      </c>
      <c r="U40" s="129"/>
      <c r="V40" s="129"/>
      <c r="W40" s="146"/>
      <c r="X40" s="146"/>
      <c r="Y40" s="146"/>
      <c r="Z40" s="31" t="s">
        <v>789</v>
      </c>
      <c r="AB40" s="31"/>
      <c r="AC40" s="31" t="s">
        <v>789</v>
      </c>
      <c r="AD40" s="31"/>
      <c r="AE40" s="175">
        <f>COUNT(AE6:AE35)</f>
        <v>14</v>
      </c>
      <c r="AF40" s="31"/>
      <c r="AG40" s="176">
        <f>COUNT(AG6:AG35)</f>
        <v>6</v>
      </c>
      <c r="AH40" s="175"/>
      <c r="AI40" s="175"/>
      <c r="AJ40" s="157"/>
      <c r="AK40" s="157"/>
      <c r="AL40" s="157"/>
      <c r="AM40" s="31" t="s">
        <v>789</v>
      </c>
      <c r="AO40" s="31"/>
      <c r="AP40" s="31" t="s">
        <v>789</v>
      </c>
      <c r="AQ40" s="31"/>
      <c r="AR40" s="31"/>
      <c r="AS40" s="175">
        <f>COUNT(AS7:AS35)</f>
        <v>3</v>
      </c>
      <c r="AT40" s="31"/>
      <c r="AU40" s="31"/>
      <c r="AV40" s="144">
        <f>COUNT(AV7:AV35)</f>
        <v>2</v>
      </c>
      <c r="AW40" s="129"/>
      <c r="AX40" s="129"/>
      <c r="BB40" s="185" t="s">
        <v>789</v>
      </c>
    </row>
    <row r="41" spans="1:58" x14ac:dyDescent="0.3">
      <c r="N41" s="31" t="s">
        <v>787</v>
      </c>
      <c r="O41" s="31"/>
      <c r="P41" s="31"/>
      <c r="Q41" s="175">
        <f>MIN(Q6:Q35)</f>
        <v>4.8917907390465879E-5</v>
      </c>
      <c r="R41" s="31"/>
      <c r="S41" s="31"/>
      <c r="T41" s="273">
        <f>MIN(T6:T35)</f>
        <v>4.8917907390465879E-5</v>
      </c>
      <c r="U41" s="129"/>
      <c r="V41" s="129"/>
      <c r="W41" s="146"/>
      <c r="X41" s="146"/>
      <c r="Y41" s="146"/>
      <c r="Z41" s="31" t="s">
        <v>787</v>
      </c>
      <c r="AB41" s="31"/>
      <c r="AC41" s="31" t="s">
        <v>787</v>
      </c>
      <c r="AD41" s="31"/>
      <c r="AE41" s="175">
        <f>MIN(AE6:AE35)</f>
        <v>3.1938294309010888E-4</v>
      </c>
      <c r="AF41" s="31"/>
      <c r="AG41" s="273">
        <f>MIN(AG6:AG35)</f>
        <v>3.1938294309010888E-4</v>
      </c>
      <c r="AH41" s="175"/>
      <c r="AI41" s="175"/>
      <c r="AJ41" s="157"/>
      <c r="AK41" s="157"/>
      <c r="AL41" s="157"/>
      <c r="AM41" s="31" t="s">
        <v>787</v>
      </c>
      <c r="AO41" s="31"/>
      <c r="AP41" s="31" t="s">
        <v>787</v>
      </c>
      <c r="AQ41" s="31"/>
      <c r="AR41" s="31"/>
      <c r="AS41" s="175">
        <f>MIN(AS7:AS35)</f>
        <v>0.76405112495584793</v>
      </c>
      <c r="AT41" s="31"/>
      <c r="AU41" s="31"/>
      <c r="AV41" s="240">
        <f>MIN(AV7:AV35)</f>
        <v>0.76405112495584793</v>
      </c>
      <c r="AW41" s="129"/>
      <c r="AX41" s="129"/>
      <c r="BB41" s="185" t="s">
        <v>787</v>
      </c>
    </row>
    <row r="42" spans="1:58" x14ac:dyDescent="0.3">
      <c r="N42" s="31" t="s">
        <v>788</v>
      </c>
      <c r="O42" s="31"/>
      <c r="P42" s="31"/>
      <c r="Q42" s="175">
        <f>MAX(Q6:Q35)</f>
        <v>89.139297911515598</v>
      </c>
      <c r="R42" s="31"/>
      <c r="S42" s="31"/>
      <c r="T42" s="142">
        <f>MAX(T6:T35)</f>
        <v>88.134563912904554</v>
      </c>
      <c r="U42" s="129"/>
      <c r="V42" s="129"/>
      <c r="W42" s="146"/>
      <c r="X42" s="146"/>
      <c r="Y42" s="146"/>
      <c r="Z42" s="31" t="s">
        <v>788</v>
      </c>
      <c r="AB42" s="31"/>
      <c r="AC42" s="31" t="s">
        <v>788</v>
      </c>
      <c r="AD42" s="31"/>
      <c r="AE42" s="175">
        <f>MAX(AE6:AE35)</f>
        <v>14.429023043230931</v>
      </c>
      <c r="AF42" s="31"/>
      <c r="AG42" s="142">
        <f>MAX(AG6:AG35)</f>
        <v>12.91784515604731</v>
      </c>
      <c r="AH42" s="175"/>
      <c r="AI42" s="175"/>
      <c r="AJ42" s="157"/>
      <c r="AK42" s="157"/>
      <c r="AL42" s="157"/>
      <c r="AM42" s="31" t="s">
        <v>788</v>
      </c>
      <c r="AO42" s="31"/>
      <c r="AP42" s="31" t="s">
        <v>788</v>
      </c>
      <c r="AQ42" s="31"/>
      <c r="AR42" s="31"/>
      <c r="AS42" s="175">
        <f>MAX(AS7:AS35)</f>
        <v>9841.375124289576</v>
      </c>
      <c r="AT42" s="31"/>
      <c r="AU42" s="31"/>
      <c r="AV42" s="142">
        <f>MAX(AV7:AV35)</f>
        <v>9531.3409023955919</v>
      </c>
      <c r="AW42" s="129"/>
      <c r="AX42" s="129"/>
      <c r="BB42" s="185" t="s">
        <v>788</v>
      </c>
    </row>
    <row r="43" spans="1:58" x14ac:dyDescent="0.3">
      <c r="S43" s="843" t="s">
        <v>1276</v>
      </c>
      <c r="T43" s="157">
        <f>QUARTILE(T$6:T35,3)-QUARTILE(T$6:T35,1)</f>
        <v>9.7911257760930894</v>
      </c>
      <c r="U43" s="119"/>
      <c r="AE43" s="649"/>
      <c r="AF43" s="843" t="s">
        <v>1276</v>
      </c>
      <c r="AG43" s="157">
        <f>QUARTILE(AG$6:AG35,3)-QUARTILE(AG$6:AG35,1)</f>
        <v>8.8251281024980557</v>
      </c>
      <c r="AH43" s="119"/>
      <c r="AU43" s="843" t="s">
        <v>1276</v>
      </c>
      <c r="AV43" s="157">
        <f>QUARTILE(AV$6:AV35,3)-QUARTILE(AV$6:AV35,1)</f>
        <v>4765.2884256353182</v>
      </c>
      <c r="AW43" s="119"/>
    </row>
    <row r="44" spans="1:58" x14ac:dyDescent="0.3">
      <c r="S44" s="843" t="s">
        <v>1277</v>
      </c>
      <c r="T44" s="157">
        <f>MAX(T39-2*T43,0)</f>
        <v>0</v>
      </c>
      <c r="U44" s="844" t="str">
        <f>IF(T41&lt;T44,"Outlier Flag","")</f>
        <v/>
      </c>
      <c r="AE44" s="649"/>
      <c r="AF44" s="843" t="s">
        <v>1277</v>
      </c>
      <c r="AG44" s="157">
        <f>MAX(AG39-2*AG43,0)</f>
        <v>0</v>
      </c>
      <c r="AH44" s="844" t="str">
        <f>IF(AG41&lt;AG44,"Outlier Flag","")</f>
        <v/>
      </c>
      <c r="AU44" s="843" t="s">
        <v>1277</v>
      </c>
      <c r="AV44" s="157">
        <f>MAX(AV39-2*AV43,0)</f>
        <v>0</v>
      </c>
      <c r="AW44" s="844" t="str">
        <f>IF(AV41&lt;AV44,"Outlier Flag","")</f>
        <v/>
      </c>
    </row>
    <row r="45" spans="1:58" x14ac:dyDescent="0.3">
      <c r="S45" s="843" t="s">
        <v>1278</v>
      </c>
      <c r="T45" s="119">
        <f>T39+2.2*T43</f>
        <v>21.579425604803674</v>
      </c>
      <c r="U45" s="844" t="str">
        <f>IF(T42&gt;T45,"Outlier Flag","")</f>
        <v>Outlier Flag</v>
      </c>
      <c r="AE45" s="649"/>
      <c r="AF45" s="843" t="s">
        <v>1278</v>
      </c>
      <c r="AG45" s="157">
        <f>AG39+2.2*AG43</f>
        <v>20.049351004368145</v>
      </c>
      <c r="AH45" s="844" t="str">
        <f>IF(AG42&gt;AG45,"Outlier Flag","")</f>
        <v/>
      </c>
      <c r="AU45" s="843" t="s">
        <v>1278</v>
      </c>
      <c r="AV45" s="157">
        <f>AV39+2.2*AV43</f>
        <v>15249.687013157974</v>
      </c>
      <c r="AW45" s="844" t="str">
        <f>IF(AV42&gt;AV45,"Outlier Flag","")</f>
        <v/>
      </c>
    </row>
    <row r="48" spans="1:58" x14ac:dyDescent="0.3">
      <c r="N48" s="31" t="s">
        <v>790</v>
      </c>
      <c r="T48" s="156">
        <v>3.2707136163814958</v>
      </c>
    </row>
    <row r="49" spans="14:20" x14ac:dyDescent="0.3">
      <c r="N49" s="31" t="s">
        <v>791</v>
      </c>
      <c r="T49" s="156">
        <v>7.8815082209765279</v>
      </c>
    </row>
    <row r="50" spans="14:20" x14ac:dyDescent="0.3">
      <c r="N50" s="31" t="s">
        <v>800</v>
      </c>
      <c r="T50" s="156">
        <v>1.9979437472423305E-2</v>
      </c>
    </row>
    <row r="51" spans="14:20" x14ac:dyDescent="0.3">
      <c r="N51" s="31" t="s">
        <v>789</v>
      </c>
      <c r="T51" s="156">
        <v>6</v>
      </c>
    </row>
    <row r="52" spans="14:20" x14ac:dyDescent="0.3">
      <c r="N52" s="31" t="s">
        <v>787</v>
      </c>
      <c r="T52" s="156">
        <v>4.8917907390465879E-5</v>
      </c>
    </row>
    <row r="53" spans="14:20" x14ac:dyDescent="0.3">
      <c r="N53" s="31" t="s">
        <v>788</v>
      </c>
      <c r="T53" s="156">
        <v>19.357780765132716</v>
      </c>
    </row>
  </sheetData>
  <sheetProtection formatCells="0" formatColumns="0" formatRows="0" insertColumns="0" insertRows="0" insertHyperlinks="0" deleteColumns="0" deleteRows="0" sort="0"/>
  <mergeCells count="1">
    <mergeCell ref="A1:B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BF105"/>
  <sheetViews>
    <sheetView zoomScaleNormal="100" workbookViewId="0">
      <selection activeCell="B1" sqref="B1"/>
    </sheetView>
  </sheetViews>
  <sheetFormatPr defaultRowHeight="14.4" x14ac:dyDescent="0.3"/>
  <cols>
    <col min="1" max="1" width="3.6640625" style="31" customWidth="1"/>
    <col min="2" max="2" width="17.88671875" style="31" bestFit="1" customWidth="1"/>
    <col min="3" max="3" width="26.6640625" style="31" customWidth="1"/>
    <col min="4" max="4" width="26.6640625" style="32" customWidth="1"/>
    <col min="5" max="5" width="52.33203125" style="31" customWidth="1"/>
    <col min="6" max="6" width="23.88671875" style="31" customWidth="1"/>
    <col min="7" max="8" width="12.33203125" style="31" customWidth="1"/>
    <col min="9" max="9" width="8.88671875" style="583" customWidth="1"/>
    <col min="10" max="10" width="9.33203125" style="92" bestFit="1" customWidth="1"/>
    <col min="11" max="12" width="10" style="31" customWidth="1"/>
    <col min="13" max="13" width="11.5546875" style="31" customWidth="1"/>
    <col min="14" max="14" width="10.33203125" style="31" customWidth="1"/>
    <col min="15" max="15" width="10.33203125" style="247" customWidth="1"/>
    <col min="16" max="16" width="12.6640625" style="247" bestFit="1" customWidth="1"/>
    <col min="17" max="17" width="9.109375" style="583"/>
    <col min="18" max="18" width="10.33203125" style="583" customWidth="1"/>
    <col min="19" max="19" width="12.6640625" style="583" bestFit="1" customWidth="1"/>
    <col min="20" max="20" width="10.109375" style="156" customWidth="1"/>
    <col min="21" max="22" width="10.109375" style="117" customWidth="1"/>
    <col min="23" max="23" width="14.88671875" style="40" bestFit="1" customWidth="1"/>
    <col min="24" max="24" width="14.44140625" style="40" bestFit="1" customWidth="1"/>
    <col min="25" max="25" width="14.33203125" style="40" customWidth="1"/>
    <col min="26" max="27" width="8.88671875" style="31"/>
    <col min="28" max="28" width="11.5546875" style="31" customWidth="1"/>
    <col min="29" max="29" width="8.88671875" style="31"/>
    <col min="30" max="30" width="14.88671875" style="247" bestFit="1" customWidth="1"/>
    <col min="31" max="31" width="9.109375" style="583"/>
    <col min="32" max="32" width="13.44140625" style="583" bestFit="1" customWidth="1"/>
    <col min="33" max="35" width="10.109375" style="156" customWidth="1"/>
    <col min="36" max="36" width="14.88671875" style="157" bestFit="1" customWidth="1"/>
    <col min="37" max="37" width="14.44140625" style="157" bestFit="1" customWidth="1"/>
    <col min="38" max="38" width="13.44140625" style="157" customWidth="1"/>
    <col min="39" max="40" width="8.88671875" style="31"/>
    <col min="41" max="41" width="11.5546875" style="31" customWidth="1"/>
    <col min="42" max="42" width="12.33203125" style="31" customWidth="1"/>
    <col min="43" max="43" width="10.33203125" style="247" customWidth="1"/>
    <col min="44" max="44" width="12.6640625" style="247" bestFit="1" customWidth="1"/>
    <col min="45" max="45" width="11.44140625" style="583" bestFit="1" customWidth="1"/>
    <col min="46" max="46" width="10.33203125" style="583" customWidth="1"/>
    <col min="47" max="47" width="12.6640625" style="583" bestFit="1" customWidth="1"/>
    <col min="48" max="50" width="10.109375" style="156" customWidth="1"/>
    <col min="51" max="53" width="15.6640625" style="31" customWidth="1"/>
    <col min="54" max="54" width="19" style="185" customWidth="1"/>
    <col min="55" max="55" width="24.109375" style="185" bestFit="1" customWidth="1"/>
    <col min="56" max="56" width="9.109375" style="185"/>
    <col min="57" max="58" width="8.88671875" style="31"/>
  </cols>
  <sheetData>
    <row r="1" spans="1:58" x14ac:dyDescent="0.3">
      <c r="A1" s="657" t="s">
        <v>9</v>
      </c>
      <c r="B1" s="657"/>
      <c r="K1" s="108" t="s">
        <v>626</v>
      </c>
      <c r="O1" s="86" t="s">
        <v>601</v>
      </c>
      <c r="P1" s="87"/>
      <c r="Q1" s="583" t="s">
        <v>602</v>
      </c>
      <c r="R1" s="586"/>
      <c r="S1" s="586"/>
      <c r="T1" s="118"/>
      <c r="U1" s="118"/>
      <c r="V1" s="118"/>
      <c r="W1" s="587"/>
      <c r="X1" s="587"/>
      <c r="Y1" s="587"/>
      <c r="Z1" s="108" t="s">
        <v>89</v>
      </c>
      <c r="AD1" s="87" t="s">
        <v>601</v>
      </c>
      <c r="AE1" s="583" t="s">
        <v>602</v>
      </c>
      <c r="AF1" s="586"/>
      <c r="AJ1" s="587"/>
      <c r="AK1" s="587"/>
      <c r="AL1" s="587"/>
      <c r="AM1" s="108" t="s">
        <v>627</v>
      </c>
      <c r="AQ1" s="86" t="s">
        <v>601</v>
      </c>
      <c r="AR1" s="86"/>
      <c r="AS1" s="583" t="s">
        <v>602</v>
      </c>
      <c r="AT1" s="586"/>
      <c r="AU1" s="586"/>
      <c r="AV1" s="118"/>
      <c r="AW1" s="118"/>
      <c r="AX1" s="118"/>
      <c r="AY1" s="587"/>
      <c r="AZ1" s="587"/>
      <c r="BA1" s="587"/>
    </row>
    <row r="2" spans="1:58" s="4" customFormat="1" x14ac:dyDescent="0.3">
      <c r="A2" s="31"/>
      <c r="B2" s="31"/>
      <c r="C2" s="31"/>
      <c r="D2" s="32"/>
      <c r="E2" s="31"/>
      <c r="F2" s="31"/>
      <c r="G2" s="584"/>
      <c r="H2" s="584"/>
      <c r="I2" s="583"/>
      <c r="J2" s="92"/>
      <c r="K2" s="108"/>
      <c r="L2" s="31"/>
      <c r="M2" s="31"/>
      <c r="N2" s="31"/>
      <c r="O2" s="588" t="s">
        <v>603</v>
      </c>
      <c r="P2" s="589"/>
      <c r="Q2" s="590" t="s">
        <v>603</v>
      </c>
      <c r="R2" s="590" t="s">
        <v>603</v>
      </c>
      <c r="S2" s="590"/>
      <c r="T2" s="591" t="s">
        <v>801</v>
      </c>
      <c r="U2" s="591"/>
      <c r="V2" s="591"/>
      <c r="W2" s="592"/>
      <c r="X2" s="592"/>
      <c r="Y2" s="592"/>
      <c r="Z2" s="31"/>
      <c r="AA2" s="31"/>
      <c r="AB2" s="31"/>
      <c r="AC2" s="31"/>
      <c r="AD2" s="589"/>
      <c r="AE2" s="583"/>
      <c r="AF2" s="590"/>
      <c r="AG2" s="593" t="s">
        <v>801</v>
      </c>
      <c r="AH2" s="593"/>
      <c r="AI2" s="593"/>
      <c r="AJ2" s="592"/>
      <c r="AK2" s="592"/>
      <c r="AL2" s="592"/>
      <c r="AM2" s="108"/>
      <c r="AN2" s="31"/>
      <c r="AO2" s="31"/>
      <c r="AP2" s="31"/>
      <c r="AQ2" s="588" t="s">
        <v>604</v>
      </c>
      <c r="AR2" s="588"/>
      <c r="AS2" s="590" t="s">
        <v>604</v>
      </c>
      <c r="AT2" s="590" t="s">
        <v>604</v>
      </c>
      <c r="AU2" s="590"/>
      <c r="AV2" s="591" t="s">
        <v>801</v>
      </c>
      <c r="AW2" s="591"/>
      <c r="AX2" s="591"/>
      <c r="AY2" s="592"/>
      <c r="AZ2" s="592"/>
      <c r="BA2" s="592"/>
      <c r="BB2" s="185"/>
      <c r="BC2" s="185"/>
      <c r="BD2" s="185"/>
      <c r="BE2" s="115"/>
      <c r="BF2" s="115"/>
    </row>
    <row r="3" spans="1:58" s="4" customFormat="1" ht="43.2" x14ac:dyDescent="0.3">
      <c r="A3" s="31"/>
      <c r="B3" s="108" t="s">
        <v>1</v>
      </c>
      <c r="C3" s="108" t="s">
        <v>2</v>
      </c>
      <c r="D3" s="378" t="s">
        <v>930</v>
      </c>
      <c r="E3" s="108" t="s">
        <v>5</v>
      </c>
      <c r="F3" s="108" t="s">
        <v>7</v>
      </c>
      <c r="G3" s="594" t="s">
        <v>1176</v>
      </c>
      <c r="H3" s="594" t="s">
        <v>1176</v>
      </c>
      <c r="I3" s="635" t="s">
        <v>593</v>
      </c>
      <c r="J3" s="533"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c r="BE3" s="115"/>
      <c r="BF3" s="115"/>
    </row>
    <row r="4" spans="1:58" s="4" customFormat="1" x14ac:dyDescent="0.3">
      <c r="A4" s="31"/>
      <c r="B4" s="31"/>
      <c r="C4" s="31"/>
      <c r="D4" s="32"/>
      <c r="E4" s="31"/>
      <c r="F4" s="31"/>
      <c r="G4" s="33" t="s">
        <v>85</v>
      </c>
      <c r="H4" s="33" t="s">
        <v>522</v>
      </c>
      <c r="I4" s="635"/>
      <c r="J4" s="601" t="s">
        <v>595</v>
      </c>
      <c r="K4" s="31"/>
      <c r="L4" s="31" t="s">
        <v>88</v>
      </c>
      <c r="M4" s="31"/>
      <c r="N4" s="31"/>
      <c r="O4" s="86" t="s">
        <v>596</v>
      </c>
      <c r="P4" s="87" t="s">
        <v>597</v>
      </c>
      <c r="Q4" s="583" t="s">
        <v>88</v>
      </c>
      <c r="R4" s="586" t="s">
        <v>596</v>
      </c>
      <c r="S4" s="586" t="s">
        <v>597</v>
      </c>
      <c r="T4" s="117" t="s">
        <v>88</v>
      </c>
      <c r="U4" s="117" t="s">
        <v>88</v>
      </c>
      <c r="V4" s="117" t="s">
        <v>88</v>
      </c>
      <c r="W4" s="592"/>
      <c r="X4" s="592"/>
      <c r="Y4" s="592"/>
      <c r="Z4" s="31"/>
      <c r="AA4" s="31" t="s">
        <v>88</v>
      </c>
      <c r="AB4" s="31"/>
      <c r="AC4" s="31"/>
      <c r="AD4" s="87" t="s">
        <v>596</v>
      </c>
      <c r="AE4" s="583" t="s">
        <v>88</v>
      </c>
      <c r="AF4" s="586" t="s">
        <v>596</v>
      </c>
      <c r="AG4" s="292" t="s">
        <v>88</v>
      </c>
      <c r="AH4" s="292" t="s">
        <v>88</v>
      </c>
      <c r="AI4" s="292" t="s">
        <v>88</v>
      </c>
      <c r="AJ4" s="602"/>
      <c r="AK4" s="602"/>
      <c r="AL4" s="602"/>
      <c r="AM4" s="31"/>
      <c r="AN4" s="31" t="s">
        <v>88</v>
      </c>
      <c r="AO4" s="31"/>
      <c r="AP4" s="31"/>
      <c r="AQ4" s="86" t="s">
        <v>596</v>
      </c>
      <c r="AR4" s="86" t="s">
        <v>597</v>
      </c>
      <c r="AS4" s="583" t="s">
        <v>88</v>
      </c>
      <c r="AT4" s="586" t="s">
        <v>596</v>
      </c>
      <c r="AU4" s="586" t="s">
        <v>597</v>
      </c>
      <c r="AV4" s="302" t="s">
        <v>88</v>
      </c>
      <c r="AW4" s="302" t="s">
        <v>88</v>
      </c>
      <c r="AX4" s="302" t="s">
        <v>88</v>
      </c>
      <c r="AY4" s="602"/>
      <c r="AZ4" s="602"/>
      <c r="BA4" s="648"/>
      <c r="BB4" s="319"/>
      <c r="BC4" s="192"/>
      <c r="BD4" s="603"/>
      <c r="BE4" s="115"/>
      <c r="BF4" s="115"/>
    </row>
    <row r="5" spans="1:58" s="4" customFormat="1" x14ac:dyDescent="0.3">
      <c r="A5" s="115"/>
      <c r="B5" s="108"/>
      <c r="C5" s="108"/>
      <c r="D5" s="378"/>
      <c r="E5" s="108"/>
      <c r="F5" s="108"/>
      <c r="G5" s="350"/>
      <c r="H5" s="350"/>
      <c r="I5" s="211"/>
      <c r="J5" s="379"/>
      <c r="K5" s="115"/>
      <c r="L5" s="115"/>
      <c r="M5" s="115"/>
      <c r="N5" s="115"/>
      <c r="O5" s="658"/>
      <c r="P5" s="658"/>
      <c r="Q5" s="659"/>
      <c r="R5" s="659"/>
      <c r="S5" s="659"/>
      <c r="T5" s="292"/>
      <c r="U5" s="306"/>
      <c r="V5" s="306"/>
      <c r="W5" s="72"/>
      <c r="X5" s="72"/>
      <c r="Y5" s="72"/>
      <c r="Z5" s="115"/>
      <c r="AA5" s="115"/>
      <c r="AB5" s="115"/>
      <c r="AC5" s="115"/>
      <c r="AD5" s="658"/>
      <c r="AE5" s="659"/>
      <c r="AF5" s="659"/>
      <c r="AG5" s="292"/>
      <c r="AH5" s="292"/>
      <c r="AI5" s="292"/>
      <c r="AJ5" s="425"/>
      <c r="AK5" s="425"/>
      <c r="AL5" s="425"/>
      <c r="AM5" s="115"/>
      <c r="AN5" s="115"/>
      <c r="AO5" s="115"/>
      <c r="AP5" s="115"/>
      <c r="AQ5" s="658"/>
      <c r="AR5" s="658"/>
      <c r="AS5" s="659"/>
      <c r="AT5" s="659"/>
      <c r="AU5" s="659"/>
      <c r="AV5" s="292"/>
      <c r="AW5" s="292"/>
      <c r="AX5" s="292"/>
      <c r="AY5" s="115"/>
      <c r="AZ5" s="115"/>
      <c r="BA5" s="115"/>
      <c r="BB5" s="319"/>
      <c r="BC5" s="319"/>
      <c r="BD5" s="192"/>
      <c r="BE5" s="115"/>
      <c r="BF5" s="115"/>
    </row>
    <row r="6" spans="1:58" s="4" customFormat="1" ht="23.25" customHeight="1" x14ac:dyDescent="0.3">
      <c r="A6" s="348">
        <v>1</v>
      </c>
      <c r="B6" s="34" t="s">
        <v>12</v>
      </c>
      <c r="C6" s="115" t="s">
        <v>183</v>
      </c>
      <c r="D6" s="314"/>
      <c r="E6" s="115" t="s">
        <v>184</v>
      </c>
      <c r="F6" s="660" t="s">
        <v>50</v>
      </c>
      <c r="G6" s="115">
        <v>25</v>
      </c>
      <c r="H6" s="115">
        <f>G6+273.15</f>
        <v>298.14999999999998</v>
      </c>
      <c r="I6" s="665">
        <f>-LOG10(EXP(LN(10^-14)+13.36*(1/298.15-1/H6)/0.0019872))</f>
        <v>14</v>
      </c>
      <c r="J6" s="279">
        <v>17.5</v>
      </c>
      <c r="K6" s="115">
        <v>5</v>
      </c>
      <c r="L6" s="115">
        <f>179/24</f>
        <v>7.458333333333333</v>
      </c>
      <c r="M6" s="115"/>
      <c r="N6" s="115" t="s">
        <v>605</v>
      </c>
      <c r="O6" s="280">
        <f>(LN(2)/L6)/(60*60*24)*10^(K6-5)</f>
        <v>1.0756473937925905E-6</v>
      </c>
      <c r="P6" s="280">
        <f>O6*10^5</f>
        <v>0.10756473937925905</v>
      </c>
      <c r="Q6" s="669">
        <f>(LN(2)/R6)/(60*60*24)</f>
        <v>7.4583333333333348</v>
      </c>
      <c r="R6" s="670">
        <f>S6*10^-5</f>
        <v>1.0756473937925903E-6</v>
      </c>
      <c r="S6" s="670">
        <f>EXP(LN(P6)+$J6*(1/$H6-1/298.15)/0.0019872)</f>
        <v>0.10756473937925903</v>
      </c>
      <c r="T6" s="292">
        <f>AVERAGE(Q6:Q7)</f>
        <v>8.0163919810214797</v>
      </c>
      <c r="U6" s="292">
        <f>MEDIAN(Q6:Q7)</f>
        <v>8.0163919810214797</v>
      </c>
      <c r="V6" s="292">
        <f>STDEV(Q6:Q7)</f>
        <v>0.78921410816016269</v>
      </c>
      <c r="W6" s="174"/>
      <c r="X6" s="174"/>
      <c r="Y6" s="174"/>
      <c r="Z6" s="115">
        <v>7</v>
      </c>
      <c r="AA6" s="115">
        <f>9.4/24</f>
        <v>0.39166666666666666</v>
      </c>
      <c r="AB6" s="115"/>
      <c r="AC6" s="115" t="s">
        <v>605</v>
      </c>
      <c r="AD6" s="280">
        <f>(LN(2)/AA6)/(60*60*24)</f>
        <v>2.048307271158231E-5</v>
      </c>
      <c r="AE6" s="669">
        <f>(LN(2)/AF6)/(60*60*24)</f>
        <v>0.39166666666666633</v>
      </c>
      <c r="AF6" s="670">
        <f>EXP(LN(AD6)+$J6*(1/$H6-1/298.15)/0.0019872)</f>
        <v>2.0483072711582324E-5</v>
      </c>
      <c r="AG6" s="292">
        <f>AVERAGE(AE6:AE7)</f>
        <v>0.40876552394628873</v>
      </c>
      <c r="AH6" s="292">
        <f>MEDIAN(AE6:AE7)</f>
        <v>0.40876552394628873</v>
      </c>
      <c r="AI6" s="292">
        <f>STDEV(AE6:AE7)</f>
        <v>2.4181435865923969E-2</v>
      </c>
      <c r="AJ6" s="174"/>
      <c r="AK6" s="174"/>
      <c r="AL6" s="174"/>
      <c r="AM6" s="115">
        <v>9</v>
      </c>
      <c r="AN6" s="115">
        <f>5.5/(60*24)</f>
        <v>3.8194444444444443E-3</v>
      </c>
      <c r="AO6" s="115"/>
      <c r="AP6" s="115" t="s">
        <v>605</v>
      </c>
      <c r="AQ6" s="280">
        <f>(LN(2)/AN6)/(60*60*24)*10^(9-AM6)</f>
        <v>2.1004460016968039E-3</v>
      </c>
      <c r="AR6" s="280">
        <f>AQ6*10^($I6-9)</f>
        <v>210.04460016968039</v>
      </c>
      <c r="AS6" s="669">
        <f>(LN(2)/AT6)/(60*60*24)</f>
        <v>3.819444444444443E-3</v>
      </c>
      <c r="AT6" s="670">
        <f>AU6*10^(9-14)</f>
        <v>2.1004460016968048E-3</v>
      </c>
      <c r="AU6" s="670">
        <f>EXP(LN(AR6)+$J6*(1/$H6-1/298.15)/0.0019872)</f>
        <v>210.04460016968048</v>
      </c>
      <c r="AV6" s="292">
        <f>AVERAGE(AS6:AS7)</f>
        <v>8.6435475232017819E-3</v>
      </c>
      <c r="AW6" s="292">
        <f>MEDIAN(AS6:AS7)</f>
        <v>8.6435475232017819E-3</v>
      </c>
      <c r="AX6" s="292">
        <f>STDEV(AS6:AS7)</f>
        <v>6.8223120002644357E-3</v>
      </c>
      <c r="AY6" s="115"/>
      <c r="AZ6" s="115"/>
      <c r="BA6" s="115"/>
      <c r="BB6" s="192" t="s">
        <v>185</v>
      </c>
      <c r="BC6" s="192" t="s">
        <v>186</v>
      </c>
      <c r="BD6" s="192"/>
      <c r="BE6" s="115"/>
      <c r="BF6" s="115"/>
    </row>
    <row r="7" spans="1:58" s="4" customFormat="1" ht="23.25" customHeight="1" x14ac:dyDescent="0.3">
      <c r="A7" s="348"/>
      <c r="B7" s="34"/>
      <c r="C7" s="115"/>
      <c r="D7" s="314"/>
      <c r="E7" s="115"/>
      <c r="F7" s="268"/>
      <c r="G7" s="115">
        <v>40</v>
      </c>
      <c r="H7" s="115">
        <f>G7+273.15</f>
        <v>313.14999999999998</v>
      </c>
      <c r="I7" s="665">
        <f t="shared" ref="I7:I70" si="0">-LOG10(EXP(LN(10^-14)+13.36*(1/298.15-1/H7)/0.0019872))</f>
        <v>13.530913191237214</v>
      </c>
      <c r="J7" s="279">
        <v>17.5</v>
      </c>
      <c r="K7" s="115">
        <v>5</v>
      </c>
      <c r="L7" s="115">
        <f>50/24</f>
        <v>2.0833333333333335</v>
      </c>
      <c r="M7" s="115"/>
      <c r="N7" s="115" t="s">
        <v>605</v>
      </c>
      <c r="O7" s="280">
        <f>(LN(2)/L7)/(60*60*24)*10^(K7-5)</f>
        <v>3.850817669777473E-6</v>
      </c>
      <c r="P7" s="280">
        <f>O7*10^5</f>
        <v>0.38508176697774732</v>
      </c>
      <c r="Q7" s="669">
        <f>(LN(2)/R7)/(60*60*24)</f>
        <v>8.5744506287096236</v>
      </c>
      <c r="R7" s="670">
        <f>S7*10^-5</f>
        <v>9.3563274889877373E-7</v>
      </c>
      <c r="S7" s="670">
        <f>EXP(LN(P7)+$J7*(1/$H7-1/298.15)/0.0019872)</f>
        <v>9.3563274889877368E-2</v>
      </c>
      <c r="T7" s="292"/>
      <c r="U7" s="292"/>
      <c r="V7" s="292"/>
      <c r="W7" s="174"/>
      <c r="X7" s="174"/>
      <c r="Y7" s="174"/>
      <c r="Z7" s="115">
        <v>7</v>
      </c>
      <c r="AA7" s="115">
        <f>149/(60*24)</f>
        <v>0.10347222222222222</v>
      </c>
      <c r="AB7" s="115"/>
      <c r="AC7" s="115" t="s">
        <v>605</v>
      </c>
      <c r="AD7" s="280">
        <f>(LN(2)/AA7)/(60*60*24)</f>
        <v>7.7533241673371966E-5</v>
      </c>
      <c r="AE7" s="669">
        <f>(LN(2)/AF7)/(60*60*24)</f>
        <v>0.42586438122591119</v>
      </c>
      <c r="AF7" s="670">
        <f>EXP(LN(AD7)+$J7*(1/$H7-1/298.15)/0.0019872)</f>
        <v>1.8838243266418269E-5</v>
      </c>
      <c r="AG7" s="292"/>
      <c r="AH7" s="292"/>
      <c r="AI7" s="292"/>
      <c r="AJ7" s="174"/>
      <c r="AK7" s="174"/>
      <c r="AL7" s="174"/>
      <c r="AM7" s="115">
        <v>9</v>
      </c>
      <c r="AN7" s="115">
        <f>1.6/(60*24)</f>
        <v>1.1111111111111111E-3</v>
      </c>
      <c r="AO7" s="115"/>
      <c r="AP7" s="115" t="s">
        <v>605</v>
      </c>
      <c r="AQ7" s="280">
        <f>(LN(2)/AN7)/(60*60*24)*10^(9-AM7)</f>
        <v>7.2202831308327631E-3</v>
      </c>
      <c r="AR7" s="280">
        <f>AQ7*10^($I7-9)</f>
        <v>245.17005204208667</v>
      </c>
      <c r="AS7" s="669">
        <f>(LN(2)/AT7)/(60*60*24)</f>
        <v>1.3467650601959123E-2</v>
      </c>
      <c r="AT7" s="670">
        <f>AU7*10^(9-14)</f>
        <v>5.9568940783698201E-4</v>
      </c>
      <c r="AU7" s="670">
        <f>EXP(LN(AR7)+$J7*(1/$H7-1/298.15)/0.0019872)</f>
        <v>59.568940783698196</v>
      </c>
      <c r="AV7" s="292"/>
      <c r="AW7" s="292"/>
      <c r="AX7" s="292"/>
      <c r="AY7" s="115"/>
      <c r="AZ7" s="115"/>
      <c r="BA7" s="115"/>
      <c r="BB7" s="192"/>
      <c r="BC7" s="192"/>
      <c r="BD7" s="192"/>
      <c r="BE7" s="115"/>
      <c r="BF7" s="115"/>
    </row>
    <row r="8" spans="1:58" s="4" customFormat="1" ht="30" customHeight="1" thickBot="1" x14ac:dyDescent="0.35">
      <c r="A8" s="348"/>
      <c r="B8" s="34"/>
      <c r="C8" s="115"/>
      <c r="D8" s="314"/>
      <c r="E8" s="115"/>
      <c r="F8" s="268"/>
      <c r="G8" s="115"/>
      <c r="H8" s="115"/>
      <c r="I8" s="665"/>
      <c r="J8" s="279"/>
      <c r="K8" s="115"/>
      <c r="L8" s="115"/>
      <c r="M8" s="115"/>
      <c r="N8" s="115"/>
      <c r="O8" s="280"/>
      <c r="P8" s="280"/>
      <c r="Q8" s="671"/>
      <c r="R8" s="670"/>
      <c r="S8" s="670"/>
      <c r="T8" s="292"/>
      <c r="U8" s="292"/>
      <c r="V8" s="292"/>
      <c r="W8" s="174"/>
      <c r="X8" s="174"/>
      <c r="Y8" s="174"/>
      <c r="Z8" s="115"/>
      <c r="AA8" s="115"/>
      <c r="AB8" s="115"/>
      <c r="AC8" s="115"/>
      <c r="AD8" s="280"/>
      <c r="AE8" s="669"/>
      <c r="AF8" s="670"/>
      <c r="AG8" s="292"/>
      <c r="AH8" s="292"/>
      <c r="AI8" s="292"/>
      <c r="AJ8" s="174"/>
      <c r="AK8" s="174"/>
      <c r="AL8" s="174"/>
      <c r="AM8" s="115"/>
      <c r="AN8" s="115"/>
      <c r="AO8" s="115"/>
      <c r="AP8" s="115"/>
      <c r="AQ8" s="280"/>
      <c r="AR8" s="280"/>
      <c r="AS8" s="669"/>
      <c r="AT8" s="670"/>
      <c r="AU8" s="670"/>
      <c r="AV8" s="292"/>
      <c r="AW8" s="292"/>
      <c r="AX8" s="292"/>
      <c r="AY8" s="115"/>
      <c r="AZ8" s="115"/>
      <c r="BA8" s="115"/>
      <c r="BB8" s="192"/>
      <c r="BC8" s="192"/>
      <c r="BD8" s="192"/>
      <c r="BE8" s="115"/>
      <c r="BF8" s="115"/>
    </row>
    <row r="9" spans="1:58" s="12" customFormat="1" x14ac:dyDescent="0.3">
      <c r="A9" s="366">
        <v>2</v>
      </c>
      <c r="B9" s="367" t="s">
        <v>13</v>
      </c>
      <c r="C9" s="56" t="s">
        <v>213</v>
      </c>
      <c r="D9" s="316"/>
      <c r="E9" s="37" t="s">
        <v>742</v>
      </c>
      <c r="F9" s="56" t="s">
        <v>743</v>
      </c>
      <c r="G9" s="56">
        <v>23</v>
      </c>
      <c r="H9" s="56">
        <f t="shared" ref="H9:H18" si="1">G9+273.15</f>
        <v>296.14999999999998</v>
      </c>
      <c r="I9" s="666">
        <f t="shared" si="0"/>
        <v>14.066135194626176</v>
      </c>
      <c r="J9" s="281">
        <v>17.5</v>
      </c>
      <c r="K9" s="56">
        <v>6.5</v>
      </c>
      <c r="L9" s="56">
        <v>56.8</v>
      </c>
      <c r="M9" s="56"/>
      <c r="N9" s="56" t="s">
        <v>605</v>
      </c>
      <c r="O9" s="282">
        <f>(LN(2)/L9)/(60*60*24)*10^(K9-5)</f>
        <v>4.4664593201727432E-6</v>
      </c>
      <c r="P9" s="282">
        <f>O9*10^5</f>
        <v>0.44664593201727432</v>
      </c>
      <c r="Q9" s="672">
        <f t="shared" ref="Q9:Q12" si="2">(LN(2)/R9)/(60*60*24)</f>
        <v>1.4713606975080398</v>
      </c>
      <c r="R9" s="673">
        <f>S9*10^-5</f>
        <v>5.4524609945227706E-6</v>
      </c>
      <c r="S9" s="673">
        <f>EXP(LN(P9)+$J9*(1/$H9-1/298.15)/0.0019872)</f>
        <v>0.54524609945227698</v>
      </c>
      <c r="T9" s="293">
        <f>AVERAGE(Q9:Q21)</f>
        <v>43.437420233303172</v>
      </c>
      <c r="U9" s="293">
        <f>MEDIAN(Q9:Q21)</f>
        <v>2.4756436277123304</v>
      </c>
      <c r="V9" s="293">
        <f>STDEV(Q9:Q21)</f>
        <v>91.432740778152066</v>
      </c>
      <c r="W9" s="294"/>
      <c r="X9" s="294"/>
      <c r="Y9" s="294"/>
      <c r="Z9" s="56"/>
      <c r="AA9" s="56"/>
      <c r="AB9" s="56"/>
      <c r="AC9" s="56"/>
      <c r="AD9" s="282"/>
      <c r="AE9" s="672"/>
      <c r="AF9" s="673"/>
      <c r="AG9" s="293"/>
      <c r="AH9" s="293"/>
      <c r="AI9" s="293"/>
      <c r="AJ9" s="294"/>
      <c r="AK9" s="294"/>
      <c r="AL9" s="294"/>
      <c r="AM9" s="56"/>
      <c r="AN9" s="56"/>
      <c r="AO9" s="56"/>
      <c r="AP9" s="56"/>
      <c r="AQ9" s="282"/>
      <c r="AR9" s="282"/>
      <c r="AS9" s="681"/>
      <c r="AT9" s="673"/>
      <c r="AU9" s="673"/>
      <c r="AV9" s="293">
        <f>AVERAGE(AS13:AS21)</f>
        <v>33.793405670573179</v>
      </c>
      <c r="AW9" s="293">
        <f>MEDIAN(AS13:AS21)</f>
        <v>15.999999999999995</v>
      </c>
      <c r="AX9" s="293">
        <f>STDEV(AS13:AS21)</f>
        <v>38.938324331054439</v>
      </c>
      <c r="AY9" s="56"/>
      <c r="AZ9" s="56"/>
      <c r="BA9" s="56"/>
      <c r="BB9" s="315"/>
      <c r="BC9" s="315"/>
      <c r="BD9" s="315"/>
      <c r="BE9" s="56"/>
      <c r="BF9" s="56"/>
    </row>
    <row r="10" spans="1:58" s="4" customFormat="1" x14ac:dyDescent="0.3">
      <c r="A10" s="348"/>
      <c r="B10" s="34"/>
      <c r="C10" s="115"/>
      <c r="D10" s="314"/>
      <c r="E10" s="31"/>
      <c r="F10" s="115" t="s">
        <v>744</v>
      </c>
      <c r="G10" s="115">
        <v>23</v>
      </c>
      <c r="H10" s="115">
        <f t="shared" si="1"/>
        <v>296.14999999999998</v>
      </c>
      <c r="I10" s="665">
        <f t="shared" si="0"/>
        <v>14.066135194626176</v>
      </c>
      <c r="J10" s="279">
        <v>17.5</v>
      </c>
      <c r="K10" s="115">
        <v>6.5</v>
      </c>
      <c r="L10" s="115">
        <v>157.5</v>
      </c>
      <c r="M10" s="115"/>
      <c r="N10" s="115" t="s">
        <v>605</v>
      </c>
      <c r="O10" s="280">
        <f>(LN(2)/L10)/(60*60*24)*10^(K10-5)</f>
        <v>1.6107612024495985E-6</v>
      </c>
      <c r="P10" s="280">
        <f>O10*10^5</f>
        <v>0.16107612024495985</v>
      </c>
      <c r="Q10" s="669">
        <f t="shared" si="2"/>
        <v>4.0799174270689491</v>
      </c>
      <c r="R10" s="670">
        <f>S10*10^-5</f>
        <v>1.9663478380247192E-6</v>
      </c>
      <c r="S10" s="670">
        <f>EXP(LN(P10)+$J10*(1/$H10-1/298.15)/0.0019872)</f>
        <v>0.1966347838024719</v>
      </c>
      <c r="T10" s="292"/>
      <c r="U10" s="292"/>
      <c r="V10" s="292"/>
      <c r="W10" s="174"/>
      <c r="X10" s="174"/>
      <c r="Y10" s="174"/>
      <c r="Z10" s="115"/>
      <c r="AA10" s="115"/>
      <c r="AB10" s="115"/>
      <c r="AC10" s="115"/>
      <c r="AD10" s="280"/>
      <c r="AE10" s="669"/>
      <c r="AF10" s="670"/>
      <c r="AG10" s="292"/>
      <c r="AH10" s="292"/>
      <c r="AI10" s="292"/>
      <c r="AJ10" s="174"/>
      <c r="AK10" s="174"/>
      <c r="AL10" s="174"/>
      <c r="AM10" s="115"/>
      <c r="AN10" s="115"/>
      <c r="AO10" s="115"/>
      <c r="AP10" s="115"/>
      <c r="AQ10" s="280"/>
      <c r="AR10" s="280"/>
      <c r="AS10" s="682"/>
      <c r="AT10" s="670"/>
      <c r="AU10" s="670"/>
      <c r="AV10" s="292"/>
      <c r="AW10" s="292"/>
      <c r="AX10" s="292"/>
      <c r="AY10" s="115"/>
      <c r="AZ10" s="115"/>
      <c r="BA10" s="115"/>
      <c r="BB10" s="192"/>
      <c r="BC10" s="192"/>
      <c r="BD10" s="192"/>
      <c r="BE10" s="115"/>
      <c r="BF10" s="115"/>
    </row>
    <row r="11" spans="1:58" s="4" customFormat="1" x14ac:dyDescent="0.3">
      <c r="A11" s="348"/>
      <c r="B11" s="34"/>
      <c r="C11" s="115"/>
      <c r="D11" s="314"/>
      <c r="E11" s="31"/>
      <c r="F11" s="115" t="s">
        <v>745</v>
      </c>
      <c r="G11" s="115">
        <v>23</v>
      </c>
      <c r="H11" s="115">
        <f t="shared" si="1"/>
        <v>296.14999999999998</v>
      </c>
      <c r="I11" s="665">
        <f t="shared" si="0"/>
        <v>14.066135194626176</v>
      </c>
      <c r="J11" s="279">
        <v>17.5</v>
      </c>
      <c r="K11" s="115">
        <v>6.3</v>
      </c>
      <c r="L11" s="115">
        <v>52.9</v>
      </c>
      <c r="M11" s="115"/>
      <c r="N11" s="115" t="s">
        <v>605</v>
      </c>
      <c r="O11" s="280">
        <f>(LN(2)/L11)/(60*60*24)*10^(K11-5)</f>
        <v>3.0259102781676396E-6</v>
      </c>
      <c r="P11" s="280">
        <f>O11*10^5</f>
        <v>0.30259102781676395</v>
      </c>
      <c r="Q11" s="669">
        <f t="shared" si="2"/>
        <v>2.1718332986066708</v>
      </c>
      <c r="R11" s="670">
        <f>S11*10^-5</f>
        <v>3.6939008243327073E-6</v>
      </c>
      <c r="S11" s="670">
        <f>EXP(LN(P11)+$J11*(1/$H11-1/298.15)/0.0019872)</f>
        <v>0.36939008243327071</v>
      </c>
      <c r="T11" s="292"/>
      <c r="U11" s="292"/>
      <c r="V11" s="292"/>
      <c r="W11" s="174"/>
      <c r="X11" s="174"/>
      <c r="Y11" s="174"/>
      <c r="Z11" s="115"/>
      <c r="AA11" s="115"/>
      <c r="AB11" s="115"/>
      <c r="AC11" s="115"/>
      <c r="AD11" s="280"/>
      <c r="AE11" s="669"/>
      <c r="AF11" s="670"/>
      <c r="AG11" s="292"/>
      <c r="AH11" s="292"/>
      <c r="AI11" s="292"/>
      <c r="AJ11" s="174"/>
      <c r="AK11" s="174"/>
      <c r="AL11" s="174"/>
      <c r="AM11" s="115"/>
      <c r="AN11" s="115"/>
      <c r="AO11" s="115"/>
      <c r="AP11" s="115"/>
      <c r="AQ11" s="280"/>
      <c r="AR11" s="280"/>
      <c r="AS11" s="682"/>
      <c r="AT11" s="670"/>
      <c r="AU11" s="670"/>
      <c r="AV11" s="292"/>
      <c r="AW11" s="292"/>
      <c r="AX11" s="292"/>
      <c r="AY11" s="115"/>
      <c r="AZ11" s="115"/>
      <c r="BA11" s="115"/>
      <c r="BB11" s="192"/>
      <c r="BC11" s="192"/>
      <c r="BD11" s="192"/>
      <c r="BE11" s="115"/>
      <c r="BF11" s="115"/>
    </row>
    <row r="12" spans="1:58" s="4" customFormat="1" x14ac:dyDescent="0.3">
      <c r="A12" s="348"/>
      <c r="B12" s="34"/>
      <c r="C12" s="115"/>
      <c r="D12" s="314"/>
      <c r="E12" s="31"/>
      <c r="F12" s="115" t="s">
        <v>746</v>
      </c>
      <c r="G12" s="115">
        <v>23</v>
      </c>
      <c r="H12" s="115">
        <f t="shared" si="1"/>
        <v>296.14999999999998</v>
      </c>
      <c r="I12" s="665">
        <f t="shared" si="0"/>
        <v>14.066135194626176</v>
      </c>
      <c r="J12" s="279">
        <v>17.5</v>
      </c>
      <c r="K12" s="115">
        <v>6.3</v>
      </c>
      <c r="L12" s="115">
        <v>60.3</v>
      </c>
      <c r="M12" s="115"/>
      <c r="N12" s="115" t="s">
        <v>605</v>
      </c>
      <c r="O12" s="280">
        <f>(LN(2)/L12)/(60*60*24)*10^(K12-5)</f>
        <v>2.6545713717258395E-6</v>
      </c>
      <c r="P12" s="280">
        <f>O12*10^5</f>
        <v>0.26545713717258396</v>
      </c>
      <c r="Q12" s="669">
        <f t="shared" si="2"/>
        <v>2.4756436277123304</v>
      </c>
      <c r="R12" s="670">
        <f>S12*10^-5</f>
        <v>3.240586295310119E-6</v>
      </c>
      <c r="S12" s="670">
        <f>EXP(LN(P12)+$J12*(1/$H12-1/298.15)/0.0019872)</f>
        <v>0.32405862953101189</v>
      </c>
      <c r="T12" s="292"/>
      <c r="U12" s="292"/>
      <c r="V12" s="292"/>
      <c r="W12" s="174"/>
      <c r="X12" s="174"/>
      <c r="Y12" s="174"/>
      <c r="Z12" s="115"/>
      <c r="AA12" s="115"/>
      <c r="AB12" s="115"/>
      <c r="AC12" s="115"/>
      <c r="AD12" s="280"/>
      <c r="AE12" s="669"/>
      <c r="AF12" s="670"/>
      <c r="AG12" s="292"/>
      <c r="AH12" s="292"/>
      <c r="AI12" s="292"/>
      <c r="AJ12" s="174"/>
      <c r="AK12" s="174"/>
      <c r="AL12" s="174"/>
      <c r="AM12" s="115"/>
      <c r="AN12" s="115"/>
      <c r="AO12" s="115"/>
      <c r="AP12" s="115"/>
      <c r="AQ12" s="280"/>
      <c r="AR12" s="280"/>
      <c r="AS12" s="682"/>
      <c r="AT12" s="670"/>
      <c r="AU12" s="670"/>
      <c r="AV12" s="292"/>
      <c r="AW12" s="292"/>
      <c r="AX12" s="292"/>
      <c r="AY12" s="115"/>
      <c r="AZ12" s="115"/>
      <c r="BA12" s="115"/>
      <c r="BB12" s="192"/>
      <c r="BC12" s="192"/>
      <c r="BD12" s="192"/>
      <c r="BE12" s="115"/>
      <c r="BF12" s="115"/>
    </row>
    <row r="13" spans="1:58" s="4" customFormat="1" x14ac:dyDescent="0.3">
      <c r="A13" s="348"/>
      <c r="B13" s="34"/>
      <c r="C13" s="115"/>
      <c r="D13" s="314"/>
      <c r="E13" s="31"/>
      <c r="F13" s="115" t="s">
        <v>747</v>
      </c>
      <c r="G13" s="115">
        <v>23</v>
      </c>
      <c r="H13" s="115">
        <f t="shared" si="1"/>
        <v>296.14999999999998</v>
      </c>
      <c r="I13" s="665">
        <f t="shared" si="0"/>
        <v>14.066135194626176</v>
      </c>
      <c r="J13" s="279">
        <v>17.5</v>
      </c>
      <c r="K13" s="115"/>
      <c r="L13" s="115"/>
      <c r="M13" s="115"/>
      <c r="N13" s="115"/>
      <c r="O13" s="280"/>
      <c r="P13" s="280"/>
      <c r="Q13" s="674"/>
      <c r="R13" s="670"/>
      <c r="S13" s="670"/>
      <c r="T13" s="292"/>
      <c r="U13" s="292"/>
      <c r="V13" s="292"/>
      <c r="W13" s="174"/>
      <c r="X13" s="174"/>
      <c r="Y13" s="174"/>
      <c r="Z13" s="115"/>
      <c r="AA13" s="115"/>
      <c r="AB13" s="115"/>
      <c r="AC13" s="115"/>
      <c r="AD13" s="280"/>
      <c r="AE13" s="669"/>
      <c r="AF13" s="670"/>
      <c r="AG13" s="292"/>
      <c r="AH13" s="292"/>
      <c r="AI13" s="292"/>
      <c r="AJ13" s="174"/>
      <c r="AK13" s="174"/>
      <c r="AL13" s="174"/>
      <c r="AM13" s="115">
        <v>8.0500000000000007</v>
      </c>
      <c r="AN13" s="115">
        <v>39.200000000000003</v>
      </c>
      <c r="AO13" s="115"/>
      <c r="AP13" s="115" t="s">
        <v>605</v>
      </c>
      <c r="AQ13" s="280">
        <f>(LN(2)/AN13)/(60*60*24)*10^(9-AM13)</f>
        <v>1.8240034336581483E-6</v>
      </c>
      <c r="AR13" s="280">
        <f>AQ13*10^($I13-9)</f>
        <v>0.21240309766996288</v>
      </c>
      <c r="AS13" s="682">
        <f>(LN(2)/AT13)/(60*60*24)</f>
        <v>3.0940098203897355</v>
      </c>
      <c r="AT13" s="670">
        <f>AU13*10^(9-14)</f>
        <v>2.5929254520032028E-6</v>
      </c>
      <c r="AU13" s="670">
        <f>EXP(LN(AR13)+$J13*(1/$H13-1/298.15)/0.0019872)</f>
        <v>0.25929254520032025</v>
      </c>
      <c r="AV13" s="292"/>
      <c r="AW13" s="292"/>
      <c r="AX13" s="292"/>
      <c r="AY13" s="115"/>
      <c r="AZ13" s="115"/>
      <c r="BA13" s="115"/>
      <c r="BB13" s="192"/>
      <c r="BC13" s="192"/>
      <c r="BD13" s="192"/>
      <c r="BE13" s="115"/>
      <c r="BF13" s="115"/>
    </row>
    <row r="14" spans="1:58" s="4" customFormat="1" x14ac:dyDescent="0.3">
      <c r="A14" s="348"/>
      <c r="B14" s="34"/>
      <c r="C14" s="115"/>
      <c r="D14" s="314"/>
      <c r="E14" s="31"/>
      <c r="F14" s="115" t="s">
        <v>748</v>
      </c>
      <c r="G14" s="115">
        <v>23</v>
      </c>
      <c r="H14" s="115">
        <f t="shared" si="1"/>
        <v>296.14999999999998</v>
      </c>
      <c r="I14" s="665">
        <f t="shared" si="0"/>
        <v>14.066135194626176</v>
      </c>
      <c r="J14" s="279">
        <v>17.5</v>
      </c>
      <c r="K14" s="115"/>
      <c r="L14" s="115"/>
      <c r="M14" s="115"/>
      <c r="N14" s="115"/>
      <c r="O14" s="280"/>
      <c r="P14" s="280"/>
      <c r="Q14" s="674"/>
      <c r="R14" s="670"/>
      <c r="S14" s="670"/>
      <c r="T14" s="292"/>
      <c r="U14" s="292"/>
      <c r="V14" s="292"/>
      <c r="W14" s="174"/>
      <c r="X14" s="174"/>
      <c r="Y14" s="174"/>
      <c r="Z14" s="115"/>
      <c r="AA14" s="115"/>
      <c r="AB14" s="115"/>
      <c r="AC14" s="115"/>
      <c r="AD14" s="280"/>
      <c r="AE14" s="669"/>
      <c r="AF14" s="670"/>
      <c r="AG14" s="292"/>
      <c r="AH14" s="292"/>
      <c r="AI14" s="292"/>
      <c r="AJ14" s="174"/>
      <c r="AK14" s="174"/>
      <c r="AL14" s="174"/>
      <c r="AM14" s="115">
        <v>8.0500000000000007</v>
      </c>
      <c r="AN14" s="115">
        <v>27.1</v>
      </c>
      <c r="AO14" s="115"/>
      <c r="AP14" s="115" t="s">
        <v>605</v>
      </c>
      <c r="AQ14" s="280">
        <f>(LN(2)/AN14)/(60*60*24)*10^(9-AM14)</f>
        <v>2.6384108708265469E-6</v>
      </c>
      <c r="AR14" s="280">
        <f>AQ14*10^($I14-9)</f>
        <v>0.30723990511669907</v>
      </c>
      <c r="AS14" s="682">
        <f>(LN(2)/AT14)/(60*60*24)</f>
        <v>2.1389710748102506</v>
      </c>
      <c r="AT14" s="670">
        <f>AU14*10^(9-14)</f>
        <v>3.7506523143367366E-6</v>
      </c>
      <c r="AU14" s="670">
        <f>EXP(LN(AR14)+$J14*(1/$H14-1/298.15)/0.0019872)</f>
        <v>0.37506523143367365</v>
      </c>
      <c r="AV14" s="292"/>
      <c r="AW14" s="292"/>
      <c r="AX14" s="292"/>
      <c r="AY14" s="115"/>
      <c r="AZ14" s="115"/>
      <c r="BA14" s="115"/>
      <c r="BB14" s="192"/>
      <c r="BC14" s="192"/>
      <c r="BD14" s="192"/>
      <c r="BE14" s="115"/>
      <c r="BF14" s="115"/>
    </row>
    <row r="15" spans="1:58" s="4" customFormat="1" x14ac:dyDescent="0.3">
      <c r="A15" s="348"/>
      <c r="B15" s="34"/>
      <c r="C15" s="115"/>
      <c r="D15" s="314"/>
      <c r="E15" s="115" t="s">
        <v>212</v>
      </c>
      <c r="F15" s="115"/>
      <c r="G15" s="115">
        <v>29</v>
      </c>
      <c r="H15" s="115">
        <f t="shared" si="1"/>
        <v>302.14999999999998</v>
      </c>
      <c r="I15" s="665">
        <f t="shared" si="0"/>
        <v>13.87035619468117</v>
      </c>
      <c r="J15" s="279">
        <v>17.5</v>
      </c>
      <c r="K15" s="115">
        <v>4</v>
      </c>
      <c r="L15" s="115">
        <v>14</v>
      </c>
      <c r="M15" s="115"/>
      <c r="N15" s="115" t="s">
        <v>605</v>
      </c>
      <c r="O15" s="280">
        <f>(LN(2)/L15)/(60*60*24)*10^(K15-5)</f>
        <v>5.7303834371688594E-8</v>
      </c>
      <c r="P15" s="280">
        <f>O15*10^5</f>
        <v>5.7303834371688596E-3</v>
      </c>
      <c r="Q15" s="669">
        <f>(LN(2)/R15)/(60*60*24)</f>
        <v>206.98834611561986</v>
      </c>
      <c r="R15" s="670">
        <f>S15*10^-5</f>
        <v>3.8758398540733125E-8</v>
      </c>
      <c r="S15" s="670">
        <f>EXP(LN(P15)+$J15*(1/$H15-1/298.15)/0.0019872)</f>
        <v>3.8758398540733119E-3</v>
      </c>
      <c r="T15" s="292"/>
      <c r="U15" s="292"/>
      <c r="V15" s="292"/>
      <c r="W15" s="174"/>
      <c r="X15" s="174"/>
      <c r="Y15" s="174"/>
      <c r="Z15" s="115">
        <v>7</v>
      </c>
      <c r="AA15" s="115">
        <v>11.3</v>
      </c>
      <c r="AB15" s="115"/>
      <c r="AC15" s="115" t="s">
        <v>605</v>
      </c>
      <c r="AD15" s="280">
        <f t="shared" ref="AD15:AD18" si="3">(LN(2)/AA15)/(60*60*24)</f>
        <v>7.0995900991472596E-7</v>
      </c>
      <c r="AE15" s="669">
        <f t="shared" ref="AE15:AE18" si="4">(LN(2)/AF15)/(60*60*24)</f>
        <v>16.706916507903603</v>
      </c>
      <c r="AF15" s="670">
        <f t="shared" ref="AF15:AF18" si="5">EXP(LN(AD15)+$J15*(1/$H15-1/298.15)/0.0019872)</f>
        <v>4.8019254829226887E-7</v>
      </c>
      <c r="AG15" s="292">
        <f>AVERAGE(AE15:AE21)</f>
        <v>56.453644345240605</v>
      </c>
      <c r="AH15" s="292">
        <f>MEDIAN(AE15:AE21)</f>
        <v>68.55383043652941</v>
      </c>
      <c r="AI15" s="292">
        <f>STDEV(AE15:AE21)</f>
        <v>26.696271425847911</v>
      </c>
      <c r="AJ15" s="174"/>
      <c r="AK15" s="174"/>
      <c r="AL15" s="174"/>
      <c r="AM15" s="115">
        <v>10</v>
      </c>
      <c r="AN15" s="115">
        <v>4.57</v>
      </c>
      <c r="AO15" s="115"/>
      <c r="AP15" s="115" t="s">
        <v>605</v>
      </c>
      <c r="AQ15" s="280">
        <f>(LN(2)/AN15)/(60*60*24)*10^(9-AM15)</f>
        <v>1.7554785146687974E-7</v>
      </c>
      <c r="AR15" s="280">
        <f>AQ15*10^($I15-9)</f>
        <v>1.3024219689278914E-2</v>
      </c>
      <c r="AS15" s="682">
        <f>(LN(2)/AT15)/(60*60*24)</f>
        <v>91.070530025249653</v>
      </c>
      <c r="AT15" s="670">
        <f>AU15*10^(9-14)</f>
        <v>8.80914694337688E-8</v>
      </c>
      <c r="AU15" s="670">
        <f>EXP(LN(AR15)+$J15*(1/$H15-1/298.15)/0.0019872)</f>
        <v>8.8091469433768787E-3</v>
      </c>
      <c r="AV15" s="292"/>
      <c r="AW15" s="292"/>
      <c r="AX15" s="292"/>
      <c r="AY15" s="115"/>
      <c r="AZ15" s="115"/>
      <c r="BA15" s="115"/>
      <c r="BB15" s="192"/>
      <c r="BC15" s="192"/>
      <c r="BD15" s="192"/>
      <c r="BE15" s="115"/>
      <c r="BF15" s="115"/>
    </row>
    <row r="16" spans="1:58" s="4" customFormat="1" x14ac:dyDescent="0.3">
      <c r="A16" s="348"/>
      <c r="B16" s="34"/>
      <c r="C16" s="115"/>
      <c r="D16" s="314"/>
      <c r="E16" s="349" t="s">
        <v>218</v>
      </c>
      <c r="F16" s="115" t="s">
        <v>810</v>
      </c>
      <c r="G16" s="115">
        <v>25</v>
      </c>
      <c r="H16" s="115">
        <f t="shared" si="1"/>
        <v>298.14999999999998</v>
      </c>
      <c r="I16" s="665">
        <f t="shared" si="0"/>
        <v>14</v>
      </c>
      <c r="J16" s="279">
        <v>17.5</v>
      </c>
      <c r="K16" s="115"/>
      <c r="L16" s="115"/>
      <c r="M16" s="115"/>
      <c r="N16" s="115"/>
      <c r="O16" s="280"/>
      <c r="P16" s="280"/>
      <c r="Q16" s="674"/>
      <c r="R16" s="670"/>
      <c r="S16" s="670"/>
      <c r="T16" s="292"/>
      <c r="U16" s="292"/>
      <c r="V16" s="292"/>
      <c r="W16" s="174"/>
      <c r="X16" s="174"/>
      <c r="Y16" s="174"/>
      <c r="Z16" s="115">
        <v>5</v>
      </c>
      <c r="AA16" s="115">
        <v>72</v>
      </c>
      <c r="AB16" s="115"/>
      <c r="AC16" s="115" t="s">
        <v>605</v>
      </c>
      <c r="AD16" s="280">
        <f t="shared" si="3"/>
        <v>1.114241223893945E-7</v>
      </c>
      <c r="AE16" s="669">
        <f t="shared" si="4"/>
        <v>72</v>
      </c>
      <c r="AF16" s="670">
        <f t="shared" si="5"/>
        <v>1.1142412238939449E-7</v>
      </c>
      <c r="AG16" s="292"/>
      <c r="AH16" s="292"/>
      <c r="AI16" s="292"/>
      <c r="AJ16" s="174"/>
      <c r="AK16" s="174"/>
      <c r="AL16" s="174"/>
      <c r="AM16" s="115"/>
      <c r="AN16" s="115"/>
      <c r="AO16" s="115"/>
      <c r="AP16" s="115"/>
      <c r="AQ16" s="280"/>
      <c r="AR16" s="280"/>
      <c r="AS16" s="682"/>
      <c r="AT16" s="670"/>
      <c r="AU16" s="670"/>
      <c r="AV16" s="292"/>
      <c r="AW16" s="292"/>
      <c r="AX16" s="292"/>
      <c r="AY16" s="115"/>
      <c r="AZ16" s="115"/>
      <c r="BA16" s="115"/>
      <c r="BB16" s="192"/>
      <c r="BC16" s="192"/>
      <c r="BD16" s="192"/>
      <c r="BE16" s="115"/>
      <c r="BF16" s="115"/>
    </row>
    <row r="17" spans="1:58" s="4" customFormat="1" x14ac:dyDescent="0.3">
      <c r="A17" s="348"/>
      <c r="B17" s="34"/>
      <c r="C17" s="115"/>
      <c r="D17" s="314"/>
      <c r="E17" s="349" t="s">
        <v>218</v>
      </c>
      <c r="F17" s="115" t="s">
        <v>810</v>
      </c>
      <c r="G17" s="115">
        <v>25</v>
      </c>
      <c r="H17" s="115">
        <f t="shared" si="1"/>
        <v>298.14999999999998</v>
      </c>
      <c r="I17" s="665">
        <f t="shared" si="0"/>
        <v>14</v>
      </c>
      <c r="J17" s="279">
        <v>17.5</v>
      </c>
      <c r="K17" s="115"/>
      <c r="L17" s="115"/>
      <c r="M17" s="115"/>
      <c r="N17" s="115"/>
      <c r="O17" s="280"/>
      <c r="P17" s="280"/>
      <c r="Q17" s="675"/>
      <c r="R17" s="670"/>
      <c r="S17" s="670"/>
      <c r="T17" s="292"/>
      <c r="U17" s="292"/>
      <c r="V17" s="292"/>
      <c r="W17" s="174"/>
      <c r="X17" s="174"/>
      <c r="Y17" s="174"/>
      <c r="Z17" s="115">
        <v>7</v>
      </c>
      <c r="AA17" s="115">
        <v>72</v>
      </c>
      <c r="AB17" s="115"/>
      <c r="AC17" s="115" t="s">
        <v>605</v>
      </c>
      <c r="AD17" s="280">
        <f t="shared" si="3"/>
        <v>1.114241223893945E-7</v>
      </c>
      <c r="AE17" s="669">
        <f t="shared" si="4"/>
        <v>72</v>
      </c>
      <c r="AF17" s="670">
        <f t="shared" si="5"/>
        <v>1.1142412238939449E-7</v>
      </c>
      <c r="AG17" s="292"/>
      <c r="AH17" s="292"/>
      <c r="AI17" s="292"/>
      <c r="AJ17" s="174"/>
      <c r="AK17" s="174"/>
      <c r="AL17" s="174"/>
      <c r="AM17" s="115">
        <v>9</v>
      </c>
      <c r="AN17" s="115">
        <v>16</v>
      </c>
      <c r="AO17" s="115"/>
      <c r="AP17" s="115" t="s">
        <v>605</v>
      </c>
      <c r="AQ17" s="280">
        <f>(LN(2)/AN17)/(60*60*24)*10^(9-AM17)</f>
        <v>5.0140855075227523E-7</v>
      </c>
      <c r="AR17" s="280">
        <f>AQ17*10^($I17-9)</f>
        <v>5.0140855075227524E-2</v>
      </c>
      <c r="AS17" s="682">
        <f>(LN(2)/AT17)/(60*60*24)</f>
        <v>15.999999999999995</v>
      </c>
      <c r="AT17" s="670">
        <f>AU17*10^(9-14)</f>
        <v>5.0140855075227545E-7</v>
      </c>
      <c r="AU17" s="670">
        <f>EXP(LN(AR17)+$J17*(1/$H17-1/298.15)/0.0019872)</f>
        <v>5.0140855075227538E-2</v>
      </c>
      <c r="AV17" s="292"/>
      <c r="AW17" s="292"/>
      <c r="AX17" s="292"/>
      <c r="AY17" s="115"/>
      <c r="AZ17" s="115"/>
      <c r="BA17" s="115"/>
      <c r="BB17" s="192" t="s">
        <v>174</v>
      </c>
      <c r="BC17" s="192" t="s">
        <v>175</v>
      </c>
      <c r="BD17" s="192"/>
      <c r="BE17" s="115"/>
      <c r="BF17" s="115"/>
    </row>
    <row r="18" spans="1:58" s="4" customFormat="1" x14ac:dyDescent="0.3">
      <c r="A18" s="348"/>
      <c r="B18" s="34"/>
      <c r="C18" s="115"/>
      <c r="D18" s="314"/>
      <c r="E18" s="351"/>
      <c r="F18" s="115" t="s">
        <v>219</v>
      </c>
      <c r="G18" s="115">
        <v>30</v>
      </c>
      <c r="H18" s="115">
        <f t="shared" si="1"/>
        <v>303.14999999999998</v>
      </c>
      <c r="I18" s="665">
        <f t="shared" si="0"/>
        <v>13.838479812893434</v>
      </c>
      <c r="J18" s="279">
        <v>17.5</v>
      </c>
      <c r="K18" s="115"/>
      <c r="L18" s="115"/>
      <c r="M18" s="115"/>
      <c r="N18" s="115"/>
      <c r="O18" s="280"/>
      <c r="P18" s="280"/>
      <c r="Q18" s="674"/>
      <c r="R18" s="670"/>
      <c r="S18" s="670"/>
      <c r="T18" s="292"/>
      <c r="U18" s="292"/>
      <c r="V18" s="292"/>
      <c r="W18" s="174"/>
      <c r="X18" s="174"/>
      <c r="Y18" s="174"/>
      <c r="Z18" s="115">
        <v>7</v>
      </c>
      <c r="AA18" s="115">
        <v>40</v>
      </c>
      <c r="AB18" s="115"/>
      <c r="AC18" s="115" t="s">
        <v>605</v>
      </c>
      <c r="AD18" s="280">
        <f t="shared" si="3"/>
        <v>2.0056342030091008E-7</v>
      </c>
      <c r="AE18" s="669">
        <f t="shared" si="4"/>
        <v>65.107660873058833</v>
      </c>
      <c r="AF18" s="670">
        <f t="shared" si="5"/>
        <v>1.2321955211504277E-7</v>
      </c>
      <c r="AG18" s="292"/>
      <c r="AH18" s="292"/>
      <c r="AI18" s="292"/>
      <c r="AJ18" s="174"/>
      <c r="AK18" s="174"/>
      <c r="AL18" s="174"/>
      <c r="AM18" s="115">
        <v>9</v>
      </c>
      <c r="AN18" s="115">
        <v>24</v>
      </c>
      <c r="AO18" s="115"/>
      <c r="AP18" s="115" t="s">
        <v>605</v>
      </c>
      <c r="AQ18" s="280">
        <f>(LN(2)/AN18)/(60*60*24)*10^(9-AM18)</f>
        <v>3.3427236716818347E-7</v>
      </c>
      <c r="AR18" s="280">
        <f>AQ18*10^($I18-9)</f>
        <v>2.304518982265303E-2</v>
      </c>
      <c r="AS18" s="682">
        <f>(LN(2)/AT18)/(60*60*24)</f>
        <v>56.663517432416263</v>
      </c>
      <c r="AT18" s="670">
        <f>AU18*10^(9-14)</f>
        <v>1.4158204741887136E-7</v>
      </c>
      <c r="AU18" s="670">
        <f>EXP(LN(AR18)+$J18*(1/$H18-1/298.15)/0.0019872)</f>
        <v>1.4158204741887136E-2</v>
      </c>
      <c r="AV18" s="292"/>
      <c r="AW18" s="292"/>
      <c r="AX18" s="292"/>
      <c r="AY18" s="115"/>
      <c r="AZ18" s="115"/>
      <c r="BA18" s="115"/>
      <c r="BB18" s="901"/>
      <c r="BC18" s="901"/>
      <c r="BD18" s="192"/>
      <c r="BE18" s="115"/>
      <c r="BF18" s="115"/>
    </row>
    <row r="19" spans="1:58" s="803" customFormat="1" x14ac:dyDescent="0.3">
      <c r="A19" s="789"/>
      <c r="B19" s="790"/>
      <c r="C19" s="791"/>
      <c r="D19" s="792"/>
      <c r="E19" s="791"/>
      <c r="F19" s="791"/>
      <c r="G19" s="791"/>
      <c r="H19" s="791"/>
      <c r="I19" s="793"/>
      <c r="J19" s="794"/>
      <c r="K19" s="791"/>
      <c r="L19" s="791"/>
      <c r="M19" s="795"/>
      <c r="N19" s="795"/>
      <c r="O19" s="796"/>
      <c r="P19" s="796"/>
      <c r="Q19" s="797"/>
      <c r="R19" s="798"/>
      <c r="S19" s="798"/>
      <c r="T19" s="799"/>
      <c r="U19" s="799"/>
      <c r="V19" s="799"/>
      <c r="W19" s="800"/>
      <c r="X19" s="800"/>
      <c r="Y19" s="800"/>
      <c r="Z19" s="791"/>
      <c r="AA19" s="791"/>
      <c r="AB19" s="795"/>
      <c r="AC19" s="795"/>
      <c r="AD19" s="796"/>
      <c r="AE19" s="797"/>
      <c r="AF19" s="798"/>
      <c r="AG19" s="799"/>
      <c r="AH19" s="799"/>
      <c r="AI19" s="799"/>
      <c r="AJ19" s="800"/>
      <c r="AK19" s="800"/>
      <c r="AL19" s="800"/>
      <c r="AM19" s="791"/>
      <c r="AN19" s="791"/>
      <c r="AO19" s="795"/>
      <c r="AP19" s="795"/>
      <c r="AQ19" s="796"/>
      <c r="AR19" s="796"/>
      <c r="AS19" s="801"/>
      <c r="AT19" s="798"/>
      <c r="AU19" s="798"/>
      <c r="AV19" s="799"/>
      <c r="AW19" s="799"/>
      <c r="AX19" s="799"/>
      <c r="AY19" s="791"/>
      <c r="AZ19" s="791"/>
      <c r="BA19" s="791"/>
      <c r="BB19" s="901"/>
      <c r="BC19" s="901"/>
      <c r="BD19" s="802"/>
      <c r="BE19" s="791"/>
      <c r="BF19" s="791"/>
    </row>
    <row r="20" spans="1:58" s="803" customFormat="1" x14ac:dyDescent="0.3">
      <c r="A20" s="789"/>
      <c r="B20" s="790"/>
      <c r="C20" s="791"/>
      <c r="D20" s="792"/>
      <c r="E20" s="804"/>
      <c r="F20" s="791"/>
      <c r="G20" s="791"/>
      <c r="H20" s="791"/>
      <c r="I20" s="793"/>
      <c r="J20" s="794"/>
      <c r="K20" s="791"/>
      <c r="L20" s="791"/>
      <c r="M20" s="795"/>
      <c r="N20" s="795"/>
      <c r="O20" s="796"/>
      <c r="P20" s="796"/>
      <c r="Q20" s="797"/>
      <c r="R20" s="798"/>
      <c r="S20" s="798"/>
      <c r="T20" s="799"/>
      <c r="U20" s="799"/>
      <c r="V20" s="799"/>
      <c r="W20" s="800"/>
      <c r="X20" s="800"/>
      <c r="Y20" s="800"/>
      <c r="Z20" s="791"/>
      <c r="AA20" s="791"/>
      <c r="AB20" s="795"/>
      <c r="AC20" s="795"/>
      <c r="AD20" s="796"/>
      <c r="AE20" s="797"/>
      <c r="AF20" s="798"/>
      <c r="AG20" s="799"/>
      <c r="AH20" s="799"/>
      <c r="AI20" s="799"/>
      <c r="AJ20" s="800"/>
      <c r="AK20" s="800"/>
      <c r="AL20" s="800"/>
      <c r="AM20" s="791"/>
      <c r="AN20" s="791"/>
      <c r="AO20" s="795"/>
      <c r="AP20" s="795"/>
      <c r="AQ20" s="796"/>
      <c r="AR20" s="796"/>
      <c r="AS20" s="801"/>
      <c r="AT20" s="798"/>
      <c r="AU20" s="798"/>
      <c r="AV20" s="799"/>
      <c r="AW20" s="799"/>
      <c r="AX20" s="799"/>
      <c r="AY20" s="791"/>
      <c r="AZ20" s="791"/>
      <c r="BA20" s="791"/>
      <c r="BB20" s="901"/>
      <c r="BC20" s="901"/>
      <c r="BD20" s="802"/>
      <c r="BE20" s="791"/>
      <c r="BF20" s="791"/>
    </row>
    <row r="21" spans="1:58" s="803" customFormat="1" x14ac:dyDescent="0.3">
      <c r="A21" s="789"/>
      <c r="B21" s="790"/>
      <c r="C21" s="791"/>
      <c r="D21" s="792"/>
      <c r="E21" s="804"/>
      <c r="F21" s="791"/>
      <c r="G21" s="791"/>
      <c r="H21" s="791"/>
      <c r="I21" s="793"/>
      <c r="J21" s="794"/>
      <c r="K21" s="791"/>
      <c r="L21" s="791"/>
      <c r="M21" s="795"/>
      <c r="N21" s="795"/>
      <c r="O21" s="796"/>
      <c r="P21" s="796"/>
      <c r="Q21" s="797"/>
      <c r="R21" s="798"/>
      <c r="S21" s="798"/>
      <c r="T21" s="799"/>
      <c r="U21" s="799"/>
      <c r="V21" s="799"/>
      <c r="W21" s="800"/>
      <c r="X21" s="800"/>
      <c r="Y21" s="800"/>
      <c r="Z21" s="791"/>
      <c r="AA21" s="791"/>
      <c r="AB21" s="795"/>
      <c r="AC21" s="795"/>
      <c r="AD21" s="796"/>
      <c r="AE21" s="797"/>
      <c r="AF21" s="798"/>
      <c r="AG21" s="799"/>
      <c r="AH21" s="799"/>
      <c r="AI21" s="799"/>
      <c r="AJ21" s="800"/>
      <c r="AK21" s="800"/>
      <c r="AL21" s="800"/>
      <c r="AM21" s="791"/>
      <c r="AN21" s="791"/>
      <c r="AO21" s="795"/>
      <c r="AP21" s="795"/>
      <c r="AQ21" s="796"/>
      <c r="AR21" s="796"/>
      <c r="AS21" s="801"/>
      <c r="AT21" s="798"/>
      <c r="AU21" s="798"/>
      <c r="AV21" s="799"/>
      <c r="AW21" s="799"/>
      <c r="AX21" s="799"/>
      <c r="AY21" s="791"/>
      <c r="AZ21" s="791"/>
      <c r="BA21" s="791"/>
      <c r="BB21" s="901"/>
      <c r="BC21" s="901"/>
      <c r="BD21" s="802"/>
      <c r="BE21" s="791"/>
      <c r="BF21" s="791"/>
    </row>
    <row r="22" spans="1:58" s="4" customFormat="1" x14ac:dyDescent="0.3">
      <c r="A22" s="348"/>
      <c r="B22" s="34"/>
      <c r="C22" s="115"/>
      <c r="D22" s="314"/>
      <c r="E22" s="131"/>
      <c r="F22" s="115"/>
      <c r="G22" s="115"/>
      <c r="H22" s="115"/>
      <c r="I22" s="665"/>
      <c r="J22" s="279"/>
      <c r="K22" s="115"/>
      <c r="L22" s="115"/>
      <c r="M22" s="283"/>
      <c r="N22" s="283"/>
      <c r="O22" s="280"/>
      <c r="P22" s="280"/>
      <c r="Q22" s="676"/>
      <c r="R22" s="670"/>
      <c r="S22" s="670"/>
      <c r="T22" s="292"/>
      <c r="U22" s="292"/>
      <c r="V22" s="292"/>
      <c r="W22" s="174"/>
      <c r="X22" s="174"/>
      <c r="Y22" s="174"/>
      <c r="Z22" s="115"/>
      <c r="AA22" s="115"/>
      <c r="AB22" s="283"/>
      <c r="AC22" s="283"/>
      <c r="AD22" s="280"/>
      <c r="AE22" s="669"/>
      <c r="AF22" s="670"/>
      <c r="AG22" s="292"/>
      <c r="AH22" s="292"/>
      <c r="AI22" s="292"/>
      <c r="AJ22" s="174"/>
      <c r="AK22" s="174"/>
      <c r="AL22" s="174"/>
      <c r="AM22" s="115"/>
      <c r="AN22" s="115"/>
      <c r="AO22" s="283"/>
      <c r="AP22" s="283"/>
      <c r="AQ22" s="280"/>
      <c r="AR22" s="280"/>
      <c r="AS22" s="682"/>
      <c r="AT22" s="670"/>
      <c r="AU22" s="670"/>
      <c r="AV22" s="292"/>
      <c r="AW22" s="292"/>
      <c r="AX22" s="292"/>
      <c r="AY22" s="115"/>
      <c r="AZ22" s="115"/>
      <c r="BA22" s="115"/>
      <c r="BB22" s="580"/>
      <c r="BC22" s="580"/>
      <c r="BD22" s="192"/>
      <c r="BE22" s="115"/>
      <c r="BF22" s="115"/>
    </row>
    <row r="23" spans="1:58" s="4" customFormat="1" ht="15" thickBot="1" x14ac:dyDescent="0.35">
      <c r="A23" s="348"/>
      <c r="B23" s="34"/>
      <c r="C23" s="115"/>
      <c r="D23" s="314"/>
      <c r="E23" s="131"/>
      <c r="F23" s="115"/>
      <c r="G23" s="115"/>
      <c r="H23" s="115"/>
      <c r="I23" s="665"/>
      <c r="J23" s="279"/>
      <c r="K23" s="115"/>
      <c r="L23" s="115"/>
      <c r="M23" s="283"/>
      <c r="N23" s="283"/>
      <c r="O23" s="280"/>
      <c r="P23" s="280"/>
      <c r="Q23" s="676"/>
      <c r="R23" s="670"/>
      <c r="S23" s="670"/>
      <c r="T23" s="292"/>
      <c r="U23" s="292"/>
      <c r="V23" s="292"/>
      <c r="W23" s="174"/>
      <c r="X23" s="174"/>
      <c r="Y23" s="174"/>
      <c r="Z23" s="115"/>
      <c r="AA23" s="115"/>
      <c r="AB23" s="283"/>
      <c r="AC23" s="283"/>
      <c r="AD23" s="280"/>
      <c r="AE23" s="669"/>
      <c r="AF23" s="670"/>
      <c r="AG23" s="292"/>
      <c r="AH23" s="292"/>
      <c r="AI23" s="292"/>
      <c r="AJ23" s="174"/>
      <c r="AK23" s="174"/>
      <c r="AL23" s="174"/>
      <c r="AM23" s="115"/>
      <c r="AN23" s="115"/>
      <c r="AO23" s="283"/>
      <c r="AP23" s="283"/>
      <c r="AQ23" s="280"/>
      <c r="AR23" s="280"/>
      <c r="AS23" s="682"/>
      <c r="AT23" s="670"/>
      <c r="AU23" s="670"/>
      <c r="AV23" s="292"/>
      <c r="AW23" s="292"/>
      <c r="AX23" s="292"/>
      <c r="AY23" s="115"/>
      <c r="AZ23" s="115"/>
      <c r="BA23" s="115"/>
      <c r="BB23" s="580"/>
      <c r="BC23" s="580"/>
      <c r="BD23" s="192"/>
      <c r="BE23" s="115"/>
      <c r="BF23" s="115"/>
    </row>
    <row r="24" spans="1:58" s="12" customFormat="1" x14ac:dyDescent="0.3">
      <c r="A24" s="366">
        <v>4</v>
      </c>
      <c r="B24" s="367" t="s">
        <v>11</v>
      </c>
      <c r="C24" s="56" t="s">
        <v>176</v>
      </c>
      <c r="D24" s="316"/>
      <c r="E24" s="56" t="s">
        <v>10</v>
      </c>
      <c r="F24" s="56"/>
      <c r="G24" s="56">
        <v>25</v>
      </c>
      <c r="H24" s="56">
        <f>G24+273.15</f>
        <v>298.14999999999998</v>
      </c>
      <c r="I24" s="666">
        <f t="shared" si="0"/>
        <v>14</v>
      </c>
      <c r="J24" s="281">
        <v>17.5</v>
      </c>
      <c r="K24" s="56">
        <v>5</v>
      </c>
      <c r="L24" s="56">
        <v>245</v>
      </c>
      <c r="M24" s="56"/>
      <c r="N24" s="56" t="s">
        <v>605</v>
      </c>
      <c r="O24" s="282">
        <f>(LN(2)/L24)/(60*60*24)*10^(K24-5)</f>
        <v>3.2745048212393487E-8</v>
      </c>
      <c r="P24" s="282">
        <f>O24*10^5</f>
        <v>3.2745048212393488E-3</v>
      </c>
      <c r="Q24" s="672">
        <f>(LN(2)/R24)/(60*60*24)</f>
        <v>245.00000000000006</v>
      </c>
      <c r="R24" s="673">
        <f>S24*10^-5</f>
        <v>3.274504821239348E-8</v>
      </c>
      <c r="S24" s="673">
        <f>EXP(LN(P24)+$J24*(1/$H24-1/298.15)/0.0019872)</f>
        <v>3.2745048212393475E-3</v>
      </c>
      <c r="T24" s="295">
        <f>Q24</f>
        <v>245.00000000000006</v>
      </c>
      <c r="U24" s="293"/>
      <c r="V24" s="293"/>
      <c r="W24" s="294"/>
      <c r="X24" s="294"/>
      <c r="Y24" s="294"/>
      <c r="Z24" s="56">
        <v>7</v>
      </c>
      <c r="AA24" s="56">
        <v>301</v>
      </c>
      <c r="AB24" s="56"/>
      <c r="AC24" s="288" t="s">
        <v>605</v>
      </c>
      <c r="AD24" s="282">
        <f>(LN(2)/AA24)/(60*60*24)</f>
        <v>2.6652946219390043E-8</v>
      </c>
      <c r="AE24" s="672">
        <f>(LN(2)/AF24)/(60*60*24)</f>
        <v>301.00000000000017</v>
      </c>
      <c r="AF24" s="673">
        <f>EXP(LN(AD24)+$J24*(1/$H24-1/298.15)/0.0019872)</f>
        <v>2.665294621939003E-8</v>
      </c>
      <c r="AG24" s="295">
        <f>AE24</f>
        <v>301.00000000000017</v>
      </c>
      <c r="AH24" s="293"/>
      <c r="AI24" s="293"/>
      <c r="AJ24" s="294"/>
      <c r="AK24" s="294"/>
      <c r="AL24" s="294"/>
      <c r="AM24" s="56">
        <v>9</v>
      </c>
      <c r="AN24" s="56">
        <v>235</v>
      </c>
      <c r="AO24" s="56"/>
      <c r="AP24" s="288" t="s">
        <v>605</v>
      </c>
      <c r="AQ24" s="282">
        <f>(LN(2)/AN24)/(60*60*24)*10^(9-AM24)</f>
        <v>3.4138454519303846E-8</v>
      </c>
      <c r="AR24" s="282">
        <f>AQ24*10^($I24-9)</f>
        <v>3.4138454519303846E-3</v>
      </c>
      <c r="AS24" s="681">
        <f>(LN(2)/AT24)/(60*60*24)</f>
        <v>234.99999999999994</v>
      </c>
      <c r="AT24" s="673">
        <f>AU24*10^(9-14)</f>
        <v>3.4138454519303853E-8</v>
      </c>
      <c r="AU24" s="673">
        <f>EXP(LN(AR24)+$J24*(1/$H24-1/298.15)/0.0019872)</f>
        <v>3.413845451930385E-3</v>
      </c>
      <c r="AV24" s="895">
        <f>AS24</f>
        <v>234.99999999999994</v>
      </c>
      <c r="AW24" s="293"/>
      <c r="AX24" s="293"/>
      <c r="AY24" s="56"/>
      <c r="AZ24" s="56"/>
      <c r="BA24" s="56"/>
      <c r="BB24" s="315" t="s">
        <v>177</v>
      </c>
      <c r="BC24" s="315" t="s">
        <v>178</v>
      </c>
      <c r="BD24" s="315"/>
      <c r="BE24" s="56"/>
      <c r="BF24" s="56"/>
    </row>
    <row r="25" spans="1:58" s="4" customFormat="1" ht="15" thickBot="1" x14ac:dyDescent="0.35">
      <c r="A25" s="348"/>
      <c r="B25" s="34"/>
      <c r="C25" s="115"/>
      <c r="D25" s="314"/>
      <c r="E25" s="115"/>
      <c r="F25" s="115"/>
      <c r="G25" s="115"/>
      <c r="H25" s="115"/>
      <c r="I25" s="665"/>
      <c r="J25" s="279"/>
      <c r="K25" s="115"/>
      <c r="L25" s="115"/>
      <c r="M25" s="115"/>
      <c r="N25" s="115"/>
      <c r="O25" s="280"/>
      <c r="P25" s="280"/>
      <c r="Q25" s="676"/>
      <c r="R25" s="670"/>
      <c r="S25" s="670"/>
      <c r="T25" s="292"/>
      <c r="U25" s="292"/>
      <c r="V25" s="292"/>
      <c r="W25" s="174"/>
      <c r="X25" s="174"/>
      <c r="Y25" s="174"/>
      <c r="Z25" s="115"/>
      <c r="AA25" s="115"/>
      <c r="AB25" s="115"/>
      <c r="AC25" s="115"/>
      <c r="AD25" s="280"/>
      <c r="AE25" s="669"/>
      <c r="AF25" s="670"/>
      <c r="AG25" s="292"/>
      <c r="AH25" s="292"/>
      <c r="AI25" s="292"/>
      <c r="AJ25" s="174"/>
      <c r="AK25" s="174"/>
      <c r="AL25" s="174"/>
      <c r="AM25" s="115"/>
      <c r="AN25" s="115"/>
      <c r="AO25" s="115"/>
      <c r="AP25" s="115"/>
      <c r="AQ25" s="280"/>
      <c r="AR25" s="280"/>
      <c r="AS25" s="682"/>
      <c r="AT25" s="670"/>
      <c r="AU25" s="670"/>
      <c r="AV25" s="292"/>
      <c r="AW25" s="850"/>
      <c r="AX25" s="292"/>
      <c r="AY25" s="115"/>
      <c r="AZ25" s="115"/>
      <c r="BA25" s="115"/>
      <c r="BB25" s="192"/>
      <c r="BC25" s="192"/>
      <c r="BD25" s="192"/>
      <c r="BE25" s="115"/>
      <c r="BF25" s="115"/>
    </row>
    <row r="26" spans="1:58" s="11" customFormat="1" x14ac:dyDescent="0.3">
      <c r="A26" s="662">
        <v>5</v>
      </c>
      <c r="B26" s="285" t="s">
        <v>24</v>
      </c>
      <c r="C26" s="285" t="s">
        <v>179</v>
      </c>
      <c r="D26" s="318"/>
      <c r="E26" s="285" t="s">
        <v>23</v>
      </c>
      <c r="F26" s="285" t="s">
        <v>197</v>
      </c>
      <c r="G26" s="285">
        <v>25</v>
      </c>
      <c r="H26" s="285">
        <f>G26+273.15</f>
        <v>298.14999999999998</v>
      </c>
      <c r="I26" s="666">
        <f t="shared" si="0"/>
        <v>14</v>
      </c>
      <c r="J26" s="284">
        <v>17.5</v>
      </c>
      <c r="K26" s="285">
        <v>5</v>
      </c>
      <c r="L26" s="286">
        <v>196</v>
      </c>
      <c r="M26" s="285"/>
      <c r="N26" s="285" t="s">
        <v>605</v>
      </c>
      <c r="O26" s="287">
        <f>(LN(2)/L26)/(60*60*24)*10^(K26-5)</f>
        <v>4.0931310265491854E-8</v>
      </c>
      <c r="P26" s="287">
        <f>O26*10^5</f>
        <v>4.0931310265491854E-3</v>
      </c>
      <c r="Q26" s="677">
        <f>(LN(2)/R26)/(60*60*24)</f>
        <v>196.00000000000006</v>
      </c>
      <c r="R26" s="678">
        <f>S26*10^-5</f>
        <v>4.0931310265491847E-8</v>
      </c>
      <c r="S26" s="678">
        <f>EXP(LN(P26)+$J26*(1/$H26-1/298.15)/0.0019872)</f>
        <v>4.0931310265491846E-3</v>
      </c>
      <c r="T26" s="295">
        <f>Q26</f>
        <v>196.00000000000006</v>
      </c>
      <c r="U26" s="296"/>
      <c r="V26" s="296"/>
      <c r="W26" s="297"/>
      <c r="X26" s="297"/>
      <c r="Y26" s="297"/>
      <c r="Z26" s="285">
        <v>7</v>
      </c>
      <c r="AA26" s="286">
        <v>183</v>
      </c>
      <c r="AB26" s="285"/>
      <c r="AC26" s="298" t="s">
        <v>605</v>
      </c>
      <c r="AD26" s="287">
        <f>(LN(2)/AA26)/(60*60*24)</f>
        <v>4.3838998972876525E-8</v>
      </c>
      <c r="AE26" s="677">
        <f>(LN(2)/AF26)/(60*60*24)</f>
        <v>182.99999999999994</v>
      </c>
      <c r="AF26" s="678">
        <f>EXP(LN(AD26)+$J26*(1/$H26-1/298.15)/0.0019872)</f>
        <v>4.3838998972876539E-8</v>
      </c>
      <c r="AG26" s="299">
        <f>AE26</f>
        <v>182.99999999999994</v>
      </c>
      <c r="AH26" s="296"/>
      <c r="AI26" s="296"/>
      <c r="AJ26" s="297"/>
      <c r="AK26" s="297"/>
      <c r="AL26" s="297"/>
      <c r="AM26" s="285">
        <v>9</v>
      </c>
      <c r="AN26" s="286">
        <v>101</v>
      </c>
      <c r="AO26" s="285"/>
      <c r="AP26" s="298" t="s">
        <v>605</v>
      </c>
      <c r="AQ26" s="287">
        <f>(LN(2)/AN26)/(60*60*24)*10^(9-AM26)</f>
        <v>7.943105754491489E-8</v>
      </c>
      <c r="AR26" s="287">
        <f>AQ26*10^($I26-9)</f>
        <v>7.943105754491489E-3</v>
      </c>
      <c r="AS26" s="683">
        <f>(LN(2)/AT26)/(60*60*24)</f>
        <v>101.00000000000003</v>
      </c>
      <c r="AT26" s="678">
        <f>AU26*10^(9-14)</f>
        <v>7.9431057544914877E-8</v>
      </c>
      <c r="AU26" s="678">
        <f>EXP(LN(AR26)+$J26*(1/$H26-1/298.15)/0.0019872)</f>
        <v>7.9431057544914873E-3</v>
      </c>
      <c r="AV26" s="296">
        <f>AS26</f>
        <v>101.00000000000003</v>
      </c>
      <c r="AW26" s="296"/>
      <c r="AX26" s="296"/>
      <c r="AY26" s="285"/>
      <c r="AZ26" s="285"/>
      <c r="BA26" s="285"/>
      <c r="BB26" s="317" t="s">
        <v>180</v>
      </c>
      <c r="BC26" s="317" t="s">
        <v>181</v>
      </c>
      <c r="BD26" s="317"/>
      <c r="BE26" s="285"/>
      <c r="BF26" s="285"/>
    </row>
    <row r="27" spans="1:58" s="4" customFormat="1" x14ac:dyDescent="0.3">
      <c r="A27" s="348"/>
      <c r="B27" s="115"/>
      <c r="C27" s="115"/>
      <c r="D27" s="314"/>
      <c r="E27" s="115"/>
      <c r="F27" s="115"/>
      <c r="G27" s="115"/>
      <c r="H27" s="115"/>
      <c r="I27" s="665"/>
      <c r="J27" s="279"/>
      <c r="K27" s="115"/>
      <c r="L27" s="115"/>
      <c r="M27" s="115"/>
      <c r="N27" s="115"/>
      <c r="O27" s="280"/>
      <c r="P27" s="280"/>
      <c r="Q27" s="676"/>
      <c r="R27" s="670"/>
      <c r="S27" s="670"/>
      <c r="T27" s="292"/>
      <c r="U27" s="292"/>
      <c r="V27" s="292"/>
      <c r="W27" s="174"/>
      <c r="X27" s="174"/>
      <c r="Y27" s="174"/>
      <c r="Z27" s="115"/>
      <c r="AA27" s="115"/>
      <c r="AB27" s="115"/>
      <c r="AC27" s="115"/>
      <c r="AD27" s="280"/>
      <c r="AE27" s="669"/>
      <c r="AF27" s="670"/>
      <c r="AG27" s="292"/>
      <c r="AH27" s="292"/>
      <c r="AI27" s="292"/>
      <c r="AJ27" s="174"/>
      <c r="AK27" s="174"/>
      <c r="AL27" s="174"/>
      <c r="AM27" s="115"/>
      <c r="AN27" s="115"/>
      <c r="AO27" s="115"/>
      <c r="AP27" s="115"/>
      <c r="AQ27" s="280"/>
      <c r="AR27" s="280"/>
      <c r="AS27" s="682"/>
      <c r="AT27" s="670"/>
      <c r="AU27" s="670"/>
      <c r="AV27" s="292"/>
      <c r="AW27" s="292"/>
      <c r="AX27" s="292"/>
      <c r="AY27" s="115"/>
      <c r="AZ27" s="115"/>
      <c r="BA27" s="115"/>
      <c r="BB27" s="192"/>
      <c r="BC27" s="192"/>
      <c r="BD27" s="192"/>
      <c r="BE27" s="115"/>
      <c r="BF27" s="115"/>
    </row>
    <row r="28" spans="1:58" s="4" customFormat="1" x14ac:dyDescent="0.3">
      <c r="A28" s="115"/>
      <c r="B28" s="108"/>
      <c r="C28" s="108"/>
      <c r="D28" s="378"/>
      <c r="E28" s="108"/>
      <c r="F28" s="108"/>
      <c r="G28" s="350"/>
      <c r="H28" s="115"/>
      <c r="I28" s="665"/>
      <c r="J28" s="279"/>
      <c r="K28" s="115"/>
      <c r="L28" s="115"/>
      <c r="M28" s="115"/>
      <c r="N28" s="115"/>
      <c r="O28" s="280"/>
      <c r="P28" s="280"/>
      <c r="Q28" s="676"/>
      <c r="R28" s="670"/>
      <c r="S28" s="670"/>
      <c r="T28" s="292"/>
      <c r="U28" s="292"/>
      <c r="V28" s="292"/>
      <c r="W28" s="174"/>
      <c r="X28" s="174"/>
      <c r="Y28" s="174"/>
      <c r="Z28" s="115"/>
      <c r="AA28" s="115"/>
      <c r="AB28" s="115"/>
      <c r="AC28" s="115"/>
      <c r="AD28" s="280"/>
      <c r="AE28" s="669"/>
      <c r="AF28" s="670"/>
      <c r="AG28" s="292"/>
      <c r="AH28" s="292"/>
      <c r="AI28" s="292"/>
      <c r="AJ28" s="174"/>
      <c r="AK28" s="174"/>
      <c r="AL28" s="174"/>
      <c r="AM28" s="115"/>
      <c r="AN28" s="115"/>
      <c r="AO28" s="115"/>
      <c r="AP28" s="115"/>
      <c r="AQ28" s="280"/>
      <c r="AR28" s="280"/>
      <c r="AS28" s="682"/>
      <c r="AT28" s="670"/>
      <c r="AU28" s="670"/>
      <c r="AV28" s="292"/>
      <c r="AW28" s="292"/>
      <c r="AX28" s="292"/>
      <c r="AY28" s="115"/>
      <c r="AZ28" s="115"/>
      <c r="BA28" s="115"/>
      <c r="BB28" s="319"/>
      <c r="BC28" s="319"/>
      <c r="BD28" s="192"/>
      <c r="BE28" s="115"/>
      <c r="BF28" s="115"/>
    </row>
    <row r="29" spans="1:58" s="4" customFormat="1" ht="15" thickBot="1" x14ac:dyDescent="0.35">
      <c r="A29" s="348"/>
      <c r="B29" s="34"/>
      <c r="C29" s="115"/>
      <c r="D29" s="314"/>
      <c r="E29" s="351"/>
      <c r="F29" s="115"/>
      <c r="G29" s="115"/>
      <c r="H29" s="115"/>
      <c r="I29" s="665"/>
      <c r="J29" s="279"/>
      <c r="K29" s="115"/>
      <c r="L29" s="115"/>
      <c r="M29" s="115"/>
      <c r="N29" s="115"/>
      <c r="O29" s="280"/>
      <c r="P29" s="280"/>
      <c r="Q29" s="676"/>
      <c r="R29" s="670"/>
      <c r="S29" s="670"/>
      <c r="T29" s="292"/>
      <c r="U29" s="292"/>
      <c r="V29" s="292"/>
      <c r="W29" s="174"/>
      <c r="X29" s="174"/>
      <c r="Y29" s="174"/>
      <c r="Z29" s="115"/>
      <c r="AA29" s="115"/>
      <c r="AB29" s="115"/>
      <c r="AC29" s="115"/>
      <c r="AD29" s="280"/>
      <c r="AE29" s="669"/>
      <c r="AF29" s="670"/>
      <c r="AG29" s="292"/>
      <c r="AH29" s="292"/>
      <c r="AI29" s="292"/>
      <c r="AJ29" s="174"/>
      <c r="AK29" s="174"/>
      <c r="AL29" s="174"/>
      <c r="AM29" s="115"/>
      <c r="AN29" s="115"/>
      <c r="AO29" s="115"/>
      <c r="AP29" s="115"/>
      <c r="AQ29" s="280"/>
      <c r="AR29" s="280"/>
      <c r="AS29" s="682"/>
      <c r="AT29" s="670"/>
      <c r="AU29" s="670"/>
      <c r="AV29" s="292"/>
      <c r="AW29" s="292"/>
      <c r="AX29" s="292"/>
      <c r="AY29" s="115"/>
      <c r="AZ29" s="115"/>
      <c r="BA29" s="115"/>
      <c r="BB29" s="192"/>
      <c r="BC29" s="192"/>
      <c r="BD29" s="192"/>
      <c r="BE29" s="115"/>
      <c r="BF29" s="115"/>
    </row>
    <row r="30" spans="1:58" s="11" customFormat="1" x14ac:dyDescent="0.3">
      <c r="A30" s="662">
        <v>7</v>
      </c>
      <c r="B30" s="447" t="s">
        <v>28</v>
      </c>
      <c r="C30" s="285" t="s">
        <v>187</v>
      </c>
      <c r="D30" s="318"/>
      <c r="E30" s="663" t="s">
        <v>26</v>
      </c>
      <c r="F30" s="285"/>
      <c r="G30" s="285">
        <v>25</v>
      </c>
      <c r="H30" s="285">
        <f>G30+273.15</f>
        <v>298.14999999999998</v>
      </c>
      <c r="I30" s="666">
        <f t="shared" si="0"/>
        <v>14</v>
      </c>
      <c r="J30" s="284">
        <v>17.5</v>
      </c>
      <c r="K30" s="285">
        <v>5</v>
      </c>
      <c r="L30" s="285">
        <v>7</v>
      </c>
      <c r="M30" s="285"/>
      <c r="N30" s="285" t="s">
        <v>605</v>
      </c>
      <c r="O30" s="287">
        <f>(LN(2)/L30)/(60*60*24)*10^(K30-5)</f>
        <v>1.1460766874337719E-6</v>
      </c>
      <c r="P30" s="287">
        <f>O30*10^5</f>
        <v>0.11460766874337719</v>
      </c>
      <c r="Q30" s="677">
        <f t="shared" ref="Q30:Q31" si="6">(LN(2)/R30)/(60*60*24)</f>
        <v>6.9999999999999982</v>
      </c>
      <c r="R30" s="678">
        <f>S30*10^-5</f>
        <v>1.1460766874337721E-6</v>
      </c>
      <c r="S30" s="678">
        <f>EXP(LN(P30)+$J30*(1/$H30-1/298.15)/0.0019872)</f>
        <v>0.11460766874337719</v>
      </c>
      <c r="T30" s="296">
        <f>AVERAGE(Q30:Q31)</f>
        <v>13.499999999999996</v>
      </c>
      <c r="U30" s="299">
        <f>MEDIAN(Q30:Q31)</f>
        <v>13.499999999999996</v>
      </c>
      <c r="V30" s="296">
        <f>STDEV(Q30:Q31)</f>
        <v>9.1923881554251086</v>
      </c>
      <c r="W30" s="297"/>
      <c r="X30" s="297"/>
      <c r="Y30" s="297"/>
      <c r="Z30" s="285">
        <v>7</v>
      </c>
      <c r="AA30" s="285">
        <v>117</v>
      </c>
      <c r="AB30" s="285"/>
      <c r="AC30" s="285" t="s">
        <v>605</v>
      </c>
      <c r="AD30" s="287">
        <f>(LN(2)/AA30)/(60*60*24)</f>
        <v>6.8568690701165837E-8</v>
      </c>
      <c r="AE30" s="677">
        <f>(LN(2)/AF30)/(60*60*24)</f>
        <v>117.00000000000013</v>
      </c>
      <c r="AF30" s="678">
        <f>EXP(LN(AD30)+$J30*(1/$H30-1/298.15)/0.0019872)</f>
        <v>6.8568690701165771E-8</v>
      </c>
      <c r="AG30" s="299">
        <f>AE30</f>
        <v>117.00000000000013</v>
      </c>
      <c r="AH30" s="296"/>
      <c r="AI30" s="296"/>
      <c r="AJ30" s="297"/>
      <c r="AK30" s="297"/>
      <c r="AL30" s="297"/>
      <c r="AM30" s="285">
        <v>9</v>
      </c>
      <c r="AN30" s="285">
        <v>75</v>
      </c>
      <c r="AO30" s="285"/>
      <c r="AP30" s="285" t="s">
        <v>605</v>
      </c>
      <c r="AQ30" s="287">
        <f>(LN(2)/AN30)/(60*60*24)*10^(9-AM30)</f>
        <v>1.0696715749381872E-7</v>
      </c>
      <c r="AR30" s="287">
        <f>AQ30*10^($I30-9)</f>
        <v>1.0696715749381872E-2</v>
      </c>
      <c r="AS30" s="683">
        <f>(LN(2)/AT30)/(60*60*24)</f>
        <v>75.000000000000028</v>
      </c>
      <c r="AT30" s="678">
        <f>AU30*10^(9-14)</f>
        <v>1.0696715749381867E-7</v>
      </c>
      <c r="AU30" s="678">
        <f>EXP(LN(AR30)+$J30*(1/$H30-1/298.15)/0.0019872)</f>
        <v>1.0696715749381866E-2</v>
      </c>
      <c r="AV30" s="296">
        <f>AS30</f>
        <v>75.000000000000028</v>
      </c>
      <c r="AW30" s="296"/>
      <c r="AX30" s="296"/>
      <c r="AY30" s="285"/>
      <c r="AZ30" s="285"/>
      <c r="BA30" s="285"/>
      <c r="BB30" s="317" t="s">
        <v>188</v>
      </c>
      <c r="BC30" s="317" t="s">
        <v>189</v>
      </c>
      <c r="BD30" s="317"/>
      <c r="BE30" s="285"/>
      <c r="BF30" s="285"/>
    </row>
    <row r="31" spans="1:58" s="4" customFormat="1" x14ac:dyDescent="0.3">
      <c r="A31" s="348"/>
      <c r="B31" s="34"/>
      <c r="C31" s="115"/>
      <c r="D31" s="314"/>
      <c r="E31" s="664"/>
      <c r="F31" s="115"/>
      <c r="G31" s="115">
        <v>25</v>
      </c>
      <c r="H31" s="115">
        <f>G31+273.15</f>
        <v>298.14999999999998</v>
      </c>
      <c r="I31" s="665">
        <f t="shared" si="0"/>
        <v>14</v>
      </c>
      <c r="J31" s="279">
        <v>17.5</v>
      </c>
      <c r="K31" s="115">
        <v>4</v>
      </c>
      <c r="L31" s="115">
        <v>2</v>
      </c>
      <c r="M31" s="115"/>
      <c r="N31" s="115" t="s">
        <v>605</v>
      </c>
      <c r="O31" s="280">
        <f>(LN(2)/L31)/(60*60*24)*10^(K31-5)</f>
        <v>4.0112684060182021E-7</v>
      </c>
      <c r="P31" s="280">
        <f>O31*10^5</f>
        <v>4.0112684060182022E-2</v>
      </c>
      <c r="Q31" s="669">
        <f t="shared" si="6"/>
        <v>19.999999999999993</v>
      </c>
      <c r="R31" s="670">
        <f>S31*10^-5</f>
        <v>4.0112684060182031E-7</v>
      </c>
      <c r="S31" s="670">
        <f>EXP(LN(P31)+$J31*(1/$H31-1/298.15)/0.0019872)</f>
        <v>4.0112684060182029E-2</v>
      </c>
      <c r="T31" s="292"/>
      <c r="U31" s="292"/>
      <c r="V31" s="292"/>
      <c r="W31" s="174"/>
      <c r="X31" s="174"/>
      <c r="Y31" s="174"/>
      <c r="Z31" s="115"/>
      <c r="AA31" s="115"/>
      <c r="AB31" s="115"/>
      <c r="AC31" s="115"/>
      <c r="AD31" s="280"/>
      <c r="AE31" s="669"/>
      <c r="AF31" s="670"/>
      <c r="AG31" s="292"/>
      <c r="AH31" s="292"/>
      <c r="AI31" s="292"/>
      <c r="AJ31" s="174"/>
      <c r="AK31" s="174"/>
      <c r="AL31" s="174"/>
      <c r="AM31" s="115"/>
      <c r="AN31" s="115"/>
      <c r="AO31" s="115"/>
      <c r="AP31" s="115"/>
      <c r="AQ31" s="280"/>
      <c r="AR31" s="280"/>
      <c r="AS31" s="682"/>
      <c r="AT31" s="670"/>
      <c r="AU31" s="670"/>
      <c r="AV31" s="292"/>
      <c r="AW31" s="292"/>
      <c r="AX31" s="292"/>
      <c r="AY31" s="115"/>
      <c r="AZ31" s="115"/>
      <c r="BA31" s="115"/>
      <c r="BB31" s="192"/>
      <c r="BC31" s="192"/>
      <c r="BD31" s="192"/>
      <c r="BE31" s="115"/>
      <c r="BF31" s="115"/>
    </row>
    <row r="32" spans="1:58" s="4" customFormat="1" ht="15" thickBot="1" x14ac:dyDescent="0.35">
      <c r="A32" s="348"/>
      <c r="B32" s="34"/>
      <c r="C32" s="115"/>
      <c r="D32" s="314"/>
      <c r="E32" s="664"/>
      <c r="F32" s="115"/>
      <c r="G32" s="115"/>
      <c r="H32" s="115"/>
      <c r="I32" s="665"/>
      <c r="J32" s="279"/>
      <c r="K32" s="115"/>
      <c r="L32" s="115"/>
      <c r="M32" s="115"/>
      <c r="N32" s="115"/>
      <c r="O32" s="280"/>
      <c r="P32" s="280"/>
      <c r="Q32" s="676"/>
      <c r="R32" s="670"/>
      <c r="S32" s="670"/>
      <c r="T32" s="292"/>
      <c r="U32" s="292"/>
      <c r="V32" s="292"/>
      <c r="W32" s="174"/>
      <c r="X32" s="174"/>
      <c r="Y32" s="174"/>
      <c r="Z32" s="115"/>
      <c r="AA32" s="115"/>
      <c r="AB32" s="115"/>
      <c r="AC32" s="115"/>
      <c r="AD32" s="280"/>
      <c r="AE32" s="669"/>
      <c r="AF32" s="670"/>
      <c r="AG32" s="292"/>
      <c r="AH32" s="292"/>
      <c r="AI32" s="292"/>
      <c r="AJ32" s="174"/>
      <c r="AK32" s="174"/>
      <c r="AL32" s="174"/>
      <c r="AM32" s="115"/>
      <c r="AN32" s="115"/>
      <c r="AO32" s="115"/>
      <c r="AP32" s="115"/>
      <c r="AQ32" s="280"/>
      <c r="AR32" s="280"/>
      <c r="AS32" s="682"/>
      <c r="AT32" s="670"/>
      <c r="AU32" s="670"/>
      <c r="AV32" s="292"/>
      <c r="AW32" s="292"/>
      <c r="AX32" s="292"/>
      <c r="AY32" s="115"/>
      <c r="AZ32" s="115"/>
      <c r="BA32" s="115"/>
      <c r="BB32" s="192"/>
      <c r="BC32" s="192"/>
      <c r="BD32" s="192"/>
      <c r="BE32" s="115"/>
      <c r="BF32" s="115"/>
    </row>
    <row r="33" spans="1:58" s="12" customFormat="1" x14ac:dyDescent="0.3">
      <c r="A33" s="366">
        <v>8</v>
      </c>
      <c r="B33" s="56" t="s">
        <v>29</v>
      </c>
      <c r="C33" s="56" t="s">
        <v>191</v>
      </c>
      <c r="D33" s="316"/>
      <c r="E33" s="74" t="s">
        <v>27</v>
      </c>
      <c r="F33" s="56"/>
      <c r="G33" s="56">
        <v>30</v>
      </c>
      <c r="H33" s="56">
        <f>G33+273.15</f>
        <v>303.14999999999998</v>
      </c>
      <c r="I33" s="666">
        <f t="shared" si="0"/>
        <v>13.838479812893434</v>
      </c>
      <c r="J33" s="281">
        <v>17.5</v>
      </c>
      <c r="K33" s="56">
        <v>5</v>
      </c>
      <c r="L33" s="56">
        <v>2.08</v>
      </c>
      <c r="M33" s="288">
        <v>3.8E-6</v>
      </c>
      <c r="N33" s="288" t="s">
        <v>600</v>
      </c>
      <c r="O33" s="282">
        <f>M33*10^(K33-5)</f>
        <v>3.8E-6</v>
      </c>
      <c r="P33" s="282">
        <f>O33*10^5</f>
        <v>0.38</v>
      </c>
      <c r="Q33" s="672">
        <f>(LN(2)/R33)/(60*60*24)</f>
        <v>3.4363724085506369</v>
      </c>
      <c r="R33" s="673">
        <f>S33*10^-5</f>
        <v>2.3345946999440843E-6</v>
      </c>
      <c r="S33" s="673">
        <f>EXP(LN(P33)+$J33*(1/$H33-1/298.15)/0.0019872)</f>
        <v>0.23345946999440839</v>
      </c>
      <c r="T33" s="293">
        <f>Q33</f>
        <v>3.4363724085506369</v>
      </c>
      <c r="U33" s="293"/>
      <c r="V33" s="293"/>
      <c r="W33" s="294"/>
      <c r="X33" s="294"/>
      <c r="Y33" s="294"/>
      <c r="Z33" s="56">
        <v>7</v>
      </c>
      <c r="AA33" s="56">
        <f>18/24</f>
        <v>0.75</v>
      </c>
      <c r="AB33" s="288">
        <v>1.0900000000000001E-5</v>
      </c>
      <c r="AC33" s="288" t="s">
        <v>600</v>
      </c>
      <c r="AD33" s="282">
        <f>AB33</f>
        <v>1.0900000000000001E-5</v>
      </c>
      <c r="AE33" s="672">
        <f>(LN(2)/AF33)/(60*60*24)</f>
        <v>1.1980013901369173</v>
      </c>
      <c r="AF33" s="673">
        <f>EXP(LN(AD33)+$J33*(1/$H33-1/298.15)/0.0019872)</f>
        <v>6.6966005866817258E-6</v>
      </c>
      <c r="AG33" s="293">
        <f>AVERAGE(AE33:AE34)</f>
        <v>0.99439640327651557</v>
      </c>
      <c r="AH33" s="293">
        <f>MEDIAN(AE33:AE34)</f>
        <v>0.99439640327651557</v>
      </c>
      <c r="AI33" s="293">
        <f>STDEV(AE33:AE34)</f>
        <v>0.28794093378477559</v>
      </c>
      <c r="AJ33" s="294"/>
      <c r="AK33" s="294"/>
      <c r="AL33" s="294"/>
      <c r="AM33" s="56">
        <v>9</v>
      </c>
      <c r="AN33" s="56">
        <v>0.67</v>
      </c>
      <c r="AO33" s="288">
        <v>1.19E-5</v>
      </c>
      <c r="AP33" s="288" t="s">
        <v>600</v>
      </c>
      <c r="AQ33" s="282">
        <f>AO33*10^(9-AM33)</f>
        <v>1.19E-5</v>
      </c>
      <c r="AR33" s="282">
        <f>AQ33*10^($I33-9)</f>
        <v>0.8204021206203771</v>
      </c>
      <c r="AS33" s="681">
        <f>(LN(2)/AT33)/(60*60*24)</f>
        <v>1.5916847146394468</v>
      </c>
      <c r="AT33" s="673">
        <f>AU33*10^(9-14)</f>
        <v>5.0402801121663671E-6</v>
      </c>
      <c r="AU33" s="673">
        <f>EXP(LN(AR33)+$J33*(1/$H33-1/298.15)/0.0019872)</f>
        <v>0.50402801121663665</v>
      </c>
      <c r="AV33" s="293">
        <f>AVERAGE(AS33:AS34)</f>
        <v>1.9106519815590803</v>
      </c>
      <c r="AW33" s="293">
        <f>MEDIAN(AS33:AS34)</f>
        <v>1.9106519815590803</v>
      </c>
      <c r="AX33" s="293">
        <f>STDEV(AS33:AS34)</f>
        <v>0.45108783483082671</v>
      </c>
      <c r="AY33" s="56"/>
      <c r="AZ33" s="56"/>
      <c r="BA33" s="56"/>
      <c r="BB33" s="315" t="s">
        <v>190</v>
      </c>
      <c r="BC33" s="315" t="s">
        <v>192</v>
      </c>
      <c r="BD33" s="315"/>
      <c r="BE33" s="56"/>
      <c r="BF33" s="56"/>
    </row>
    <row r="34" spans="1:58" s="4" customFormat="1" x14ac:dyDescent="0.3">
      <c r="A34" s="348"/>
      <c r="B34" s="115"/>
      <c r="C34" s="115"/>
      <c r="D34" s="314"/>
      <c r="E34" s="351"/>
      <c r="F34" s="115"/>
      <c r="G34" s="115">
        <v>20</v>
      </c>
      <c r="H34" s="115">
        <f>G34+273.15</f>
        <v>293.14999999999998</v>
      </c>
      <c r="I34" s="665">
        <f t="shared" si="0"/>
        <v>14.167030000755094</v>
      </c>
      <c r="J34" s="279">
        <v>17.5</v>
      </c>
      <c r="K34" s="115"/>
      <c r="L34" s="115"/>
      <c r="M34" s="283"/>
      <c r="N34" s="283"/>
      <c r="O34" s="280"/>
      <c r="P34" s="280"/>
      <c r="Q34" s="676"/>
      <c r="R34" s="670"/>
      <c r="S34" s="670"/>
      <c r="T34" s="292"/>
      <c r="U34" s="292"/>
      <c r="V34" s="292"/>
      <c r="W34" s="174"/>
      <c r="X34" s="174"/>
      <c r="Y34" s="174"/>
      <c r="Z34" s="115">
        <v>7</v>
      </c>
      <c r="AA34" s="115">
        <v>1.3</v>
      </c>
      <c r="AB34" s="283">
        <v>6.1299999999999998E-6</v>
      </c>
      <c r="AC34" s="283" t="s">
        <v>600</v>
      </c>
      <c r="AD34" s="280">
        <f>AB34</f>
        <v>6.1299999999999998E-6</v>
      </c>
      <c r="AE34" s="669">
        <f>(LN(2)/AF34)/(60*60*24)</f>
        <v>0.79079141641611372</v>
      </c>
      <c r="AF34" s="670">
        <f>EXP(LN(AD34)+$J34*(1/$H34-1/298.15)/0.0019872)</f>
        <v>1.0144946752703436E-5</v>
      </c>
      <c r="AG34" s="292"/>
      <c r="AH34" s="292"/>
      <c r="AI34" s="292"/>
      <c r="AJ34" s="174"/>
      <c r="AK34" s="174"/>
      <c r="AL34" s="174"/>
      <c r="AM34" s="115">
        <v>13</v>
      </c>
      <c r="AN34" s="115">
        <f>0.013/24</f>
        <v>5.4166666666666664E-4</v>
      </c>
      <c r="AO34" s="283">
        <v>1.4800000000000001E-2</v>
      </c>
      <c r="AP34" s="283" t="s">
        <v>600</v>
      </c>
      <c r="AQ34" s="280">
        <f>AO34*10^(9-AM34)</f>
        <v>1.4800000000000002E-6</v>
      </c>
      <c r="AR34" s="280">
        <f>AQ34*10^($I34-9)</f>
        <v>0.2174161075232148</v>
      </c>
      <c r="AS34" s="682">
        <f>(LN(2)/AT34)/(60*60*24)</f>
        <v>2.2296192484787141</v>
      </c>
      <c r="AT34" s="670">
        <f>AU34*10^(9-14)</f>
        <v>3.5981644926640464E-6</v>
      </c>
      <c r="AU34" s="670">
        <f>EXP(LN(AR34)+$J34*(1/$H34-1/298.15)/0.0019872)</f>
        <v>0.3598164492664046</v>
      </c>
      <c r="AV34" s="292"/>
      <c r="AW34" s="292"/>
      <c r="AX34" s="292"/>
      <c r="AY34" s="115"/>
      <c r="AZ34" s="115"/>
      <c r="BA34" s="115"/>
      <c r="BB34" s="192"/>
      <c r="BC34" s="192"/>
      <c r="BD34" s="192"/>
      <c r="BE34" s="115"/>
      <c r="BF34" s="115"/>
    </row>
    <row r="35" spans="1:58" s="4" customFormat="1" ht="15" thickBot="1" x14ac:dyDescent="0.35">
      <c r="A35" s="348"/>
      <c r="B35" s="115"/>
      <c r="C35" s="115"/>
      <c r="D35" s="314"/>
      <c r="E35" s="351"/>
      <c r="F35" s="115"/>
      <c r="G35" s="115"/>
      <c r="H35" s="115"/>
      <c r="I35" s="665"/>
      <c r="J35" s="279"/>
      <c r="K35" s="115"/>
      <c r="L35" s="115"/>
      <c r="M35" s="283"/>
      <c r="N35" s="283"/>
      <c r="O35" s="280"/>
      <c r="P35" s="280"/>
      <c r="Q35" s="676"/>
      <c r="R35" s="670"/>
      <c r="S35" s="670"/>
      <c r="T35" s="292"/>
      <c r="U35" s="292"/>
      <c r="V35" s="292"/>
      <c r="W35" s="174"/>
      <c r="X35" s="174"/>
      <c r="Y35" s="174"/>
      <c r="Z35" s="115"/>
      <c r="AA35" s="115"/>
      <c r="AB35" s="283"/>
      <c r="AC35" s="283"/>
      <c r="AD35" s="280"/>
      <c r="AE35" s="669"/>
      <c r="AF35" s="670"/>
      <c r="AG35" s="292"/>
      <c r="AH35" s="292"/>
      <c r="AI35" s="292"/>
      <c r="AJ35" s="174"/>
      <c r="AK35" s="174"/>
      <c r="AL35" s="174"/>
      <c r="AM35" s="115"/>
      <c r="AN35" s="115"/>
      <c r="AO35" s="283"/>
      <c r="AP35" s="283"/>
      <c r="AQ35" s="280"/>
      <c r="AR35" s="280"/>
      <c r="AS35" s="669"/>
      <c r="AT35" s="670"/>
      <c r="AU35" s="670"/>
      <c r="AV35" s="292"/>
      <c r="AW35" s="292"/>
      <c r="AX35" s="292"/>
      <c r="AY35" s="115"/>
      <c r="AZ35" s="115"/>
      <c r="BA35" s="115"/>
      <c r="BB35" s="192"/>
      <c r="BC35" s="192"/>
      <c r="BD35" s="192"/>
      <c r="BE35" s="115"/>
      <c r="BF35" s="115"/>
    </row>
    <row r="36" spans="1:58" s="12" customFormat="1" x14ac:dyDescent="0.3">
      <c r="A36" s="366">
        <v>9</v>
      </c>
      <c r="B36" s="56" t="s">
        <v>30</v>
      </c>
      <c r="C36" s="56" t="s">
        <v>182</v>
      </c>
      <c r="D36" s="316"/>
      <c r="E36" s="56" t="s">
        <v>25</v>
      </c>
      <c r="F36" s="56" t="s">
        <v>689</v>
      </c>
      <c r="G36" s="56">
        <v>25</v>
      </c>
      <c r="H36" s="56">
        <f>G36+273.15</f>
        <v>298.14999999999998</v>
      </c>
      <c r="I36" s="666">
        <f t="shared" si="0"/>
        <v>14</v>
      </c>
      <c r="J36" s="281">
        <v>17.5</v>
      </c>
      <c r="K36" s="56">
        <v>4</v>
      </c>
      <c r="L36" s="56">
        <v>68</v>
      </c>
      <c r="M36" s="56"/>
      <c r="N36" s="56" t="s">
        <v>605</v>
      </c>
      <c r="O36" s="282">
        <f>(LN(2)/L36)/(60*60*24)*10^(K36-5)</f>
        <v>1.1797848252994713E-8</v>
      </c>
      <c r="P36" s="282">
        <f>O36*10^5</f>
        <v>1.1797848252994713E-3</v>
      </c>
      <c r="Q36" s="672">
        <f t="shared" ref="Q36:Q40" si="7">(LN(2)/R36)/(60*60*24)</f>
        <v>679.99999999999966</v>
      </c>
      <c r="R36" s="673">
        <f>S36*10^-5</f>
        <v>1.1797848252994718E-8</v>
      </c>
      <c r="S36" s="673">
        <f>EXP(LN(P36)+$J36*(1/$H36-1/298.15)/0.0019872)</f>
        <v>1.1797848252994717E-3</v>
      </c>
      <c r="T36" s="293">
        <f>AVERAGE(Q36:Q40)</f>
        <v>486.3869945804978</v>
      </c>
      <c r="U36" s="300">
        <f>MEDIAN(Q36:Q40)</f>
        <v>393.05081803951066</v>
      </c>
      <c r="V36" s="300">
        <f>STDEV(Q36:Q40)</f>
        <v>221.03336685764148</v>
      </c>
      <c r="W36" s="301"/>
      <c r="X36" s="301"/>
      <c r="Y36" s="301"/>
      <c r="Z36" s="56">
        <v>7</v>
      </c>
      <c r="AA36" s="56">
        <v>50</v>
      </c>
      <c r="AB36" s="56"/>
      <c r="AC36" s="56" t="s">
        <v>605</v>
      </c>
      <c r="AD36" s="282">
        <f>(LN(2)/AA36)/(60*60*24)</f>
        <v>1.6045073624072809E-7</v>
      </c>
      <c r="AE36" s="672">
        <f>(LN(2)/AF36)/(60*60*24)</f>
        <v>49.999999999999979</v>
      </c>
      <c r="AF36" s="673">
        <f>EXP(LN(AD36)+$J36*(1/$H36-1/298.15)/0.0019872)</f>
        <v>1.6045073624072815E-7</v>
      </c>
      <c r="AG36" s="293">
        <f>AVERAGE(AE36:AE40)</f>
        <v>32.871524260118086</v>
      </c>
      <c r="AH36" s="293">
        <f>MEDIAN(AE36:AE40)</f>
        <v>24.565676127469413</v>
      </c>
      <c r="AI36" s="293">
        <f>STDEV(AE36:AE40)</f>
        <v>20.225856298036213</v>
      </c>
      <c r="AJ36" s="294"/>
      <c r="AK36" s="294"/>
      <c r="AL36" s="294"/>
      <c r="AM36" s="56">
        <v>9</v>
      </c>
      <c r="AN36" s="56">
        <v>55</v>
      </c>
      <c r="AO36" s="56"/>
      <c r="AP36" s="56" t="s">
        <v>605</v>
      </c>
      <c r="AQ36" s="282">
        <f>(LN(2)/AN36)/(60*60*24)*10^(9-AM36)</f>
        <v>1.4586430567338916E-7</v>
      </c>
      <c r="AR36" s="282">
        <f>AQ36*10^($I36-9)</f>
        <v>1.4586430567338916E-2</v>
      </c>
      <c r="AS36" s="672">
        <f>(LN(2)/AT36)/(60*60*24)</f>
        <v>55</v>
      </c>
      <c r="AT36" s="673">
        <f>AU36*10^(9-14)</f>
        <v>1.4586430567338916E-7</v>
      </c>
      <c r="AU36" s="673">
        <f>EXP(LN(AR36)+$J36*(1/$H36-1/298.15)/0.0019872)</f>
        <v>1.4586430567338915E-2</v>
      </c>
      <c r="AV36" s="293">
        <f>AVERAGE(AS36:AS40)</f>
        <v>211.77881620551116</v>
      </c>
      <c r="AW36" s="293">
        <f>MEDIAN(AS36:AS40)</f>
        <v>179.95196323736349</v>
      </c>
      <c r="AX36" s="293">
        <f>STDEV(AS36:AS40)</f>
        <v>180.58793174862925</v>
      </c>
      <c r="AY36" s="56"/>
      <c r="AZ36" s="56"/>
      <c r="BA36" s="56"/>
      <c r="BB36" s="315" t="s">
        <v>210</v>
      </c>
      <c r="BC36" s="315" t="s">
        <v>211</v>
      </c>
      <c r="BD36" s="315"/>
      <c r="BE36" s="56"/>
      <c r="BF36" s="56"/>
    </row>
    <row r="37" spans="1:58" s="4" customFormat="1" x14ac:dyDescent="0.3">
      <c r="A37" s="115"/>
      <c r="B37" s="115"/>
      <c r="C37" s="115"/>
      <c r="D37" s="314"/>
      <c r="E37" s="115"/>
      <c r="F37" s="115" t="s">
        <v>690</v>
      </c>
      <c r="G37" s="115">
        <v>20</v>
      </c>
      <c r="H37" s="115">
        <f>G37+273.15</f>
        <v>293.14999999999998</v>
      </c>
      <c r="I37" s="665">
        <f t="shared" si="0"/>
        <v>14.167030000755094</v>
      </c>
      <c r="J37" s="279">
        <v>17.5</v>
      </c>
      <c r="K37" s="115">
        <v>4</v>
      </c>
      <c r="L37" s="115">
        <v>126</v>
      </c>
      <c r="M37" s="115"/>
      <c r="N37" s="115" t="s">
        <v>605</v>
      </c>
      <c r="O37" s="280">
        <f>(LN(2)/L37)/(60*60*24)*10^(K37-5)</f>
        <v>6.3670927079654E-9</v>
      </c>
      <c r="P37" s="280">
        <f>O37*10^5</f>
        <v>6.3670927079653998E-4</v>
      </c>
      <c r="Q37" s="669">
        <f t="shared" si="7"/>
        <v>761.34455786490435</v>
      </c>
      <c r="R37" s="670">
        <f>S37*10^-5</f>
        <v>1.0537327323301036E-8</v>
      </c>
      <c r="S37" s="670">
        <f>EXP(LN(P37)+$J37*(1/$H37-1/298.15)/0.0019872)</f>
        <v>1.0537327323301036E-3</v>
      </c>
      <c r="T37" s="292"/>
      <c r="U37" s="302"/>
      <c r="V37" s="302"/>
      <c r="W37" s="303"/>
      <c r="X37" s="303"/>
      <c r="Y37" s="303"/>
      <c r="Z37" s="115">
        <v>7</v>
      </c>
      <c r="AA37" s="115">
        <v>97</v>
      </c>
      <c r="AB37" s="115"/>
      <c r="AC37" s="115" t="s">
        <v>605</v>
      </c>
      <c r="AD37" s="280">
        <f>(LN(2)/AA37)/(60*60*24)</f>
        <v>8.2706565072540243E-8</v>
      </c>
      <c r="AE37" s="669">
        <f>(LN(2)/AF37)/(60*60*24)</f>
        <v>58.611446121345764</v>
      </c>
      <c r="AF37" s="670">
        <f>EXP(LN(AD37)+$J37*(1/$H37-1/298.15)/0.0019872)</f>
        <v>1.3687662296246717E-7</v>
      </c>
      <c r="AG37" s="292"/>
      <c r="AH37" s="292"/>
      <c r="AI37" s="292"/>
      <c r="AJ37" s="174"/>
      <c r="AK37" s="174"/>
      <c r="AL37" s="174"/>
      <c r="AM37" s="115">
        <v>9</v>
      </c>
      <c r="AN37" s="115">
        <v>102</v>
      </c>
      <c r="AO37" s="115"/>
      <c r="AP37" s="115" t="s">
        <v>605</v>
      </c>
      <c r="AQ37" s="280">
        <f>(LN(2)/AN37)/(60*60*24)*10^(9-AM37)</f>
        <v>7.8652321686631411E-8</v>
      </c>
      <c r="AR37" s="280">
        <f>AQ37*10^($I37-9)</f>
        <v>1.1554244343764279E-2</v>
      </c>
      <c r="AS37" s="669">
        <f>(LN(2)/AT37)/(60*60*24)</f>
        <v>41.954724501277767</v>
      </c>
      <c r="AT37" s="670">
        <f>AU37*10^(9-14)</f>
        <v>1.912189129448835E-7</v>
      </c>
      <c r="AU37" s="670">
        <f>EXP(LN(AR37)+$J37*(1/$H37-1/298.15)/0.0019872)</f>
        <v>1.9121891294488349E-2</v>
      </c>
      <c r="AV37" s="292"/>
      <c r="AW37" s="292"/>
      <c r="AX37" s="292"/>
      <c r="AY37" s="115"/>
      <c r="AZ37" s="115"/>
      <c r="BA37" s="115"/>
      <c r="BB37" s="192"/>
      <c r="BC37" s="192"/>
      <c r="BD37" s="192"/>
      <c r="BE37" s="115"/>
      <c r="BF37" s="115"/>
    </row>
    <row r="38" spans="1:58" s="4" customFormat="1" x14ac:dyDescent="0.3">
      <c r="A38" s="115"/>
      <c r="B38" s="115"/>
      <c r="C38" s="115"/>
      <c r="D38" s="314"/>
      <c r="E38" s="115"/>
      <c r="F38" s="115"/>
      <c r="G38" s="115">
        <v>50</v>
      </c>
      <c r="H38" s="115">
        <f>G38+273.15</f>
        <v>323.14999999999998</v>
      </c>
      <c r="I38" s="665">
        <f t="shared" si="0"/>
        <v>13.242382102408241</v>
      </c>
      <c r="J38" s="279">
        <v>17.5</v>
      </c>
      <c r="K38" s="115">
        <v>4</v>
      </c>
      <c r="L38" s="115">
        <v>4</v>
      </c>
      <c r="M38" s="115"/>
      <c r="N38" s="115" t="s">
        <v>605</v>
      </c>
      <c r="O38" s="280">
        <f>(LN(2)/L38)/(60*60*24)*10^(K38-5)</f>
        <v>2.005634203009101E-7</v>
      </c>
      <c r="P38" s="280">
        <f>O38*10^5</f>
        <v>2.0056342030091011E-2</v>
      </c>
      <c r="Q38" s="669">
        <f t="shared" si="7"/>
        <v>393.05081803951066</v>
      </c>
      <c r="R38" s="670">
        <f>S38*10^-5</f>
        <v>2.0410940376747808E-8</v>
      </c>
      <c r="S38" s="670">
        <f>EXP(LN(P38)+$J38*(1/$H38-1/298.15)/0.0019872)</f>
        <v>2.0410940376747806E-3</v>
      </c>
      <c r="T38" s="292"/>
      <c r="U38" s="302"/>
      <c r="V38" s="302"/>
      <c r="W38" s="303"/>
      <c r="X38" s="303"/>
      <c r="Y38" s="303"/>
      <c r="Z38" s="115">
        <v>7</v>
      </c>
      <c r="AA38" s="115">
        <v>2.5</v>
      </c>
      <c r="AB38" s="115"/>
      <c r="AC38" s="115" t="s">
        <v>605</v>
      </c>
      <c r="AD38" s="280">
        <f>(LN(2)/AA38)/(60*60*24)</f>
        <v>3.2090147248145612E-6</v>
      </c>
      <c r="AE38" s="669">
        <f>(LN(2)/AF38)/(60*60*24)</f>
        <v>24.565676127469413</v>
      </c>
      <c r="AF38" s="670">
        <f>EXP(LN(AD38)+$J38*(1/$H38-1/298.15)/0.0019872)</f>
        <v>3.2657504602796498E-7</v>
      </c>
      <c r="AG38" s="292"/>
      <c r="AH38" s="292"/>
      <c r="AI38" s="292"/>
      <c r="AJ38" s="174"/>
      <c r="AK38" s="174"/>
      <c r="AL38" s="174"/>
      <c r="AM38" s="115">
        <v>9</v>
      </c>
      <c r="AN38" s="115">
        <v>3.2</v>
      </c>
      <c r="AO38" s="115"/>
      <c r="AP38" s="115" t="s">
        <v>605</v>
      </c>
      <c r="AQ38" s="280">
        <f>(LN(2)/AN38)/(60*60*24)*10^(9-AM38)</f>
        <v>2.5070427537613758E-6</v>
      </c>
      <c r="AR38" s="280">
        <f>AQ38*10^($I38-9)</f>
        <v>4.3807033277037936E-2</v>
      </c>
      <c r="AS38" s="669">
        <f>(LN(2)/AT38)/(60*60*24)</f>
        <v>179.95196323736349</v>
      </c>
      <c r="AT38" s="670">
        <f>AU38*10^(9-14)</f>
        <v>4.458154647334618E-8</v>
      </c>
      <c r="AU38" s="670">
        <f>EXP(LN(AR38)+$J38*(1/$H38-1/298.15)/0.0019872)</f>
        <v>4.458154647334618E-3</v>
      </c>
      <c r="AV38" s="292"/>
      <c r="AW38" s="292"/>
      <c r="AX38" s="292"/>
      <c r="AY38" s="115"/>
      <c r="AZ38" s="115"/>
      <c r="BA38" s="115"/>
      <c r="BB38" s="192"/>
      <c r="BC38" s="192"/>
      <c r="BD38" s="192"/>
      <c r="BE38" s="115"/>
      <c r="BF38" s="115"/>
    </row>
    <row r="39" spans="1:58" s="4" customFormat="1" x14ac:dyDescent="0.3">
      <c r="A39" s="115"/>
      <c r="B39" s="115"/>
      <c r="C39" s="115"/>
      <c r="D39" s="314"/>
      <c r="E39" s="115"/>
      <c r="F39" s="115"/>
      <c r="G39" s="115">
        <v>62</v>
      </c>
      <c r="H39" s="115">
        <f>G39+273.15</f>
        <v>335.15</v>
      </c>
      <c r="I39" s="665">
        <f t="shared" si="0"/>
        <v>12.918872591561897</v>
      </c>
      <c r="J39" s="279">
        <v>17.5</v>
      </c>
      <c r="K39" s="115">
        <v>4</v>
      </c>
      <c r="L39" s="115">
        <v>1.3</v>
      </c>
      <c r="M39" s="115"/>
      <c r="N39" s="115" t="s">
        <v>605</v>
      </c>
      <c r="O39" s="280">
        <f>(LN(2)/L39)/(60*60*24)*10^(K39-5)</f>
        <v>6.1711821631049263E-7</v>
      </c>
      <c r="P39" s="280">
        <f>O39*10^5</f>
        <v>6.1711821631049261E-2</v>
      </c>
      <c r="Q39" s="669">
        <f t="shared" si="7"/>
        <v>338.91499248660818</v>
      </c>
      <c r="R39" s="670">
        <f>S39*10^-5</f>
        <v>2.3671236120819899E-8</v>
      </c>
      <c r="S39" s="670">
        <f>EXP(LN(P39)+$J39*(1/$H39-1/298.15)/0.0019872)</f>
        <v>2.3671236120819898E-3</v>
      </c>
      <c r="T39" s="292"/>
      <c r="U39" s="302"/>
      <c r="V39" s="302"/>
      <c r="W39" s="303"/>
      <c r="X39" s="303"/>
      <c r="Y39" s="303"/>
      <c r="Z39" s="115">
        <v>7</v>
      </c>
      <c r="AA39" s="115">
        <v>0.7</v>
      </c>
      <c r="AB39" s="115"/>
      <c r="AC39" s="115" t="s">
        <v>605</v>
      </c>
      <c r="AD39" s="280">
        <f>(LN(2)/AA39)/(60*60*24)</f>
        <v>1.1460766874337721E-5</v>
      </c>
      <c r="AE39" s="669">
        <f>(LN(2)/AF39)/(60*60*24)</f>
        <v>18.249268826201973</v>
      </c>
      <c r="AF39" s="670">
        <f>EXP(LN(AD39)+$J39*(1/$H39-1/298.15)/0.0019872)</f>
        <v>4.396086708152268E-7</v>
      </c>
      <c r="AG39" s="292"/>
      <c r="AH39" s="292"/>
      <c r="AI39" s="292"/>
      <c r="AJ39" s="174"/>
      <c r="AK39" s="174"/>
      <c r="AL39" s="174"/>
      <c r="AM39" s="115">
        <v>9</v>
      </c>
      <c r="AN39" s="115">
        <v>1</v>
      </c>
      <c r="AO39" s="115"/>
      <c r="AP39" s="115" t="s">
        <v>605</v>
      </c>
      <c r="AQ39" s="280">
        <f>(LN(2)/AN39)/(60*60*24)*10^(9-AM39)</f>
        <v>8.0225368120364038E-6</v>
      </c>
      <c r="AR39" s="280">
        <f>AQ39*10^($I39-9)</f>
        <v>6.6555555123108373E-2</v>
      </c>
      <c r="AS39" s="669">
        <f>(LN(2)/AT39)/(60*60*24)</f>
        <v>314.24967496304697</v>
      </c>
      <c r="AT39" s="670">
        <f>AU39*10^(9-14)</f>
        <v>2.5529180938627177E-8</v>
      </c>
      <c r="AU39" s="670">
        <f>EXP(LN(AR39)+$J39*(1/$H39-1/298.15)/0.0019872)</f>
        <v>2.5529180938627175E-3</v>
      </c>
      <c r="AV39" s="292"/>
      <c r="AW39" s="292"/>
      <c r="AX39" s="292"/>
      <c r="AY39" s="115"/>
      <c r="AZ39" s="115"/>
      <c r="BA39" s="115"/>
      <c r="BB39" s="192"/>
      <c r="BC39" s="192"/>
      <c r="BD39" s="192"/>
      <c r="BE39" s="115"/>
      <c r="BF39" s="115"/>
    </row>
    <row r="40" spans="1:58" s="4" customFormat="1" x14ac:dyDescent="0.3">
      <c r="A40" s="115"/>
      <c r="B40" s="115"/>
      <c r="C40" s="115"/>
      <c r="D40" s="314"/>
      <c r="E40" s="115"/>
      <c r="F40" s="115"/>
      <c r="G40" s="115">
        <v>74</v>
      </c>
      <c r="H40" s="115">
        <f>G40+273.15</f>
        <v>347.15</v>
      </c>
      <c r="I40" s="665">
        <f t="shared" si="0"/>
        <v>12.617728710156179</v>
      </c>
      <c r="J40" s="279">
        <v>17.5</v>
      </c>
      <c r="K40" s="115">
        <v>4</v>
      </c>
      <c r="L40" s="115">
        <v>0.4</v>
      </c>
      <c r="M40" s="115"/>
      <c r="N40" s="115" t="s">
        <v>605</v>
      </c>
      <c r="O40" s="280">
        <f>(LN(2)/L40)/(60*60*24)*10^(K40-5)</f>
        <v>2.0056342030091005E-6</v>
      </c>
      <c r="P40" s="280">
        <f>O40*10^5</f>
        <v>0.20056342030091004</v>
      </c>
      <c r="Q40" s="669">
        <f t="shared" si="7"/>
        <v>258.62460451146643</v>
      </c>
      <c r="R40" s="670">
        <f>S40*10^-5</f>
        <v>3.1020006109591615E-8</v>
      </c>
      <c r="S40" s="670">
        <f>EXP(LN(P40)+$J40*(1/$H40-1/298.15)/0.0019872)</f>
        <v>3.1020006109591615E-3</v>
      </c>
      <c r="T40" s="292"/>
      <c r="U40" s="302"/>
      <c r="V40" s="302"/>
      <c r="W40" s="303"/>
      <c r="X40" s="303"/>
      <c r="Y40" s="303"/>
      <c r="Z40" s="115">
        <v>7</v>
      </c>
      <c r="AA40" s="115">
        <v>0.2</v>
      </c>
      <c r="AB40" s="115"/>
      <c r="AC40" s="115" t="s">
        <v>605</v>
      </c>
      <c r="AD40" s="280">
        <f>(LN(2)/AA40)/(60*60*24)</f>
        <v>4.0112684060182012E-5</v>
      </c>
      <c r="AE40" s="669">
        <f>(LN(2)/AF40)/(60*60*24)</f>
        <v>12.931230225573309</v>
      </c>
      <c r="AF40" s="670">
        <f>EXP(LN(AD40)+$J40*(1/$H40-1/298.15)/0.0019872)</f>
        <v>6.2040012219183289E-7</v>
      </c>
      <c r="AG40" s="292"/>
      <c r="AH40" s="292"/>
      <c r="AI40" s="292"/>
      <c r="AJ40" s="174"/>
      <c r="AK40" s="174"/>
      <c r="AL40" s="174"/>
      <c r="AM40" s="115">
        <v>9</v>
      </c>
      <c r="AN40" s="115">
        <v>0.3</v>
      </c>
      <c r="AO40" s="115"/>
      <c r="AP40" s="115" t="s">
        <v>605</v>
      </c>
      <c r="AQ40" s="280">
        <f>(LN(2)/AN40)/(60*60*24)*10^(9-AM40)</f>
        <v>2.674178937345468E-5</v>
      </c>
      <c r="AR40" s="280">
        <f>AQ40*10^($I40-9)</f>
        <v>0.11089684073468761</v>
      </c>
      <c r="AS40" s="669">
        <f>(LN(2)/AT40)/(60*60*24)</f>
        <v>467.73771832586738</v>
      </c>
      <c r="AT40" s="670">
        <f>AU40*10^(9-14)</f>
        <v>1.7151785066106635E-8</v>
      </c>
      <c r="AU40" s="670">
        <f>EXP(LN(AR40)+$J40*(1/$H40-1/298.15)/0.0019872)</f>
        <v>1.7151785066106633E-3</v>
      </c>
      <c r="AV40" s="292"/>
      <c r="AW40" s="292"/>
      <c r="AX40" s="292"/>
      <c r="AY40" s="115"/>
      <c r="AZ40" s="115"/>
      <c r="BA40" s="115"/>
      <c r="BB40" s="192"/>
      <c r="BC40" s="192"/>
      <c r="BD40" s="192"/>
      <c r="BE40" s="115"/>
      <c r="BF40" s="115"/>
    </row>
    <row r="41" spans="1:58" s="4" customFormat="1" x14ac:dyDescent="0.3">
      <c r="A41" s="115"/>
      <c r="B41" s="115"/>
      <c r="C41" s="115"/>
      <c r="D41" s="314"/>
      <c r="E41" s="115"/>
      <c r="F41" s="115"/>
      <c r="G41" s="115"/>
      <c r="H41" s="115"/>
      <c r="I41" s="665"/>
      <c r="J41" s="279"/>
      <c r="K41" s="115"/>
      <c r="L41" s="115"/>
      <c r="M41" s="115"/>
      <c r="N41" s="115"/>
      <c r="O41" s="280"/>
      <c r="P41" s="280"/>
      <c r="Q41" s="675"/>
      <c r="R41" s="670"/>
      <c r="S41" s="670"/>
      <c r="T41" s="292"/>
      <c r="U41" s="302"/>
      <c r="V41" s="302"/>
      <c r="W41" s="303"/>
      <c r="X41" s="303"/>
      <c r="Y41" s="303"/>
      <c r="Z41" s="115"/>
      <c r="AA41" s="115"/>
      <c r="AB41" s="115"/>
      <c r="AC41" s="115"/>
      <c r="AD41" s="280"/>
      <c r="AE41" s="669"/>
      <c r="AF41" s="670"/>
      <c r="AG41" s="292"/>
      <c r="AH41" s="292"/>
      <c r="AI41" s="292"/>
      <c r="AJ41" s="174"/>
      <c r="AK41" s="174"/>
      <c r="AL41" s="174"/>
      <c r="AM41" s="115"/>
      <c r="AN41" s="115"/>
      <c r="AO41" s="115"/>
      <c r="AP41" s="115"/>
      <c r="AQ41" s="280"/>
      <c r="AR41" s="280"/>
      <c r="AS41" s="669"/>
      <c r="AT41" s="670"/>
      <c r="AU41" s="670"/>
      <c r="AV41" s="292"/>
      <c r="AW41" s="292"/>
      <c r="AX41" s="292"/>
      <c r="AY41" s="115"/>
      <c r="AZ41" s="115"/>
      <c r="BA41" s="115"/>
      <c r="BB41" s="192"/>
      <c r="BC41" s="192"/>
      <c r="BD41" s="192"/>
      <c r="BE41" s="115"/>
      <c r="BF41" s="115"/>
    </row>
    <row r="42" spans="1:58" s="4" customFormat="1" x14ac:dyDescent="0.3">
      <c r="A42" s="115"/>
      <c r="B42" s="115"/>
      <c r="C42" s="115"/>
      <c r="D42" s="314"/>
      <c r="E42" s="115"/>
      <c r="F42" s="115"/>
      <c r="G42" s="115"/>
      <c r="H42" s="115"/>
      <c r="I42" s="665"/>
      <c r="J42" s="279"/>
      <c r="K42" s="115"/>
      <c r="L42" s="115"/>
      <c r="M42" s="115"/>
      <c r="N42" s="115"/>
      <c r="O42" s="280"/>
      <c r="P42" s="280"/>
      <c r="Q42" s="675"/>
      <c r="R42" s="670"/>
      <c r="S42" s="670"/>
      <c r="T42" s="292"/>
      <c r="U42" s="302"/>
      <c r="V42" s="302"/>
      <c r="W42" s="303"/>
      <c r="X42" s="303"/>
      <c r="Y42" s="303"/>
      <c r="Z42" s="115"/>
      <c r="AA42" s="115"/>
      <c r="AB42" s="115"/>
      <c r="AC42" s="115"/>
      <c r="AD42" s="280"/>
      <c r="AE42" s="669"/>
      <c r="AF42" s="670"/>
      <c r="AG42" s="292"/>
      <c r="AH42" s="292"/>
      <c r="AI42" s="292"/>
      <c r="AJ42" s="174"/>
      <c r="AK42" s="174"/>
      <c r="AL42" s="174"/>
      <c r="AM42" s="115"/>
      <c r="AN42" s="115"/>
      <c r="AO42" s="115"/>
      <c r="AP42" s="115"/>
      <c r="AQ42" s="280"/>
      <c r="AR42" s="280"/>
      <c r="AS42" s="669"/>
      <c r="AT42" s="670"/>
      <c r="AU42" s="670"/>
      <c r="AV42" s="292"/>
      <c r="AW42" s="292"/>
      <c r="AX42" s="292"/>
      <c r="AY42" s="115"/>
      <c r="AZ42" s="115"/>
      <c r="BA42" s="115"/>
      <c r="BB42" s="192"/>
      <c r="BC42" s="192"/>
      <c r="BD42" s="192"/>
      <c r="BE42" s="115"/>
      <c r="BF42" s="115"/>
    </row>
    <row r="43" spans="1:58" s="4" customFormat="1" ht="15" thickBot="1" x14ac:dyDescent="0.35">
      <c r="A43" s="115"/>
      <c r="B43" s="115"/>
      <c r="C43" s="115"/>
      <c r="D43" s="314"/>
      <c r="E43" s="115"/>
      <c r="F43" s="115"/>
      <c r="G43" s="115"/>
      <c r="H43" s="115"/>
      <c r="I43" s="665"/>
      <c r="J43" s="279"/>
      <c r="K43" s="115"/>
      <c r="L43" s="115"/>
      <c r="M43" s="115"/>
      <c r="N43" s="115"/>
      <c r="O43" s="280"/>
      <c r="P43" s="280"/>
      <c r="Q43" s="675"/>
      <c r="R43" s="670"/>
      <c r="S43" s="670"/>
      <c r="T43" s="292"/>
      <c r="U43" s="302"/>
      <c r="V43" s="302"/>
      <c r="W43" s="303"/>
      <c r="X43" s="303"/>
      <c r="Y43" s="303"/>
      <c r="Z43" s="115"/>
      <c r="AA43" s="115"/>
      <c r="AB43" s="115"/>
      <c r="AC43" s="115"/>
      <c r="AD43" s="280"/>
      <c r="AE43" s="669"/>
      <c r="AF43" s="670"/>
      <c r="AG43" s="292"/>
      <c r="AH43" s="292"/>
      <c r="AI43" s="292"/>
      <c r="AJ43" s="174"/>
      <c r="AK43" s="174"/>
      <c r="AL43" s="174"/>
      <c r="AM43" s="115"/>
      <c r="AN43" s="115"/>
      <c r="AO43" s="115"/>
      <c r="AP43" s="115"/>
      <c r="AQ43" s="280"/>
      <c r="AR43" s="280"/>
      <c r="AS43" s="669"/>
      <c r="AT43" s="670"/>
      <c r="AU43" s="670"/>
      <c r="AV43" s="292"/>
      <c r="AW43" s="292"/>
      <c r="AX43" s="292"/>
      <c r="AY43" s="115"/>
      <c r="AZ43" s="115"/>
      <c r="BA43" s="115"/>
      <c r="BB43" s="192"/>
      <c r="BC43" s="192"/>
      <c r="BD43" s="192"/>
      <c r="BE43" s="115"/>
      <c r="BF43" s="115"/>
    </row>
    <row r="44" spans="1:58" s="12" customFormat="1" x14ac:dyDescent="0.3">
      <c r="A44" s="56">
        <v>10</v>
      </c>
      <c r="B44" s="56" t="s">
        <v>749</v>
      </c>
      <c r="C44" s="56" t="s">
        <v>750</v>
      </c>
      <c r="D44" s="316"/>
      <c r="E44" s="56" t="s">
        <v>751</v>
      </c>
      <c r="F44" s="56"/>
      <c r="G44" s="56">
        <v>25</v>
      </c>
      <c r="H44" s="56">
        <f>G44+273.15</f>
        <v>298.14999999999998</v>
      </c>
      <c r="I44" s="666">
        <f t="shared" si="0"/>
        <v>14</v>
      </c>
      <c r="J44" s="281">
        <v>17.5</v>
      </c>
      <c r="K44" s="56">
        <v>1.2</v>
      </c>
      <c r="L44" s="56">
        <v>37</v>
      </c>
      <c r="M44" s="56"/>
      <c r="N44" s="56" t="s">
        <v>605</v>
      </c>
      <c r="O44" s="282">
        <f>(LN(2)/L44)/(60*60*24)*10^(K44-5)</f>
        <v>3.4364497242338286E-11</v>
      </c>
      <c r="P44" s="282">
        <f>O44*10^5</f>
        <v>3.4364497242338287E-6</v>
      </c>
      <c r="Q44" s="672">
        <f t="shared" ref="Q44:Q47" si="8">(LN(2)/R44)/(60*60*24)</f>
        <v>233454.21745767174</v>
      </c>
      <c r="R44" s="673">
        <f>S44*10^-5</f>
        <v>3.4364497242338286E-11</v>
      </c>
      <c r="S44" s="673">
        <f>EXP(LN(P44)+$J44*(1/$H44-1/298.15)/0.0019872)</f>
        <v>3.4364497242338283E-6</v>
      </c>
      <c r="T44" s="893">
        <f>AVERAGE(Q44:Q47)</f>
        <v>127657.28669907065</v>
      </c>
      <c r="U44" s="300">
        <f>MEDIAN(Q44:Q47)</f>
        <v>116783.10872883587</v>
      </c>
      <c r="V44" s="300">
        <f>STDEV(Q44:Q47)</f>
        <v>148358.33359571322</v>
      </c>
      <c r="W44" s="301"/>
      <c r="X44" s="301"/>
      <c r="Y44" s="301"/>
      <c r="Z44" s="56">
        <v>7</v>
      </c>
      <c r="AA44" s="56">
        <v>29</v>
      </c>
      <c r="AB44" s="56"/>
      <c r="AC44" s="56" t="s">
        <v>605</v>
      </c>
      <c r="AD44" s="282">
        <f>(LN(2)/AA44)/(60*60*24)</f>
        <v>2.766392004150484E-7</v>
      </c>
      <c r="AE44" s="672">
        <f>(LN(2)/AF44)/(60*60*24)</f>
        <v>28.999999999999993</v>
      </c>
      <c r="AF44" s="673">
        <f>EXP(LN(AD44)+$J44*(1/$H44-1/298.15)/0.0019872)</f>
        <v>2.7663920041504845E-7</v>
      </c>
      <c r="AG44" s="311">
        <f>AVERAGE(AE44:AE46)</f>
        <v>27.042171559309633</v>
      </c>
      <c r="AH44" s="311">
        <f>MEDIAN(AE44:AE46)</f>
        <v>27.042171559309633</v>
      </c>
      <c r="AI44" s="293">
        <f>STDEV(AE44:AE46)</f>
        <v>2.7687875336240757</v>
      </c>
      <c r="AJ44" s="294"/>
      <c r="AK44" s="294"/>
      <c r="AL44" s="294"/>
      <c r="AM44" s="56">
        <v>9</v>
      </c>
      <c r="AN44" s="56">
        <v>0.5</v>
      </c>
      <c r="AO44" s="56"/>
      <c r="AP44" s="56" t="s">
        <v>605</v>
      </c>
      <c r="AQ44" s="282">
        <f>(LN(2)/AN44)/(60*60*24)*10^(9-AM44)</f>
        <v>1.6045073624072808E-5</v>
      </c>
      <c r="AR44" s="282">
        <f>AQ44*10^($I44-9)</f>
        <v>1.6045073624072808</v>
      </c>
      <c r="AS44" s="672">
        <f>(LN(2)/AT44)/(60*60*24)</f>
        <v>0.5</v>
      </c>
      <c r="AT44" s="673">
        <f>AU44*10^(9-14)</f>
        <v>1.6045073624072808E-5</v>
      </c>
      <c r="AU44" s="673">
        <f>EXP(LN(AR44)+$J44*(1/$H44-1/298.15)/0.0019872)</f>
        <v>1.6045073624072808</v>
      </c>
      <c r="AV44" s="293">
        <f>AVERAGE(AS44:AS46)</f>
        <v>0.73766931822319115</v>
      </c>
      <c r="AW44" s="293">
        <f>MEDIAN(AS44:AS46)</f>
        <v>0.73766931822319115</v>
      </c>
      <c r="AX44" s="293">
        <f>STDEV(AS44:AS46)</f>
        <v>0.33611517319120371</v>
      </c>
      <c r="AY44" s="56"/>
      <c r="AZ44" s="56"/>
      <c r="BA44" s="56"/>
      <c r="BB44" s="315"/>
      <c r="BC44" s="315"/>
      <c r="BD44" s="315"/>
      <c r="BE44" s="56"/>
      <c r="BF44" s="56"/>
    </row>
    <row r="45" spans="1:58" s="4" customFormat="1" x14ac:dyDescent="0.3">
      <c r="A45" s="115"/>
      <c r="B45" s="115"/>
      <c r="C45" s="115"/>
      <c r="D45" s="314"/>
      <c r="E45" s="115"/>
      <c r="F45" s="115"/>
      <c r="G45" s="115">
        <v>25</v>
      </c>
      <c r="H45" s="115">
        <f>G45+273.15</f>
        <v>298.14999999999998</v>
      </c>
      <c r="I45" s="665">
        <f t="shared" si="0"/>
        <v>14</v>
      </c>
      <c r="J45" s="279">
        <v>17.5</v>
      </c>
      <c r="K45" s="115">
        <v>5</v>
      </c>
      <c r="L45" s="115">
        <v>112</v>
      </c>
      <c r="M45" s="115"/>
      <c r="N45" s="115" t="s">
        <v>605</v>
      </c>
      <c r="O45" s="280">
        <f>(LN(2)/L45)/(60*60*24)*10^(K45-5)</f>
        <v>7.1629792964610742E-8</v>
      </c>
      <c r="P45" s="280">
        <f>O45*10^5</f>
        <v>7.1629792964610743E-3</v>
      </c>
      <c r="Q45" s="669">
        <f t="shared" si="8"/>
        <v>112.00000000000003</v>
      </c>
      <c r="R45" s="670">
        <f>S45*10^-5</f>
        <v>7.1629792964610729E-8</v>
      </c>
      <c r="S45" s="670">
        <f>EXP(LN(P45)+$J45*(1/$H45-1/298.15)/0.0019872)</f>
        <v>7.1629792964610717E-3</v>
      </c>
      <c r="T45" s="292"/>
      <c r="U45" s="302"/>
      <c r="V45" s="302"/>
      <c r="W45" s="303"/>
      <c r="X45" s="303"/>
      <c r="Y45" s="303"/>
      <c r="Z45" s="115"/>
      <c r="AA45" s="115"/>
      <c r="AB45" s="115"/>
      <c r="AC45" s="115"/>
      <c r="AD45" s="280"/>
      <c r="AE45" s="669"/>
      <c r="AF45" s="670"/>
      <c r="AG45" s="292"/>
      <c r="AH45" s="292"/>
      <c r="AI45" s="292"/>
      <c r="AJ45" s="174"/>
      <c r="AK45" s="174"/>
      <c r="AL45" s="174"/>
      <c r="AM45" s="115"/>
      <c r="AN45" s="115"/>
      <c r="AO45" s="115"/>
      <c r="AP45" s="115"/>
      <c r="AQ45" s="280"/>
      <c r="AR45" s="280"/>
      <c r="AS45" s="669"/>
      <c r="AT45" s="670"/>
      <c r="AU45" s="670"/>
      <c r="AV45" s="292"/>
      <c r="AW45" s="292"/>
      <c r="AX45" s="292"/>
      <c r="AY45" s="115"/>
      <c r="AZ45" s="115"/>
      <c r="BA45" s="115"/>
      <c r="BB45" s="192"/>
      <c r="BC45" s="192"/>
      <c r="BD45" s="192"/>
      <c r="BE45" s="115"/>
      <c r="BF45" s="115"/>
    </row>
    <row r="46" spans="1:58" s="4" customFormat="1" x14ac:dyDescent="0.3">
      <c r="A46" s="115"/>
      <c r="B46" s="115"/>
      <c r="C46" s="115"/>
      <c r="D46" s="314"/>
      <c r="E46" s="115"/>
      <c r="F46" s="115"/>
      <c r="G46" s="115">
        <v>37</v>
      </c>
      <c r="H46" s="115">
        <f>G46+273.15</f>
        <v>310.14999999999998</v>
      </c>
      <c r="I46" s="665">
        <f t="shared" si="0"/>
        <v>13.621100669575195</v>
      </c>
      <c r="J46" s="279">
        <v>17.5</v>
      </c>
      <c r="K46" s="115">
        <v>1.2</v>
      </c>
      <c r="L46" s="115">
        <v>14</v>
      </c>
      <c r="M46" s="115"/>
      <c r="N46" s="115" t="s">
        <v>605</v>
      </c>
      <c r="O46" s="280">
        <f>(LN(2)/L46)/(60*60*24)*10^(K46-5)</f>
        <v>9.0820456997608338E-11</v>
      </c>
      <c r="P46" s="280">
        <f>O46*10^5</f>
        <v>9.0820456997608333E-6</v>
      </c>
      <c r="Q46" s="669">
        <f t="shared" si="8"/>
        <v>276975.13413769566</v>
      </c>
      <c r="R46" s="670">
        <f>S46*10^-5</f>
        <v>2.8964826886041231E-11</v>
      </c>
      <c r="S46" s="670">
        <f>EXP(LN(P46)+$J46*(1/$H46-1/298.15)/0.0019872)</f>
        <v>2.896482688604123E-6</v>
      </c>
      <c r="T46" s="292"/>
      <c r="U46" s="850"/>
      <c r="V46" s="302"/>
      <c r="W46" s="303"/>
      <c r="X46" s="303"/>
      <c r="Y46" s="303"/>
      <c r="Z46" s="115">
        <v>7</v>
      </c>
      <c r="AA46" s="115">
        <v>8</v>
      </c>
      <c r="AB46" s="115"/>
      <c r="AC46" s="115" t="s">
        <v>605</v>
      </c>
      <c r="AD46" s="280">
        <f>(LN(2)/AA46)/(60*60*24)</f>
        <v>1.0028171015045505E-6</v>
      </c>
      <c r="AE46" s="669">
        <f>(LN(2)/AF46)/(60*60*24)</f>
        <v>25.084343118619273</v>
      </c>
      <c r="AF46" s="670">
        <f>EXP(LN(AD46)+$J46*(1/$H46-1/298.15)/0.0019872)</f>
        <v>3.1982247946853914E-7</v>
      </c>
      <c r="AG46" s="292"/>
      <c r="AH46" s="292"/>
      <c r="AI46" s="292"/>
      <c r="AJ46" s="174"/>
      <c r="AK46" s="174"/>
      <c r="AL46" s="174"/>
      <c r="AM46" s="115">
        <v>9</v>
      </c>
      <c r="AN46" s="115">
        <v>0.13</v>
      </c>
      <c r="AO46" s="115"/>
      <c r="AP46" s="115" t="s">
        <v>605</v>
      </c>
      <c r="AQ46" s="280">
        <f>(LN(2)/AN46)/(60*60*24)*10^(9-AM46)</f>
        <v>6.1711821631049254E-5</v>
      </c>
      <c r="AR46" s="280">
        <f>AQ46*10^($I46-9)</f>
        <v>2.5791050738039996</v>
      </c>
      <c r="AS46" s="669">
        <f>(LN(2)/AT46)/(60*60*24)</f>
        <v>0.9753386364463823</v>
      </c>
      <c r="AT46" s="670">
        <f>AU46*10^(9-14)</f>
        <v>8.2253860477282848E-6</v>
      </c>
      <c r="AU46" s="670">
        <f>EXP(LN(AR46)+$J46*(1/$H46-1/298.15)/0.0019872)</f>
        <v>0.82253860477282836</v>
      </c>
      <c r="AV46" s="292"/>
      <c r="AW46" s="292"/>
      <c r="AX46" s="292"/>
      <c r="AY46" s="115"/>
      <c r="AZ46" s="115"/>
      <c r="BA46" s="115"/>
      <c r="BB46" s="192"/>
      <c r="BC46" s="192"/>
      <c r="BD46" s="192"/>
      <c r="BE46" s="115"/>
      <c r="BF46" s="115"/>
    </row>
    <row r="47" spans="1:58" s="4" customFormat="1" x14ac:dyDescent="0.3">
      <c r="A47" s="115"/>
      <c r="B47" s="115"/>
      <c r="C47" s="115"/>
      <c r="D47" s="314"/>
      <c r="E47" s="115"/>
      <c r="F47" s="115"/>
      <c r="G47" s="115">
        <v>37</v>
      </c>
      <c r="H47" s="115">
        <f>G47+273.15</f>
        <v>310.14999999999998</v>
      </c>
      <c r="I47" s="665">
        <f t="shared" si="0"/>
        <v>13.621100669575195</v>
      </c>
      <c r="J47" s="279">
        <v>17.5</v>
      </c>
      <c r="K47" s="115">
        <v>5</v>
      </c>
      <c r="L47" s="115">
        <v>28</v>
      </c>
      <c r="M47" s="115"/>
      <c r="N47" s="115" t="s">
        <v>605</v>
      </c>
      <c r="O47" s="280">
        <f>(LN(2)/L47)/(60*60*24)*10^(K47-5)</f>
        <v>2.8651917185844297E-7</v>
      </c>
      <c r="P47" s="280">
        <f>O47*10^5</f>
        <v>2.8651917185844297E-2</v>
      </c>
      <c r="Q47" s="669">
        <f t="shared" si="8"/>
        <v>87.795200915167428</v>
      </c>
      <c r="R47" s="670">
        <f>S47*10^-5</f>
        <v>9.1377851276725493E-8</v>
      </c>
      <c r="S47" s="670">
        <f>EXP(LN(P47)+$J47*(1/$H47-1/298.15)/0.0019872)</f>
        <v>9.1377851276725486E-3</v>
      </c>
      <c r="T47" s="292"/>
      <c r="U47" s="302"/>
      <c r="V47" s="302"/>
      <c r="W47" s="303"/>
      <c r="X47" s="303"/>
      <c r="Y47" s="303"/>
      <c r="Z47" s="115"/>
      <c r="AA47" s="115"/>
      <c r="AB47" s="115"/>
      <c r="AC47" s="115"/>
      <c r="AD47" s="280"/>
      <c r="AE47" s="669"/>
      <c r="AF47" s="670"/>
      <c r="AG47" s="292"/>
      <c r="AH47" s="292"/>
      <c r="AI47" s="292"/>
      <c r="AJ47" s="174"/>
      <c r="AK47" s="174"/>
      <c r="AL47" s="174"/>
      <c r="AM47" s="115"/>
      <c r="AN47" s="115"/>
      <c r="AO47" s="115"/>
      <c r="AP47" s="115"/>
      <c r="AQ47" s="280"/>
      <c r="AR47" s="280"/>
      <c r="AS47" s="669"/>
      <c r="AT47" s="670"/>
      <c r="AU47" s="670"/>
      <c r="AV47" s="292"/>
      <c r="AW47" s="292"/>
      <c r="AX47" s="292"/>
      <c r="AY47" s="115"/>
      <c r="AZ47" s="115"/>
      <c r="BA47" s="115"/>
      <c r="BB47" s="192"/>
      <c r="BC47" s="192"/>
      <c r="BD47" s="192"/>
      <c r="BE47" s="115"/>
      <c r="BF47" s="115"/>
    </row>
    <row r="48" spans="1:58" s="4" customFormat="1" ht="15" thickBot="1" x14ac:dyDescent="0.35">
      <c r="A48" s="115"/>
      <c r="B48" s="115"/>
      <c r="C48" s="115"/>
      <c r="D48" s="314"/>
      <c r="E48" s="115"/>
      <c r="F48" s="115"/>
      <c r="G48" s="115"/>
      <c r="H48" s="115"/>
      <c r="I48" s="665"/>
      <c r="J48" s="279"/>
      <c r="K48" s="115"/>
      <c r="L48" s="115"/>
      <c r="M48" s="115"/>
      <c r="N48" s="115"/>
      <c r="O48" s="280"/>
      <c r="P48" s="280"/>
      <c r="Q48" s="675"/>
      <c r="R48" s="670"/>
      <c r="S48" s="670"/>
      <c r="T48" s="292"/>
      <c r="U48" s="302"/>
      <c r="V48" s="302"/>
      <c r="W48" s="303"/>
      <c r="X48" s="303"/>
      <c r="Y48" s="303"/>
      <c r="Z48" s="115"/>
      <c r="AA48" s="115"/>
      <c r="AB48" s="115"/>
      <c r="AC48" s="115"/>
      <c r="AD48" s="280"/>
      <c r="AE48" s="669"/>
      <c r="AF48" s="670"/>
      <c r="AG48" s="292"/>
      <c r="AH48" s="292"/>
      <c r="AI48" s="292"/>
      <c r="AJ48" s="174"/>
      <c r="AK48" s="174"/>
      <c r="AL48" s="174"/>
      <c r="AM48" s="115"/>
      <c r="AN48" s="115"/>
      <c r="AO48" s="115"/>
      <c r="AP48" s="115"/>
      <c r="AQ48" s="280"/>
      <c r="AR48" s="280"/>
      <c r="AS48" s="669"/>
      <c r="AT48" s="670"/>
      <c r="AU48" s="670"/>
      <c r="AV48" s="292"/>
      <c r="AW48" s="292"/>
      <c r="AX48" s="292"/>
      <c r="AY48" s="115"/>
      <c r="AZ48" s="115"/>
      <c r="BA48" s="115"/>
      <c r="BB48" s="192"/>
      <c r="BC48" s="192"/>
      <c r="BD48" s="192"/>
      <c r="BE48" s="115"/>
      <c r="BF48" s="115"/>
    </row>
    <row r="49" spans="1:58" s="11" customFormat="1" x14ac:dyDescent="0.3">
      <c r="A49" s="285">
        <v>11</v>
      </c>
      <c r="B49" s="285" t="s">
        <v>752</v>
      </c>
      <c r="C49" s="285" t="s">
        <v>753</v>
      </c>
      <c r="D49" s="318"/>
      <c r="E49" s="285" t="s">
        <v>754</v>
      </c>
      <c r="F49" s="285"/>
      <c r="G49" s="285">
        <v>25</v>
      </c>
      <c r="H49" s="285">
        <f>G49+273.15</f>
        <v>298.14999999999998</v>
      </c>
      <c r="I49" s="666">
        <f t="shared" si="0"/>
        <v>14</v>
      </c>
      <c r="J49" s="284">
        <v>17.5</v>
      </c>
      <c r="K49" s="285">
        <v>4</v>
      </c>
      <c r="L49" s="285">
        <v>95</v>
      </c>
      <c r="M49" s="285"/>
      <c r="N49" s="285" t="s">
        <v>605</v>
      </c>
      <c r="O49" s="287">
        <f>(LN(2)/L49)/(60*60*24)*10^(K49-5)</f>
        <v>8.4447755916172674E-9</v>
      </c>
      <c r="P49" s="287">
        <f>O49*10^5</f>
        <v>8.4447755916172674E-4</v>
      </c>
      <c r="Q49" s="677">
        <f t="shared" ref="Q49:Q50" si="9">(LN(2)/R49)/(60*60*24)</f>
        <v>950</v>
      </c>
      <c r="R49" s="678">
        <f>S49*10^-5</f>
        <v>8.4447755916172674E-9</v>
      </c>
      <c r="S49" s="678">
        <f>EXP(LN(P49)+$J49*(1/$H49-1/298.15)/0.0019872)</f>
        <v>8.4447755916172674E-4</v>
      </c>
      <c r="T49" s="296">
        <f>AVERAGE(Q49:Q50)</f>
        <v>944.40836820296306</v>
      </c>
      <c r="U49" s="304">
        <f>MEDIAN(Q49:Q50)</f>
        <v>944.40836820296306</v>
      </c>
      <c r="V49" s="304">
        <f>STDEV(Q49:Q50)</f>
        <v>7.9077615231662808</v>
      </c>
      <c r="W49" s="305"/>
      <c r="X49" s="305"/>
      <c r="Y49" s="305"/>
      <c r="Z49" s="285">
        <v>7.2</v>
      </c>
      <c r="AA49" s="285">
        <v>87</v>
      </c>
      <c r="AB49" s="285"/>
      <c r="AC49" s="285" t="s">
        <v>605</v>
      </c>
      <c r="AD49" s="287">
        <f>(LN(2)/AA49)/(60*60*24)</f>
        <v>9.2213066805016137E-8</v>
      </c>
      <c r="AE49" s="677">
        <f>(LN(2)/AF49)/(60*60*24)</f>
        <v>87.000000000000085</v>
      </c>
      <c r="AF49" s="678">
        <f>EXP(LN(AD49)+$J49*(1/$H49-1/298.15)/0.0019872)</f>
        <v>9.2213066805016044E-8</v>
      </c>
      <c r="AG49" s="308">
        <f>AVERAGE(AE49:AE50)</f>
        <v>94.352573221987797</v>
      </c>
      <c r="AH49" s="308">
        <f>MEDIAN(AE49:AE50)</f>
        <v>94.352573221987797</v>
      </c>
      <c r="AI49" s="296">
        <f>STDEV(AE49:AE50)</f>
        <v>10.398108768876256</v>
      </c>
      <c r="AJ49" s="297"/>
      <c r="AK49" s="297"/>
      <c r="AL49" s="297"/>
      <c r="AM49" s="285">
        <v>9</v>
      </c>
      <c r="AN49" s="285">
        <v>81</v>
      </c>
      <c r="AO49" s="285"/>
      <c r="AP49" s="285" t="s">
        <v>605</v>
      </c>
      <c r="AQ49" s="287">
        <f>(LN(2)/AN49)/(60*60*24)*10^(9-AM49)</f>
        <v>9.9043664346128442E-8</v>
      </c>
      <c r="AR49" s="287">
        <f>AQ49*10^($I49-9)</f>
        <v>9.9043664346128435E-3</v>
      </c>
      <c r="AS49" s="677">
        <f>(LN(2)/AT49)/(60*60*24)</f>
        <v>81.000000000000014</v>
      </c>
      <c r="AT49" s="678">
        <f>AU49*10^(9-14)</f>
        <v>9.9043664346128429E-8</v>
      </c>
      <c r="AU49" s="678">
        <f>EXP(LN(AR49)+$J49*(1/$H49-1/298.15)/0.0019872)</f>
        <v>9.9043664346128418E-3</v>
      </c>
      <c r="AV49" s="296">
        <f>AVERAGE(AS49:AS50)</f>
        <v>186.86621817625903</v>
      </c>
      <c r="AW49" s="296">
        <f>MEDIAN(AS49:AS50)</f>
        <v>186.86621817625905</v>
      </c>
      <c r="AX49" s="296">
        <f>STDEV(AS49:AS50)</f>
        <v>149.7174415420146</v>
      </c>
      <c r="AY49" s="285"/>
      <c r="AZ49" s="285"/>
      <c r="BA49" s="285"/>
      <c r="BB49" s="317"/>
      <c r="BC49" s="317"/>
      <c r="BD49" s="317"/>
      <c r="BE49" s="285"/>
      <c r="BF49" s="285"/>
    </row>
    <row r="50" spans="1:58" s="4" customFormat="1" ht="15" thickBot="1" x14ac:dyDescent="0.35">
      <c r="A50" s="115"/>
      <c r="B50" s="115"/>
      <c r="C50" s="115"/>
      <c r="D50" s="314"/>
      <c r="E50" s="115"/>
      <c r="F50" s="115"/>
      <c r="G50" s="115">
        <v>35</v>
      </c>
      <c r="H50" s="115">
        <f>G50+273.15</f>
        <v>308.14999999999998</v>
      </c>
      <c r="I50" s="665">
        <f t="shared" si="0"/>
        <v>13.682201234974167</v>
      </c>
      <c r="J50" s="279">
        <v>17.5</v>
      </c>
      <c r="K50" s="115">
        <v>4</v>
      </c>
      <c r="L50" s="115">
        <v>36</v>
      </c>
      <c r="M50" s="115"/>
      <c r="N50" s="115" t="s">
        <v>605</v>
      </c>
      <c r="O50" s="280">
        <f>(LN(2)/L50)/(60*60*24)*10^(K50-5)</f>
        <v>2.2284824477878903E-8</v>
      </c>
      <c r="P50" s="280">
        <f>O50*10^5</f>
        <v>2.2284824477878905E-3</v>
      </c>
      <c r="Q50" s="669">
        <f t="shared" si="9"/>
        <v>938.81673640592612</v>
      </c>
      <c r="R50" s="670">
        <f>S50*10^-5</f>
        <v>8.5453704657514921E-9</v>
      </c>
      <c r="S50" s="670">
        <f>EXP(LN(P50)+$J50*(1/$H50-1/298.15)/0.0019872)</f>
        <v>8.5453704657514917E-4</v>
      </c>
      <c r="T50" s="292"/>
      <c r="U50" s="302"/>
      <c r="V50" s="302"/>
      <c r="W50" s="303"/>
      <c r="X50" s="303"/>
      <c r="Y50" s="303"/>
      <c r="Z50" s="115">
        <v>7.2</v>
      </c>
      <c r="AA50" s="115">
        <v>39</v>
      </c>
      <c r="AB50" s="115"/>
      <c r="AC50" s="115" t="s">
        <v>605</v>
      </c>
      <c r="AD50" s="280">
        <f>(LN(2)/AA50)/(60*60*24)</f>
        <v>2.0570607210349755E-7</v>
      </c>
      <c r="AE50" s="669">
        <f>(LN(2)/AF50)/(60*60*24)</f>
        <v>101.70514644397549</v>
      </c>
      <c r="AF50" s="670">
        <f>EXP(LN(AD50)+$J50*(1/$H50-1/298.15)/0.0019872)</f>
        <v>7.8880342760782863E-8</v>
      </c>
      <c r="AG50" s="292"/>
      <c r="AH50" s="292"/>
      <c r="AI50" s="292"/>
      <c r="AJ50" s="174"/>
      <c r="AK50" s="174"/>
      <c r="AL50" s="174"/>
      <c r="AM50" s="115">
        <v>9</v>
      </c>
      <c r="AN50" s="115">
        <v>54</v>
      </c>
      <c r="AO50" s="115"/>
      <c r="AP50" s="115" t="s">
        <v>605</v>
      </c>
      <c r="AQ50" s="280">
        <f>(LN(2)/AN50)/(60*60*24)*10^(9-AM50)</f>
        <v>1.4856549651919266E-7</v>
      </c>
      <c r="AR50" s="280">
        <f>AQ50*10^($I50-9)</f>
        <v>7.1469244913149859E-3</v>
      </c>
      <c r="AS50" s="669">
        <f>(LN(2)/AT50)/(60*60*24)</f>
        <v>292.73243635251805</v>
      </c>
      <c r="AT50" s="670">
        <f>AU50*10^(9-14)</f>
        <v>2.7405698227358036E-8</v>
      </c>
      <c r="AU50" s="670">
        <f>EXP(LN(AR50)+$J50*(1/$H50-1/298.15)/0.0019872)</f>
        <v>2.7405698227358035E-3</v>
      </c>
      <c r="AV50" s="292"/>
      <c r="AW50" s="292"/>
      <c r="AX50" s="292"/>
      <c r="AY50" s="115"/>
      <c r="AZ50" s="115"/>
      <c r="BA50" s="115"/>
      <c r="BB50" s="192"/>
      <c r="BC50" s="192"/>
      <c r="BD50" s="192"/>
      <c r="BE50" s="115"/>
      <c r="BF50" s="115"/>
    </row>
    <row r="51" spans="1:58" s="12" customFormat="1" x14ac:dyDescent="0.3">
      <c r="A51" s="56">
        <v>12</v>
      </c>
      <c r="B51" s="56" t="s">
        <v>755</v>
      </c>
      <c r="C51" s="56" t="s">
        <v>756</v>
      </c>
      <c r="D51" s="316"/>
      <c r="E51" s="56" t="s">
        <v>754</v>
      </c>
      <c r="F51" s="56"/>
      <c r="G51" s="56">
        <v>25</v>
      </c>
      <c r="H51" s="56">
        <f>G51+273.15</f>
        <v>298.14999999999998</v>
      </c>
      <c r="I51" s="666">
        <f t="shared" si="0"/>
        <v>14</v>
      </c>
      <c r="J51" s="281">
        <v>17.5</v>
      </c>
      <c r="K51" s="56"/>
      <c r="L51" s="56"/>
      <c r="M51" s="56"/>
      <c r="N51" s="56"/>
      <c r="O51" s="282"/>
      <c r="P51" s="282"/>
      <c r="Q51" s="679"/>
      <c r="R51" s="673"/>
      <c r="S51" s="673"/>
      <c r="T51" s="293"/>
      <c r="U51" s="300"/>
      <c r="V51" s="300"/>
      <c r="W51" s="301"/>
      <c r="X51" s="301"/>
      <c r="Y51" s="301"/>
      <c r="Z51" s="56">
        <v>7.2</v>
      </c>
      <c r="AA51" s="56">
        <v>2.1</v>
      </c>
      <c r="AB51" s="56"/>
      <c r="AC51" s="56" t="s">
        <v>605</v>
      </c>
      <c r="AD51" s="282">
        <f>(LN(2)/AA51)/(60*60*24)</f>
        <v>3.8202556247792394E-6</v>
      </c>
      <c r="AE51" s="672">
        <f>(LN(2)/AF51)/(60*60*24)</f>
        <v>2.0999999999999992</v>
      </c>
      <c r="AF51" s="673">
        <f>EXP(LN(AD51)+$J51*(1/$H51-1/298.15)/0.0019872)</f>
        <v>3.820255624779242E-6</v>
      </c>
      <c r="AG51" s="311">
        <f>AVERAGE(AE51:AE52)</f>
        <v>2.3539121338971181</v>
      </c>
      <c r="AH51" s="311">
        <f>MEDIAN(AE51:AE52)</f>
        <v>2.3539121338971181</v>
      </c>
      <c r="AI51" s="293">
        <f>STDEV(AE51:AE52)</f>
        <v>0.35908598340839798</v>
      </c>
      <c r="AJ51" s="294"/>
      <c r="AK51" s="294"/>
      <c r="AL51" s="294"/>
      <c r="AM51" s="56">
        <v>9</v>
      </c>
      <c r="AN51" s="56">
        <v>5.5</v>
      </c>
      <c r="AO51" s="56"/>
      <c r="AP51" s="56" t="s">
        <v>605</v>
      </c>
      <c r="AQ51" s="312">
        <f>(LN(2)/AN51)/(60*60*24)*10^(9-AM51)</f>
        <v>1.4586430567338918E-6</v>
      </c>
      <c r="AR51" s="312">
        <f>AQ51*10^($I51-9)</f>
        <v>0.14586430567338918</v>
      </c>
      <c r="AS51" s="672">
        <f>(LN(2)/AT51)/(60*60*24)</f>
        <v>5.4999999999999991</v>
      </c>
      <c r="AT51" s="684">
        <f>AU51*10^(9-14)</f>
        <v>1.4586430567338918E-6</v>
      </c>
      <c r="AU51" s="684">
        <f>EXP(LN(AR51)+$J51*(1/$H51-1/298.15)/0.0019872)</f>
        <v>0.14586430567338918</v>
      </c>
      <c r="AV51" s="293">
        <f>AVERAGE(AS51:AS52)</f>
        <v>11.694602221882496</v>
      </c>
      <c r="AW51" s="293">
        <f>MEDIAN(AS51:AS52)</f>
        <v>11.694602221882494</v>
      </c>
      <c r="AX51" s="293">
        <f>STDEV(AS51:AS52)</f>
        <v>8.7604904756927358</v>
      </c>
      <c r="AY51" s="56"/>
      <c r="AZ51" s="56"/>
      <c r="BA51" s="56"/>
      <c r="BB51" s="315"/>
      <c r="BC51" s="315"/>
      <c r="BD51" s="315"/>
      <c r="BE51" s="56"/>
      <c r="BF51" s="56"/>
    </row>
    <row r="52" spans="1:58" s="4" customFormat="1" x14ac:dyDescent="0.3">
      <c r="A52" s="115"/>
      <c r="B52" s="115"/>
      <c r="C52" s="115"/>
      <c r="D52" s="314"/>
      <c r="E52" s="115"/>
      <c r="F52" s="115"/>
      <c r="G52" s="115">
        <v>35</v>
      </c>
      <c r="H52" s="115">
        <f>G52+273.15</f>
        <v>308.14999999999998</v>
      </c>
      <c r="I52" s="665">
        <f t="shared" si="0"/>
        <v>13.682201234974167</v>
      </c>
      <c r="J52" s="279">
        <v>17.5</v>
      </c>
      <c r="K52" s="115"/>
      <c r="L52" s="115"/>
      <c r="M52" s="115"/>
      <c r="N52" s="115"/>
      <c r="O52" s="280"/>
      <c r="P52" s="280"/>
      <c r="Q52" s="675"/>
      <c r="R52" s="670"/>
      <c r="S52" s="670"/>
      <c r="T52" s="292"/>
      <c r="U52" s="302"/>
      <c r="V52" s="302"/>
      <c r="W52" s="303"/>
      <c r="X52" s="303"/>
      <c r="Y52" s="303"/>
      <c r="Z52" s="115">
        <v>7.2</v>
      </c>
      <c r="AA52" s="115">
        <v>1</v>
      </c>
      <c r="AB52" s="115"/>
      <c r="AC52" s="115" t="s">
        <v>605</v>
      </c>
      <c r="AD52" s="280">
        <f>(LN(2)/AA52)/(60*60*24)</f>
        <v>8.0225368120364038E-6</v>
      </c>
      <c r="AE52" s="669">
        <f>(LN(2)/AF52)/(60*60*24)</f>
        <v>2.6078242677942369</v>
      </c>
      <c r="AF52" s="670">
        <f>EXP(LN(AD52)+$J52*(1/$H52-1/298.15)/0.0019872)</f>
        <v>3.0763333676705398E-6</v>
      </c>
      <c r="AG52" s="292"/>
      <c r="AH52" s="292"/>
      <c r="AI52" s="292"/>
      <c r="AJ52" s="174"/>
      <c r="AK52" s="174"/>
      <c r="AL52" s="174"/>
      <c r="AM52" s="115">
        <v>9</v>
      </c>
      <c r="AN52" s="115">
        <v>3.3</v>
      </c>
      <c r="AO52" s="115"/>
      <c r="AP52" s="115" t="s">
        <v>605</v>
      </c>
      <c r="AQ52" s="290">
        <f>(LN(2)/AN52)/(60*60*24)*10^(9-AM52)</f>
        <v>2.4310717612231528E-6</v>
      </c>
      <c r="AR52" s="290">
        <f>AQ52*10^($I52-9)</f>
        <v>0.11694967349424523</v>
      </c>
      <c r="AS52" s="669">
        <f>(LN(2)/AT52)/(60*60*24)</f>
        <v>17.889204443764992</v>
      </c>
      <c r="AT52" s="668">
        <f>AU52*10^(9-14)</f>
        <v>4.4845688008404059E-7</v>
      </c>
      <c r="AU52" s="668">
        <f>EXP(LN(AR52)+$J52*(1/$H52-1/298.15)/0.0019872)</f>
        <v>4.4845688008404057E-2</v>
      </c>
      <c r="AV52" s="292"/>
      <c r="AW52" s="292"/>
      <c r="AX52" s="292"/>
      <c r="AY52" s="115"/>
      <c r="AZ52" s="115"/>
      <c r="BA52" s="115"/>
      <c r="BB52" s="192"/>
      <c r="BC52" s="192"/>
      <c r="BD52" s="192"/>
      <c r="BE52" s="115"/>
      <c r="BF52" s="115"/>
    </row>
    <row r="53" spans="1:58" s="4" customFormat="1" ht="15" thickBot="1" x14ac:dyDescent="0.35">
      <c r="A53" s="115"/>
      <c r="B53" s="115"/>
      <c r="C53" s="115"/>
      <c r="D53" s="314"/>
      <c r="E53" s="115"/>
      <c r="F53" s="115"/>
      <c r="G53" s="115"/>
      <c r="H53" s="115"/>
      <c r="I53" s="665"/>
      <c r="J53" s="279"/>
      <c r="K53" s="115"/>
      <c r="L53" s="115"/>
      <c r="M53" s="115"/>
      <c r="N53" s="115"/>
      <c r="O53" s="280"/>
      <c r="P53" s="280"/>
      <c r="Q53" s="675"/>
      <c r="R53" s="670"/>
      <c r="S53" s="670"/>
      <c r="T53" s="292"/>
      <c r="U53" s="302"/>
      <c r="V53" s="302"/>
      <c r="W53" s="303"/>
      <c r="X53" s="303"/>
      <c r="Y53" s="303"/>
      <c r="Z53" s="115"/>
      <c r="AA53" s="115"/>
      <c r="AB53" s="115"/>
      <c r="AC53" s="115"/>
      <c r="AD53" s="280"/>
      <c r="AE53" s="669"/>
      <c r="AF53" s="670"/>
      <c r="AG53" s="292"/>
      <c r="AH53" s="292"/>
      <c r="AI53" s="292"/>
      <c r="AJ53" s="174"/>
      <c r="AK53" s="174"/>
      <c r="AL53" s="174"/>
      <c r="AM53" s="115"/>
      <c r="AN53" s="115"/>
      <c r="AO53" s="115"/>
      <c r="AP53" s="115"/>
      <c r="AQ53" s="290"/>
      <c r="AR53" s="290"/>
      <c r="AS53" s="669"/>
      <c r="AT53" s="668"/>
      <c r="AU53" s="668"/>
      <c r="AV53" s="292"/>
      <c r="AW53" s="292"/>
      <c r="AX53" s="292"/>
      <c r="AY53" s="115"/>
      <c r="AZ53" s="115"/>
      <c r="BA53" s="115"/>
      <c r="BB53" s="192"/>
      <c r="BC53" s="192"/>
      <c r="BD53" s="192"/>
      <c r="BE53" s="115"/>
      <c r="BF53" s="115"/>
    </row>
    <row r="54" spans="1:58" s="11" customFormat="1" x14ac:dyDescent="0.3">
      <c r="A54" s="285">
        <v>13</v>
      </c>
      <c r="B54" s="285" t="s">
        <v>757</v>
      </c>
      <c r="C54" s="285" t="s">
        <v>758</v>
      </c>
      <c r="D54" s="318"/>
      <c r="E54" s="285" t="s">
        <v>759</v>
      </c>
      <c r="F54" s="285"/>
      <c r="G54" s="285">
        <v>35</v>
      </c>
      <c r="H54" s="285">
        <f>G54+273.15</f>
        <v>308.14999999999998</v>
      </c>
      <c r="I54" s="666">
        <f t="shared" si="0"/>
        <v>13.682201234974167</v>
      </c>
      <c r="J54" s="284">
        <v>17.5</v>
      </c>
      <c r="K54" s="285">
        <v>4</v>
      </c>
      <c r="L54" s="285">
        <v>31.2</v>
      </c>
      <c r="M54" s="285"/>
      <c r="N54" s="285" t="s">
        <v>605</v>
      </c>
      <c r="O54" s="287">
        <f>(LN(2)/L54)/(60*60*24)*10^(K54-5)</f>
        <v>2.5713259012937191E-8</v>
      </c>
      <c r="P54" s="287">
        <f>O54*10^5</f>
        <v>2.5713259012937191E-3</v>
      </c>
      <c r="Q54" s="677">
        <f t="shared" ref="Q54:Q56" si="10">(LN(2)/R54)/(60*60*24)</f>
        <v>813.64117155180259</v>
      </c>
      <c r="R54" s="678">
        <f>S54*10^-5</f>
        <v>9.8600428450978744E-9</v>
      </c>
      <c r="S54" s="678">
        <f>EXP(LN(P54)+$J54*(1/$H54-1/298.15)/0.0019872)</f>
        <v>9.8600428450978743E-4</v>
      </c>
      <c r="T54" s="296">
        <f>AVERAGE(Q54:Q56)</f>
        <v>299.68247210735461</v>
      </c>
      <c r="U54" s="304">
        <f>MEDIAN(Q54:Q56)</f>
        <v>78.495510460606596</v>
      </c>
      <c r="V54" s="304">
        <f>STDEV(Q54:Q56)</f>
        <v>446.53807631053905</v>
      </c>
      <c r="W54" s="305"/>
      <c r="X54" s="305"/>
      <c r="Y54" s="305"/>
      <c r="Z54" s="285">
        <v>7</v>
      </c>
      <c r="AA54" s="285">
        <v>17.2</v>
      </c>
      <c r="AB54" s="285"/>
      <c r="AC54" s="285" t="s">
        <v>605</v>
      </c>
      <c r="AD54" s="287">
        <f>(LN(2)/AA54)/(60*60*24)</f>
        <v>4.6642655883932578E-7</v>
      </c>
      <c r="AE54" s="677">
        <f>(LN(2)/AF54)/(60*60*24)</f>
        <v>44.854577406060891</v>
      </c>
      <c r="AF54" s="678">
        <f>EXP(LN(AD54)+$J54*(1/$H54-1/298.15)/0.0019872)</f>
        <v>1.7885659114363595E-7</v>
      </c>
      <c r="AG54" s="296">
        <f>AE54</f>
        <v>44.854577406060891</v>
      </c>
      <c r="AH54" s="296"/>
      <c r="AI54" s="296"/>
      <c r="AJ54" s="297"/>
      <c r="AK54" s="297"/>
      <c r="AL54" s="297"/>
      <c r="AM54" s="285">
        <v>8</v>
      </c>
      <c r="AN54" s="285">
        <v>7.5</v>
      </c>
      <c r="AO54" s="285"/>
      <c r="AP54" s="285" t="s">
        <v>605</v>
      </c>
      <c r="AQ54" s="291">
        <f>(LN(2)/AN54)/(60*60*24)*10^(9-AM54)</f>
        <v>1.0696715749381871E-5</v>
      </c>
      <c r="AR54" s="291">
        <f>AQ54*10^($I54-9)</f>
        <v>0.514578563374679</v>
      </c>
      <c r="AS54" s="677">
        <f>(LN(2)/AT54)/(60*60*24)</f>
        <v>4.0657282826738621</v>
      </c>
      <c r="AT54" s="680">
        <f>AU54*10^(9-14)</f>
        <v>1.9732102723697786E-6</v>
      </c>
      <c r="AU54" s="680">
        <f>EXP(LN(AR54)+$J54*(1/$H54-1/298.15)/0.0019872)</f>
        <v>0.19732102723697786</v>
      </c>
      <c r="AV54" s="296">
        <f>AVERAGE(AS54:AS56)</f>
        <v>28.460097978717041</v>
      </c>
      <c r="AW54" s="296">
        <f>MEDIAN(AS54:AS56)</f>
        <v>10.841942087130299</v>
      </c>
      <c r="AX54" s="296">
        <f>STDEV(AS54:AS56)</f>
        <v>36.541325893696985</v>
      </c>
      <c r="AY54" s="285"/>
      <c r="AZ54" s="285"/>
      <c r="BA54" s="285"/>
      <c r="BB54" s="317"/>
      <c r="BC54" s="317"/>
      <c r="BD54" s="317"/>
      <c r="BE54" s="285"/>
      <c r="BF54" s="285"/>
    </row>
    <row r="55" spans="1:58" s="4" customFormat="1" x14ac:dyDescent="0.3">
      <c r="A55" s="115"/>
      <c r="B55" s="115"/>
      <c r="C55" s="115"/>
      <c r="D55" s="314"/>
      <c r="E55" s="115"/>
      <c r="F55" s="115"/>
      <c r="G55" s="115">
        <v>35</v>
      </c>
      <c r="H55" s="115">
        <f>G55+273.15</f>
        <v>308.14999999999998</v>
      </c>
      <c r="I55" s="665">
        <f t="shared" si="0"/>
        <v>13.682201234974167</v>
      </c>
      <c r="J55" s="279">
        <v>17.5</v>
      </c>
      <c r="K55" s="115">
        <v>5</v>
      </c>
      <c r="L55" s="115">
        <v>30.1</v>
      </c>
      <c r="M55" s="115"/>
      <c r="N55" s="115" t="s">
        <v>605</v>
      </c>
      <c r="O55" s="280">
        <f>(LN(2)/L55)/(60*60*24)*10^(K55-5)</f>
        <v>2.6652946219390045E-7</v>
      </c>
      <c r="P55" s="280">
        <f>O55*10^5</f>
        <v>2.6652946219390045E-2</v>
      </c>
      <c r="Q55" s="669">
        <f t="shared" si="10"/>
        <v>78.495510460606596</v>
      </c>
      <c r="R55" s="670">
        <f>S55*10^-5</f>
        <v>1.0220376636779193E-7</v>
      </c>
      <c r="S55" s="670">
        <f>EXP(LN(P55)+$J55*(1/$H55-1/298.15)/0.0019872)</f>
        <v>1.0220376636779192E-2</v>
      </c>
      <c r="T55" s="292"/>
      <c r="U55" s="302"/>
      <c r="V55" s="302"/>
      <c r="W55" s="303"/>
      <c r="X55" s="303"/>
      <c r="Y55" s="303"/>
      <c r="Z55" s="115"/>
      <c r="AA55" s="115"/>
      <c r="AB55" s="115"/>
      <c r="AC55" s="115"/>
      <c r="AD55" s="280"/>
      <c r="AE55" s="669"/>
      <c r="AF55" s="670"/>
      <c r="AG55" s="292"/>
      <c r="AH55" s="292"/>
      <c r="AI55" s="292"/>
      <c r="AJ55" s="174"/>
      <c r="AK55" s="174"/>
      <c r="AL55" s="174"/>
      <c r="AM55" s="115">
        <v>9</v>
      </c>
      <c r="AN55" s="115">
        <v>2</v>
      </c>
      <c r="AO55" s="115"/>
      <c r="AP55" s="115" t="s">
        <v>605</v>
      </c>
      <c r="AQ55" s="290">
        <f>(LN(2)/AN55)/(60*60*24)*10^(9-AM55)</f>
        <v>4.0112684060182019E-6</v>
      </c>
      <c r="AR55" s="290">
        <f>AQ55*10^($I55-9)</f>
        <v>0.19296696126550461</v>
      </c>
      <c r="AS55" s="669">
        <f>(LN(2)/AT55)/(60*60*24)</f>
        <v>10.841942087130299</v>
      </c>
      <c r="AT55" s="668">
        <f>AU55*10^(9-14)</f>
        <v>7.3995385213866702E-7</v>
      </c>
      <c r="AU55" s="668">
        <f>EXP(LN(AR55)+$J55*(1/$H55-1/298.15)/0.0019872)</f>
        <v>7.3995385213866699E-2</v>
      </c>
      <c r="AV55" s="292"/>
      <c r="AW55" s="292"/>
      <c r="AX55" s="292"/>
      <c r="AY55" s="115"/>
      <c r="AZ55" s="115"/>
      <c r="BA55" s="115"/>
      <c r="BB55" s="192"/>
      <c r="BC55" s="192"/>
      <c r="BD55" s="192"/>
      <c r="BE55" s="115"/>
      <c r="BF55" s="115"/>
    </row>
    <row r="56" spans="1:58" s="4" customFormat="1" x14ac:dyDescent="0.3">
      <c r="A56" s="115"/>
      <c r="B56" s="115"/>
      <c r="C56" s="115"/>
      <c r="D56" s="314"/>
      <c r="E56" s="115"/>
      <c r="F56" s="115"/>
      <c r="G56" s="115">
        <v>35</v>
      </c>
      <c r="H56" s="115">
        <f>G56+273.15</f>
        <v>308.14999999999998</v>
      </c>
      <c r="I56" s="665">
        <f t="shared" si="0"/>
        <v>13.682201234974167</v>
      </c>
      <c r="J56" s="279">
        <v>17.5</v>
      </c>
      <c r="K56" s="115">
        <v>6</v>
      </c>
      <c r="L56" s="115">
        <v>26.5</v>
      </c>
      <c r="M56" s="115"/>
      <c r="N56" s="115" t="s">
        <v>605</v>
      </c>
      <c r="O56" s="280">
        <f>(LN(2)/L56)/(60*60*24)*10^(K56-5)</f>
        <v>3.0273723819005295E-6</v>
      </c>
      <c r="P56" s="280">
        <f>O56*10^5</f>
        <v>0.30273723819005294</v>
      </c>
      <c r="Q56" s="669">
        <f t="shared" si="10"/>
        <v>6.9107343096547336</v>
      </c>
      <c r="R56" s="670">
        <f>S56*10^-5</f>
        <v>1.1608805161020895E-6</v>
      </c>
      <c r="S56" s="670">
        <f>EXP(LN(P56)+$J56*(1/$H56-1/298.15)/0.0019872)</f>
        <v>0.11608805161020894</v>
      </c>
      <c r="T56" s="292"/>
      <c r="U56" s="302"/>
      <c r="V56" s="302"/>
      <c r="W56" s="303"/>
      <c r="X56" s="303"/>
      <c r="Y56" s="303"/>
      <c r="Z56" s="115"/>
      <c r="AA56" s="115"/>
      <c r="AB56" s="115"/>
      <c r="AC56" s="115"/>
      <c r="AD56" s="280"/>
      <c r="AE56" s="669"/>
      <c r="AF56" s="670"/>
      <c r="AG56" s="292"/>
      <c r="AH56" s="292"/>
      <c r="AI56" s="292"/>
      <c r="AJ56" s="174"/>
      <c r="AK56" s="174"/>
      <c r="AL56" s="174"/>
      <c r="AM56" s="115">
        <v>10</v>
      </c>
      <c r="AN56" s="115">
        <v>1.3</v>
      </c>
      <c r="AO56" s="115"/>
      <c r="AP56" s="115" t="s">
        <v>605</v>
      </c>
      <c r="AQ56" s="290">
        <f>(LN(2)/AN56)/(60*60*24)*10^(9-AM56)</f>
        <v>6.1711821631049263E-7</v>
      </c>
      <c r="AR56" s="290">
        <f>AQ56*10^($I56-9)</f>
        <v>2.9687224810077635E-2</v>
      </c>
      <c r="AS56" s="669">
        <f>(LN(2)/AT56)/(60*60*24)</f>
        <v>70.472623566346954</v>
      </c>
      <c r="AT56" s="668">
        <f>AU56*10^(9-14)</f>
        <v>1.1383905417517952E-7</v>
      </c>
      <c r="AU56" s="668">
        <f>EXP(LN(AR56)+$J56*(1/$H56-1/298.15)/0.0019872)</f>
        <v>1.138390541751795E-2</v>
      </c>
      <c r="AV56" s="292"/>
      <c r="AW56" s="292"/>
      <c r="AX56" s="292"/>
      <c r="AY56" s="115"/>
      <c r="AZ56" s="115"/>
      <c r="BA56" s="115"/>
      <c r="BB56" s="192"/>
      <c r="BC56" s="192"/>
      <c r="BD56" s="192"/>
      <c r="BE56" s="115"/>
      <c r="BF56" s="115"/>
    </row>
    <row r="57" spans="1:58" s="4" customFormat="1" ht="15" thickBot="1" x14ac:dyDescent="0.35">
      <c r="A57" s="115"/>
      <c r="B57" s="115"/>
      <c r="C57" s="115"/>
      <c r="D57" s="314"/>
      <c r="E57" s="115"/>
      <c r="F57" s="115"/>
      <c r="G57" s="115"/>
      <c r="H57" s="115"/>
      <c r="I57" s="665"/>
      <c r="J57" s="279"/>
      <c r="K57" s="115"/>
      <c r="L57" s="115"/>
      <c r="M57" s="115"/>
      <c r="N57" s="115"/>
      <c r="O57" s="280"/>
      <c r="P57" s="280"/>
      <c r="Q57" s="675"/>
      <c r="R57" s="670"/>
      <c r="S57" s="670"/>
      <c r="T57" s="292"/>
      <c r="U57" s="302"/>
      <c r="V57" s="302"/>
      <c r="W57" s="303"/>
      <c r="X57" s="303"/>
      <c r="Y57" s="303"/>
      <c r="Z57" s="115"/>
      <c r="AA57" s="115"/>
      <c r="AB57" s="115"/>
      <c r="AC57" s="115"/>
      <c r="AD57" s="280"/>
      <c r="AE57" s="669"/>
      <c r="AF57" s="670"/>
      <c r="AG57" s="292"/>
      <c r="AH57" s="292"/>
      <c r="AI57" s="292"/>
      <c r="AJ57" s="174"/>
      <c r="AK57" s="174"/>
      <c r="AL57" s="174"/>
      <c r="AM57" s="115"/>
      <c r="AN57" s="115"/>
      <c r="AO57" s="115"/>
      <c r="AP57" s="115"/>
      <c r="AQ57" s="290"/>
      <c r="AR57" s="290"/>
      <c r="AS57" s="669"/>
      <c r="AT57" s="668"/>
      <c r="AU57" s="668"/>
      <c r="AV57" s="292"/>
      <c r="AW57" s="292"/>
      <c r="AX57" s="292"/>
      <c r="AY57" s="115"/>
      <c r="AZ57" s="115"/>
      <c r="BA57" s="115"/>
      <c r="BB57" s="192"/>
      <c r="BC57" s="192"/>
      <c r="BD57" s="192"/>
      <c r="BE57" s="115"/>
      <c r="BF57" s="115"/>
    </row>
    <row r="58" spans="1:58" s="11" customFormat="1" x14ac:dyDescent="0.3">
      <c r="A58" s="285">
        <v>14</v>
      </c>
      <c r="B58" s="285" t="s">
        <v>760</v>
      </c>
      <c r="C58" s="285" t="s">
        <v>761</v>
      </c>
      <c r="D58" s="318"/>
      <c r="E58" s="285" t="s">
        <v>762</v>
      </c>
      <c r="F58" s="285"/>
      <c r="G58" s="285">
        <v>25</v>
      </c>
      <c r="H58" s="285">
        <f>G58+273.15</f>
        <v>298.14999999999998</v>
      </c>
      <c r="I58" s="666">
        <f t="shared" si="0"/>
        <v>14</v>
      </c>
      <c r="J58" s="284">
        <v>17.5</v>
      </c>
      <c r="K58" s="285">
        <v>5</v>
      </c>
      <c r="L58" s="285">
        <f>(104+108)/2</f>
        <v>106</v>
      </c>
      <c r="M58" s="285"/>
      <c r="N58" s="285" t="s">
        <v>605</v>
      </c>
      <c r="O58" s="287">
        <f>(LN(2)/L58)/(60*60*24)*10^(K58-5)</f>
        <v>7.5684309547513243E-8</v>
      </c>
      <c r="P58" s="287">
        <f>O58*10^5</f>
        <v>7.5684309547513241E-3</v>
      </c>
      <c r="Q58" s="677">
        <f>(LN(2)/R58)/(60*60*24)</f>
        <v>105.99999999999996</v>
      </c>
      <c r="R58" s="678">
        <f>S58*10^-5</f>
        <v>7.568430954751327E-8</v>
      </c>
      <c r="S58" s="678">
        <f>EXP(LN(P58)+$J58*(1/$H58-1/298.15)/0.0019872)</f>
        <v>7.5684309547513267E-3</v>
      </c>
      <c r="T58" s="299">
        <f>Q58</f>
        <v>105.99999999999996</v>
      </c>
      <c r="U58" s="304"/>
      <c r="V58" s="304"/>
      <c r="W58" s="305"/>
      <c r="X58" s="305"/>
      <c r="Y58" s="305"/>
      <c r="Z58" s="285">
        <v>7</v>
      </c>
      <c r="AA58" s="285">
        <f>(24+62)/2</f>
        <v>43</v>
      </c>
      <c r="AB58" s="285"/>
      <c r="AC58" s="285" t="s">
        <v>605</v>
      </c>
      <c r="AD58" s="287">
        <f>(LN(2)/AA58)/(60*60*24)</f>
        <v>1.8657062353573031E-7</v>
      </c>
      <c r="AE58" s="677">
        <f>(LN(2)/AF58)/(60*60*24)</f>
        <v>43.000000000000021</v>
      </c>
      <c r="AF58" s="678">
        <f>EXP(LN(AD58)+$J58*(1/$H58-1/298.15)/0.0019872)</f>
        <v>1.8657062353573023E-7</v>
      </c>
      <c r="AG58" s="308">
        <f>AE58</f>
        <v>43.000000000000021</v>
      </c>
      <c r="AH58" s="296"/>
      <c r="AI58" s="296"/>
      <c r="AJ58" s="297"/>
      <c r="AK58" s="297"/>
      <c r="AL58" s="297"/>
      <c r="AM58" s="285">
        <v>9</v>
      </c>
      <c r="AN58" s="285">
        <v>0.33</v>
      </c>
      <c r="AO58" s="285"/>
      <c r="AP58" s="285" t="s">
        <v>605</v>
      </c>
      <c r="AQ58" s="291">
        <f>(LN(2)/AN58)/(60*60*24)*10^(9-AM58)</f>
        <v>2.4310717612231525E-5</v>
      </c>
      <c r="AR58" s="291">
        <f>AQ58*10^($I58-9)</f>
        <v>2.4310717612231527</v>
      </c>
      <c r="AS58" s="677">
        <f>(LN(2)/AT58)/(60*60*24)</f>
        <v>0.32999999999999996</v>
      </c>
      <c r="AT58" s="680">
        <f>AU58*10^(9-14)</f>
        <v>2.4310717612231529E-5</v>
      </c>
      <c r="AU58" s="680">
        <f>EXP(LN(AR58)+$J58*(1/$H58-1/298.15)/0.0019872)</f>
        <v>2.4310717612231527</v>
      </c>
      <c r="AV58" s="296">
        <f>AS58</f>
        <v>0.32999999999999996</v>
      </c>
      <c r="AW58" s="296"/>
      <c r="AX58" s="296"/>
      <c r="AY58" s="285"/>
      <c r="AZ58" s="285"/>
      <c r="BA58" s="285"/>
      <c r="BB58" s="317"/>
      <c r="BC58" s="317"/>
      <c r="BD58" s="317"/>
      <c r="BE58" s="285"/>
      <c r="BF58" s="285"/>
    </row>
    <row r="59" spans="1:58" s="4" customFormat="1" ht="15" thickBot="1" x14ac:dyDescent="0.35">
      <c r="A59" s="115"/>
      <c r="B59" s="115"/>
      <c r="C59" s="115"/>
      <c r="D59" s="314"/>
      <c r="E59" s="115"/>
      <c r="F59" s="115"/>
      <c r="G59" s="115"/>
      <c r="H59" s="115">
        <f>G59+273.15</f>
        <v>273.14999999999998</v>
      </c>
      <c r="I59" s="665">
        <f t="shared" si="0"/>
        <v>14.896299555580367</v>
      </c>
      <c r="J59" s="279">
        <v>17.5</v>
      </c>
      <c r="K59" s="115"/>
      <c r="L59" s="115"/>
      <c r="M59" s="115"/>
      <c r="N59" s="115"/>
      <c r="O59" s="280"/>
      <c r="P59" s="280"/>
      <c r="Q59" s="675"/>
      <c r="R59" s="670"/>
      <c r="S59" s="670"/>
      <c r="T59" s="292"/>
      <c r="U59" s="302"/>
      <c r="V59" s="302"/>
      <c r="W59" s="303"/>
      <c r="X59" s="303"/>
      <c r="Y59" s="303"/>
      <c r="Z59" s="115"/>
      <c r="AA59" s="115"/>
      <c r="AB59" s="115"/>
      <c r="AC59" s="115"/>
      <c r="AD59" s="280"/>
      <c r="AE59" s="669"/>
      <c r="AF59" s="670"/>
      <c r="AG59" s="292"/>
      <c r="AH59" s="292"/>
      <c r="AI59" s="292"/>
      <c r="AJ59" s="174"/>
      <c r="AK59" s="174"/>
      <c r="AL59" s="174"/>
      <c r="AM59" s="115"/>
      <c r="AN59" s="115"/>
      <c r="AO59" s="115"/>
      <c r="AP59" s="115"/>
      <c r="AQ59" s="290"/>
      <c r="AR59" s="290"/>
      <c r="AS59" s="669"/>
      <c r="AT59" s="668"/>
      <c r="AU59" s="668"/>
      <c r="AV59" s="292"/>
      <c r="AW59" s="292"/>
      <c r="AX59" s="292"/>
      <c r="AY59" s="115"/>
      <c r="AZ59" s="115"/>
      <c r="BA59" s="115"/>
      <c r="BB59" s="192"/>
      <c r="BC59" s="192"/>
      <c r="BD59" s="192"/>
      <c r="BE59" s="115"/>
      <c r="BF59" s="115"/>
    </row>
    <row r="60" spans="1:58" s="12" customFormat="1" x14ac:dyDescent="0.3">
      <c r="A60" s="56">
        <v>15</v>
      </c>
      <c r="B60" s="56" t="s">
        <v>763</v>
      </c>
      <c r="C60" s="56" t="s">
        <v>764</v>
      </c>
      <c r="D60" s="316"/>
      <c r="E60" s="56" t="s">
        <v>765</v>
      </c>
      <c r="F60" s="56"/>
      <c r="G60" s="56">
        <v>30</v>
      </c>
      <c r="H60" s="56">
        <f>G60+273.15</f>
        <v>303.14999999999998</v>
      </c>
      <c r="I60" s="666">
        <f t="shared" si="0"/>
        <v>13.838479812893434</v>
      </c>
      <c r="J60" s="281">
        <v>17.5</v>
      </c>
      <c r="K60" s="56">
        <v>1</v>
      </c>
      <c r="L60" s="56">
        <v>48.96</v>
      </c>
      <c r="M60" s="56"/>
      <c r="N60" s="56" t="s">
        <v>605</v>
      </c>
      <c r="O60" s="282">
        <f>(LN(2)/L60)/(60*60*24)*10^(K60-5)</f>
        <v>1.6385900351381542E-11</v>
      </c>
      <c r="P60" s="282">
        <f>O60*10^5</f>
        <v>1.6385900351381541E-6</v>
      </c>
      <c r="Q60" s="672">
        <f t="shared" ref="Q60:Q70" si="11">(LN(2)/R60)/(60*60*24)</f>
        <v>796917.76908623939</v>
      </c>
      <c r="R60" s="673">
        <f>S60*10^-5</f>
        <v>1.0066956872144026E-11</v>
      </c>
      <c r="S60" s="673">
        <f>EXP(LN(P60)+$J60*(1/$H60-1/298.15)/0.0019872)</f>
        <v>1.0066956872144024E-6</v>
      </c>
      <c r="T60" s="893">
        <f>AVERAGE(Q60:Q61)</f>
        <v>398541.08296497195</v>
      </c>
      <c r="U60" s="300">
        <f>MEDIAN(Q60:Q61)</f>
        <v>398541.08296497189</v>
      </c>
      <c r="V60" s="300">
        <f>STDEV(Q60:Q61)</f>
        <v>563389.71244594594</v>
      </c>
      <c r="W60" s="301"/>
      <c r="X60" s="301"/>
      <c r="Y60" s="301"/>
      <c r="Z60" s="56">
        <v>7</v>
      </c>
      <c r="AA60" s="56">
        <v>53.1</v>
      </c>
      <c r="AB60" s="56"/>
      <c r="AC60" s="56" t="s">
        <v>605</v>
      </c>
      <c r="AD60" s="282">
        <f>(LN(2)/AA60)/(60*60*24)</f>
        <v>1.5108355578222982E-7</v>
      </c>
      <c r="AE60" s="672">
        <f>(LN(2)/AF60)/(60*60*24)</f>
        <v>86.43041980898569</v>
      </c>
      <c r="AF60" s="673">
        <f>EXP(LN(AD60)+$J60*(1/$H60-1/298.15)/0.0019872)</f>
        <v>9.2820754888921005E-8</v>
      </c>
      <c r="AG60" s="311">
        <f>AE60</f>
        <v>86.43041980898569</v>
      </c>
      <c r="AH60" s="293"/>
      <c r="AI60" s="293"/>
      <c r="AJ60" s="294"/>
      <c r="AK60" s="294"/>
      <c r="AL60" s="294"/>
      <c r="AM60" s="56">
        <v>9</v>
      </c>
      <c r="AN60" s="56">
        <v>32.700000000000003</v>
      </c>
      <c r="AO60" s="56"/>
      <c r="AP60" s="56" t="s">
        <v>605</v>
      </c>
      <c r="AQ60" s="312">
        <f>(LN(2)/AN60)/(60*60*24)*10^(9-AM60)</f>
        <v>2.453375171876576E-7</v>
      </c>
      <c r="AR60" s="312">
        <f>AQ60*10^($I60-9)</f>
        <v>1.6913900787268281E-2</v>
      </c>
      <c r="AS60" s="672">
        <f>(LN(2)/AT60)/(60*60*24)</f>
        <v>77.204042501667161</v>
      </c>
      <c r="AT60" s="684">
        <f>AU60*10^(9-14)</f>
        <v>1.039134292982542E-7</v>
      </c>
      <c r="AU60" s="684">
        <f>EXP(LN(AR60)+$J60*(1/$H60-1/298.15)/0.0019872)</f>
        <v>1.0391342929825419E-2</v>
      </c>
      <c r="AV60" s="893">
        <f>AVERAGE(AS60:AS61)</f>
        <v>7475.6886842554668</v>
      </c>
      <c r="AW60" s="293">
        <f>MEDIAN(AS60:AS61)</f>
        <v>7475.6886842554668</v>
      </c>
      <c r="AX60" s="293">
        <f>STDEV(AS60:AS61)</f>
        <v>10463.037321377273</v>
      </c>
      <c r="AY60" s="56"/>
      <c r="AZ60" s="56"/>
      <c r="BA60" s="56"/>
      <c r="BB60" s="315"/>
      <c r="BC60" s="315"/>
      <c r="BD60" s="315"/>
      <c r="BE60" s="56"/>
      <c r="BF60" s="56"/>
    </row>
    <row r="61" spans="1:58" s="4" customFormat="1" x14ac:dyDescent="0.3">
      <c r="A61" s="115"/>
      <c r="B61" s="115"/>
      <c r="C61" s="115"/>
      <c r="D61" s="314"/>
      <c r="E61" s="115"/>
      <c r="F61" s="115"/>
      <c r="G61" s="115">
        <v>30</v>
      </c>
      <c r="H61" s="115">
        <f>G61+273.15</f>
        <v>303.14999999999998</v>
      </c>
      <c r="I61" s="665">
        <f t="shared" si="0"/>
        <v>13.838479812893434</v>
      </c>
      <c r="J61" s="279">
        <v>17.5</v>
      </c>
      <c r="K61" s="115">
        <v>5</v>
      </c>
      <c r="L61" s="115">
        <v>101</v>
      </c>
      <c r="M61" s="115"/>
      <c r="N61" s="115" t="s">
        <v>605</v>
      </c>
      <c r="O61" s="280">
        <f>(LN(2)/L61)/(60*60*24)*10^(K61-5)</f>
        <v>7.943105754491489E-8</v>
      </c>
      <c r="P61" s="280">
        <f>O61*10^5</f>
        <v>7.943105754491489E-3</v>
      </c>
      <c r="Q61" s="669">
        <f t="shared" si="11"/>
        <v>164.39684370447361</v>
      </c>
      <c r="R61" s="670">
        <f>S61*10^-5</f>
        <v>4.8799822619818897E-8</v>
      </c>
      <c r="S61" s="670">
        <f>EXP(LN(P61)+$J61*(1/$H61-1/298.15)/0.0019872)</f>
        <v>4.879982261981889E-3</v>
      </c>
      <c r="T61" s="292"/>
      <c r="U61" s="302"/>
      <c r="V61" s="302"/>
      <c r="W61" s="303"/>
      <c r="X61" s="303"/>
      <c r="Y61" s="303"/>
      <c r="Z61" s="115"/>
      <c r="AA61" s="115"/>
      <c r="AB61" s="115"/>
      <c r="AC61" s="115"/>
      <c r="AD61" s="280"/>
      <c r="AE61" s="669"/>
      <c r="AF61" s="670"/>
      <c r="AG61" s="292"/>
      <c r="AH61" s="292"/>
      <c r="AI61" s="292"/>
      <c r="AJ61" s="174"/>
      <c r="AK61" s="174"/>
      <c r="AL61" s="174"/>
      <c r="AM61" s="115">
        <v>13</v>
      </c>
      <c r="AN61" s="115">
        <v>0.63</v>
      </c>
      <c r="AO61" s="115"/>
      <c r="AP61" s="115" t="s">
        <v>605</v>
      </c>
      <c r="AQ61" s="290">
        <f>(LN(2)/AN61)/(60*60*24)*10^(9-AM61)</f>
        <v>1.27341854159308E-9</v>
      </c>
      <c r="AR61" s="290">
        <f>AQ61*10^($I61-9)</f>
        <v>8.7791199324392509E-5</v>
      </c>
      <c r="AS61" s="669">
        <f>(LN(2)/AT61)/(60*60*24)</f>
        <v>14874.173326009266</v>
      </c>
      <c r="AT61" s="668">
        <f>AU61*10^(9-14)</f>
        <v>5.3936018064331962E-10</v>
      </c>
      <c r="AU61" s="668">
        <f>EXP(LN(AR61)+$J61*(1/$H61-1/298.15)/0.0019872)</f>
        <v>5.3936018064331958E-5</v>
      </c>
      <c r="AV61" s="292"/>
      <c r="AW61" s="292"/>
      <c r="AX61" s="292"/>
      <c r="AY61" s="115"/>
      <c r="AZ61" s="115"/>
      <c r="BA61" s="115"/>
      <c r="BB61" s="192"/>
      <c r="BC61" s="192"/>
      <c r="BD61" s="192"/>
      <c r="BE61" s="115"/>
      <c r="BF61" s="115"/>
    </row>
    <row r="62" spans="1:58" s="4" customFormat="1" ht="15" thickBot="1" x14ac:dyDescent="0.35">
      <c r="A62" s="115"/>
      <c r="B62" s="115"/>
      <c r="C62" s="115"/>
      <c r="D62" s="314"/>
      <c r="E62" s="115"/>
      <c r="F62" s="115"/>
      <c r="G62" s="115"/>
      <c r="H62" s="115"/>
      <c r="I62" s="665"/>
      <c r="J62" s="279"/>
      <c r="K62" s="115"/>
      <c r="L62" s="115"/>
      <c r="M62" s="115"/>
      <c r="N62" s="115"/>
      <c r="O62" s="280"/>
      <c r="P62" s="280"/>
      <c r="Q62" s="669"/>
      <c r="R62" s="670"/>
      <c r="S62" s="670"/>
      <c r="T62" s="292"/>
      <c r="U62" s="850"/>
      <c r="V62" s="302"/>
      <c r="W62" s="303"/>
      <c r="X62" s="303"/>
      <c r="Y62" s="303"/>
      <c r="Z62" s="115"/>
      <c r="AA62" s="115"/>
      <c r="AB62" s="115"/>
      <c r="AC62" s="115"/>
      <c r="AD62" s="280"/>
      <c r="AE62" s="669"/>
      <c r="AF62" s="670"/>
      <c r="AG62" s="292"/>
      <c r="AH62" s="292"/>
      <c r="AI62" s="292"/>
      <c r="AJ62" s="174"/>
      <c r="AK62" s="174"/>
      <c r="AL62" s="174"/>
      <c r="AM62" s="115"/>
      <c r="AN62" s="115"/>
      <c r="AO62" s="115"/>
      <c r="AP62" s="115"/>
      <c r="AQ62" s="290"/>
      <c r="AR62" s="290"/>
      <c r="AS62" s="669"/>
      <c r="AT62" s="668"/>
      <c r="AU62" s="668"/>
      <c r="AV62" s="292"/>
      <c r="AW62" s="850"/>
      <c r="AX62" s="292"/>
      <c r="AY62" s="115"/>
      <c r="AZ62" s="115"/>
      <c r="BA62" s="115"/>
      <c r="BB62" s="192"/>
      <c r="BC62" s="192"/>
      <c r="BD62" s="192"/>
      <c r="BE62" s="115"/>
      <c r="BF62" s="115"/>
    </row>
    <row r="63" spans="1:58" s="11" customFormat="1" x14ac:dyDescent="0.3">
      <c r="A63" s="285">
        <v>16</v>
      </c>
      <c r="B63" s="285" t="s">
        <v>766</v>
      </c>
      <c r="C63" s="285" t="s">
        <v>767</v>
      </c>
      <c r="D63" s="318"/>
      <c r="E63" s="285" t="s">
        <v>768</v>
      </c>
      <c r="F63" s="285"/>
      <c r="G63" s="285">
        <v>27</v>
      </c>
      <c r="H63" s="285">
        <f>G63+273.15</f>
        <v>300.14999999999998</v>
      </c>
      <c r="I63" s="666">
        <f t="shared" si="0"/>
        <v>13.934746167287882</v>
      </c>
      <c r="J63" s="284">
        <v>17.5</v>
      </c>
      <c r="K63" s="285">
        <v>5.75</v>
      </c>
      <c r="L63" s="289">
        <f>3590/24</f>
        <v>149.58333333333334</v>
      </c>
      <c r="M63" s="285"/>
      <c r="N63" s="285" t="s">
        <v>605</v>
      </c>
      <c r="O63" s="287">
        <f>(LN(2)/L63)/(60*60*24)*10^(K63-5)</f>
        <v>3.0159803781184918E-7</v>
      </c>
      <c r="P63" s="287">
        <f>O63*10^5</f>
        <v>3.0159803781184918E-2</v>
      </c>
      <c r="Q63" s="677">
        <f t="shared" si="11"/>
        <v>32.386044843411952</v>
      </c>
      <c r="R63" s="678">
        <f>S63*10^-5</f>
        <v>2.477158557281615E-7</v>
      </c>
      <c r="S63" s="678">
        <f>EXP(LN(P63)+$J63*(1/$H63-1/298.15)/0.0019872)</f>
        <v>2.4771585572816147E-2</v>
      </c>
      <c r="T63" s="296">
        <f>AVERAGE(Q63:Q64)</f>
        <v>18.122897028149346</v>
      </c>
      <c r="U63" s="304">
        <f>MEDIAN(Q63:Q64)</f>
        <v>18.122897028149346</v>
      </c>
      <c r="V63" s="304">
        <f>STDEV(Q63:Q64)</f>
        <v>20.171137082476555</v>
      </c>
      <c r="W63" s="305"/>
      <c r="X63" s="305"/>
      <c r="Y63" s="305"/>
      <c r="Z63" s="285"/>
      <c r="AA63" s="285"/>
      <c r="AB63" s="285"/>
      <c r="AC63" s="285"/>
      <c r="AD63" s="287"/>
      <c r="AE63" s="677"/>
      <c r="AF63" s="678"/>
      <c r="AG63" s="296"/>
      <c r="AH63" s="296"/>
      <c r="AI63" s="296"/>
      <c r="AJ63" s="297"/>
      <c r="AK63" s="297"/>
      <c r="AL63" s="297"/>
      <c r="AM63" s="285">
        <v>8</v>
      </c>
      <c r="AN63" s="285">
        <f>313.6/24</f>
        <v>13.066666666666668</v>
      </c>
      <c r="AO63" s="285"/>
      <c r="AP63" s="285" t="s">
        <v>605</v>
      </c>
      <c r="AQ63" s="291">
        <f>(LN(2)/AN63)/(60*60*24)*10^(9-AM63)</f>
        <v>6.1396965398237769E-6</v>
      </c>
      <c r="AR63" s="291">
        <f>AQ63*10^($I63-9)</f>
        <v>0.52831516074245144</v>
      </c>
      <c r="AS63" s="677">
        <f>(LN(2)/AT63)/(60*60*24)</f>
        <v>1.8488145529522666</v>
      </c>
      <c r="AT63" s="680">
        <f>AU63*10^(9-14)</f>
        <v>4.3392869226530437E-6</v>
      </c>
      <c r="AU63" s="680">
        <f>EXP(LN(AR63)+$J63*(1/$H63-1/298.15)/0.0019872)</f>
        <v>0.43392869226530434</v>
      </c>
      <c r="AV63" s="296">
        <f>AVERAGE(AS63:AS64)</f>
        <v>2.7018868291391049</v>
      </c>
      <c r="AW63" s="296">
        <f>MEDIAN(AS63:AS64)</f>
        <v>2.7018868291391049</v>
      </c>
      <c r="AX63" s="296">
        <f>STDEV(AS63:AS64)</f>
        <v>1.2064263826679134</v>
      </c>
      <c r="AY63" s="285"/>
      <c r="AZ63" s="285"/>
      <c r="BA63" s="285"/>
      <c r="BB63" s="317"/>
      <c r="BC63" s="317"/>
      <c r="BD63" s="317"/>
      <c r="BE63" s="285"/>
      <c r="BF63" s="285"/>
    </row>
    <row r="64" spans="1:58" s="4" customFormat="1" x14ac:dyDescent="0.3">
      <c r="A64" s="115"/>
      <c r="B64" s="115"/>
      <c r="C64" s="115"/>
      <c r="D64" s="314"/>
      <c r="E64" s="115"/>
      <c r="F64" s="115"/>
      <c r="G64" s="115">
        <v>27</v>
      </c>
      <c r="H64" s="115">
        <f>G64+273.15</f>
        <v>300.14999999999998</v>
      </c>
      <c r="I64" s="665">
        <f t="shared" si="0"/>
        <v>13.934746167287882</v>
      </c>
      <c r="J64" s="279">
        <v>17.5</v>
      </c>
      <c r="K64" s="115">
        <v>6.5</v>
      </c>
      <c r="L64" s="115">
        <f>2406/24</f>
        <v>100.25</v>
      </c>
      <c r="M64" s="115"/>
      <c r="N64" s="115" t="s">
        <v>605</v>
      </c>
      <c r="O64" s="280">
        <f>(LN(2)/L64)/(60*60*24)*10^(K64-5)</f>
        <v>2.5306223380130853E-6</v>
      </c>
      <c r="P64" s="280">
        <f>O64*10^5</f>
        <v>0.25306223380130854</v>
      </c>
      <c r="Q64" s="669">
        <f t="shared" si="11"/>
        <v>3.8597492128867379</v>
      </c>
      <c r="R64" s="670">
        <f>S64*10^-5</f>
        <v>2.0785124549675816E-6</v>
      </c>
      <c r="S64" s="670">
        <f>EXP(LN(P64)+$J64*(1/$H64-1/298.15)/0.0019872)</f>
        <v>0.20785124549675815</v>
      </c>
      <c r="T64" s="292"/>
      <c r="U64" s="302"/>
      <c r="V64" s="302"/>
      <c r="W64" s="303"/>
      <c r="X64" s="303"/>
      <c r="Y64" s="303"/>
      <c r="Z64" s="115">
        <v>7.4</v>
      </c>
      <c r="AA64" s="115">
        <f>1149/24</f>
        <v>47.875</v>
      </c>
      <c r="AB64" s="115"/>
      <c r="AC64" s="115" t="s">
        <v>605</v>
      </c>
      <c r="AD64" s="280">
        <f>(LN(2)/AA64)/(60*60*24)</f>
        <v>1.6757257048640008E-7</v>
      </c>
      <c r="AE64" s="669">
        <f>(LN(2)/AF64)/(60*60*24)</f>
        <v>58.288582367078547</v>
      </c>
      <c r="AF64" s="670">
        <f>EXP(LN(AD64)+$J64*(1/$H64-1/298.15)/0.0019872)</f>
        <v>1.3763479031817287E-7</v>
      </c>
      <c r="AG64" s="313">
        <f>AE64</f>
        <v>58.288582367078547</v>
      </c>
      <c r="AH64" s="292"/>
      <c r="AI64" s="292"/>
      <c r="AJ64" s="174"/>
      <c r="AK64" s="174"/>
      <c r="AL64" s="174"/>
      <c r="AM64" s="115">
        <v>9</v>
      </c>
      <c r="AN64" s="115">
        <f>60.3/24</f>
        <v>2.5124999999999997</v>
      </c>
      <c r="AO64" s="115"/>
      <c r="AP64" s="115" t="s">
        <v>605</v>
      </c>
      <c r="AQ64" s="290">
        <f>(LN(2)/AN64)/(60*60*24)*10^(9-AM64)</f>
        <v>3.1930494774274251E-6</v>
      </c>
      <c r="AR64" s="290">
        <f>AQ64*10^($I64-9)</f>
        <v>0.27475892936788204</v>
      </c>
      <c r="AS64" s="669">
        <f>(LN(2)/AT64)/(60*60*24)</f>
        <v>3.5549591053259433</v>
      </c>
      <c r="AT64" s="668">
        <f>AU64*10^(9-14)</f>
        <v>2.2567170463416178E-6</v>
      </c>
      <c r="AU64" s="668">
        <f>EXP(LN(AR64)+$J64*(1/$H64-1/298.15)/0.0019872)</f>
        <v>0.22567170463416175</v>
      </c>
      <c r="AV64" s="292"/>
      <c r="AW64" s="292"/>
      <c r="AX64" s="292"/>
      <c r="AY64" s="115"/>
      <c r="AZ64" s="115"/>
      <c r="BA64" s="115"/>
      <c r="BB64" s="192"/>
      <c r="BC64" s="192"/>
      <c r="BD64" s="192"/>
      <c r="BE64" s="115"/>
      <c r="BF64" s="115"/>
    </row>
    <row r="65" spans="1:58" s="4" customFormat="1" ht="15" thickBot="1" x14ac:dyDescent="0.35">
      <c r="A65" s="115"/>
      <c r="B65" s="115"/>
      <c r="C65" s="115"/>
      <c r="D65" s="314"/>
      <c r="E65" s="115"/>
      <c r="F65" s="115"/>
      <c r="G65" s="115"/>
      <c r="H65" s="115"/>
      <c r="I65" s="665"/>
      <c r="J65" s="279"/>
      <c r="K65" s="115"/>
      <c r="L65" s="115"/>
      <c r="M65" s="115"/>
      <c r="N65" s="115"/>
      <c r="O65" s="280"/>
      <c r="P65" s="280"/>
      <c r="Q65" s="669"/>
      <c r="R65" s="670"/>
      <c r="S65" s="670"/>
      <c r="T65" s="292"/>
      <c r="U65" s="302"/>
      <c r="V65" s="302"/>
      <c r="W65" s="303"/>
      <c r="X65" s="303"/>
      <c r="Y65" s="303"/>
      <c r="Z65" s="115"/>
      <c r="AA65" s="115"/>
      <c r="AB65" s="115"/>
      <c r="AC65" s="115"/>
      <c r="AD65" s="280"/>
      <c r="AE65" s="669"/>
      <c r="AF65" s="670"/>
      <c r="AG65" s="292"/>
      <c r="AH65" s="292"/>
      <c r="AI65" s="292"/>
      <c r="AJ65" s="174"/>
      <c r="AK65" s="174"/>
      <c r="AL65" s="174"/>
      <c r="AM65" s="115"/>
      <c r="AN65" s="115"/>
      <c r="AO65" s="115"/>
      <c r="AP65" s="115"/>
      <c r="AQ65" s="290"/>
      <c r="AR65" s="290"/>
      <c r="AS65" s="669"/>
      <c r="AT65" s="668"/>
      <c r="AU65" s="668"/>
      <c r="AV65" s="292"/>
      <c r="AW65" s="292"/>
      <c r="AX65" s="292"/>
      <c r="AY65" s="115"/>
      <c r="AZ65" s="115"/>
      <c r="BA65" s="115"/>
      <c r="BB65" s="192"/>
      <c r="BC65" s="192"/>
      <c r="BD65" s="192"/>
      <c r="BE65" s="115"/>
      <c r="BF65" s="115"/>
    </row>
    <row r="66" spans="1:58" s="11" customFormat="1" x14ac:dyDescent="0.3">
      <c r="A66" s="285">
        <v>17</v>
      </c>
      <c r="B66" s="285" t="s">
        <v>769</v>
      </c>
      <c r="C66" s="285" t="s">
        <v>770</v>
      </c>
      <c r="D66" s="318"/>
      <c r="E66" s="285" t="s">
        <v>771</v>
      </c>
      <c r="F66" s="285"/>
      <c r="G66" s="285">
        <v>25</v>
      </c>
      <c r="H66" s="285">
        <f t="shared" ref="H66:H71" si="12">G66+273.15</f>
        <v>298.14999999999998</v>
      </c>
      <c r="I66" s="666">
        <f t="shared" si="0"/>
        <v>14</v>
      </c>
      <c r="J66" s="284">
        <v>17.5</v>
      </c>
      <c r="K66" s="285">
        <v>3</v>
      </c>
      <c r="L66" s="285">
        <v>131</v>
      </c>
      <c r="M66" s="285"/>
      <c r="N66" s="285" t="s">
        <v>605</v>
      </c>
      <c r="O66" s="287">
        <f>(LN(2)/L66)/(60*60*24)*10^(K66-5)</f>
        <v>6.1240739023178657E-10</v>
      </c>
      <c r="P66" s="287">
        <f>O66*10^5</f>
        <v>6.1240739023178662E-5</v>
      </c>
      <c r="Q66" s="677">
        <f t="shared" si="11"/>
        <v>13099.999999999985</v>
      </c>
      <c r="R66" s="678">
        <f>S66*10^-5</f>
        <v>6.1240739023178719E-10</v>
      </c>
      <c r="S66" s="678">
        <f>EXP(LN(P66)+$J66*(1/$H66-1/298.15)/0.0019872)</f>
        <v>6.1240739023178716E-5</v>
      </c>
      <c r="T66" s="894">
        <f>AVERAGE(Q66:Q70)</f>
        <v>6344.694969679158</v>
      </c>
      <c r="U66" s="304">
        <f>MEDIAN(Q66:Q70)</f>
        <v>6135.0870293164626</v>
      </c>
      <c r="V66" s="304">
        <f>STDEV(Q66:Q70)</f>
        <v>7321.6151886367234</v>
      </c>
      <c r="W66" s="305"/>
      <c r="X66" s="305"/>
      <c r="Y66" s="305"/>
      <c r="Z66" s="285"/>
      <c r="AA66" s="285"/>
      <c r="AB66" s="285"/>
      <c r="AC66" s="285"/>
      <c r="AD66" s="287"/>
      <c r="AE66" s="677"/>
      <c r="AF66" s="678"/>
      <c r="AG66" s="296"/>
      <c r="AH66" s="296"/>
      <c r="AI66" s="296"/>
      <c r="AJ66" s="297"/>
      <c r="AK66" s="297"/>
      <c r="AL66" s="297"/>
      <c r="AM66" s="285"/>
      <c r="AN66" s="285"/>
      <c r="AO66" s="285"/>
      <c r="AP66" s="285"/>
      <c r="AQ66" s="291"/>
      <c r="AR66" s="291"/>
      <c r="AS66" s="677"/>
      <c r="AT66" s="680"/>
      <c r="AU66" s="680"/>
      <c r="AV66" s="296"/>
      <c r="AW66" s="296"/>
      <c r="AX66" s="296"/>
      <c r="AY66" s="285"/>
      <c r="AZ66" s="285"/>
      <c r="BA66" s="285"/>
      <c r="BB66" s="317"/>
      <c r="BC66" s="317"/>
      <c r="BD66" s="317"/>
      <c r="BE66" s="285"/>
      <c r="BF66" s="285"/>
    </row>
    <row r="67" spans="1:58" s="4" customFormat="1" x14ac:dyDescent="0.3">
      <c r="A67" s="115"/>
      <c r="B67" s="115"/>
      <c r="C67" s="115"/>
      <c r="D67" s="314"/>
      <c r="E67" s="115"/>
      <c r="F67" s="115"/>
      <c r="G67" s="115">
        <v>35</v>
      </c>
      <c r="H67" s="115">
        <f t="shared" si="12"/>
        <v>308.14999999999998</v>
      </c>
      <c r="I67" s="665">
        <f t="shared" si="0"/>
        <v>13.682201234974167</v>
      </c>
      <c r="J67" s="279">
        <v>17.5</v>
      </c>
      <c r="K67" s="115">
        <v>3</v>
      </c>
      <c r="L67" s="115">
        <v>47</v>
      </c>
      <c r="M67" s="115"/>
      <c r="N67" s="115" t="s">
        <v>605</v>
      </c>
      <c r="O67" s="280">
        <f>(LN(2)/L67)/(60*60*24)*10^(K67-5)</f>
        <v>1.7069227259651924E-9</v>
      </c>
      <c r="P67" s="280">
        <f>O67*10^5</f>
        <v>1.7069227259651924E-4</v>
      </c>
      <c r="Q67" s="669">
        <f t="shared" si="11"/>
        <v>12256.774058632926</v>
      </c>
      <c r="R67" s="670">
        <f>S67*10^-5</f>
        <v>6.5453901439798648E-10</v>
      </c>
      <c r="S67" s="670">
        <f>EXP(LN(P67)+$J67*(1/$H67-1/298.15)/0.0019872)</f>
        <v>6.5453901439798645E-5</v>
      </c>
      <c r="T67" s="292"/>
      <c r="U67" s="302"/>
      <c r="V67" s="302"/>
      <c r="W67" s="303"/>
      <c r="X67" s="303"/>
      <c r="Y67" s="303"/>
      <c r="Z67" s="115"/>
      <c r="AA67" s="115"/>
      <c r="AB67" s="115"/>
      <c r="AC67" s="115"/>
      <c r="AD67" s="280"/>
      <c r="AE67" s="669"/>
      <c r="AF67" s="670"/>
      <c r="AG67" s="292"/>
      <c r="AH67" s="292"/>
      <c r="AI67" s="292"/>
      <c r="AJ67" s="174"/>
      <c r="AK67" s="174"/>
      <c r="AL67" s="174"/>
      <c r="AM67" s="115">
        <v>9</v>
      </c>
      <c r="AN67" s="115">
        <v>26</v>
      </c>
      <c r="AO67" s="115"/>
      <c r="AP67" s="115" t="s">
        <v>605</v>
      </c>
      <c r="AQ67" s="290">
        <f>(LN(2)/AN67)/(60*60*24)*10^(9-AM67)</f>
        <v>3.0855910815524631E-7</v>
      </c>
      <c r="AR67" s="290">
        <f>AQ67*10^($I67-9)</f>
        <v>1.4843612405038818E-2</v>
      </c>
      <c r="AS67" s="669">
        <f>(LN(2)/AT67)/(60*60*24)</f>
        <v>140.94524713269382</v>
      </c>
      <c r="AT67" s="668">
        <f>AU67*10^(9-14)</f>
        <v>5.6919527087589799E-8</v>
      </c>
      <c r="AU67" s="668">
        <f>EXP(LN(AR67)+$J67*(1/$H67-1/298.15)/0.0019872)</f>
        <v>5.6919527087589796E-3</v>
      </c>
      <c r="AV67" s="292">
        <f>AVERAGE(AS67:AS68)</f>
        <v>72.972623566346911</v>
      </c>
      <c r="AW67" s="292">
        <f>MEDIAN(AS67:AS68)</f>
        <v>72.972623566346911</v>
      </c>
      <c r="AX67" s="292">
        <f>STDEV(AS67:AS68)</f>
        <v>96.127806117608856</v>
      </c>
      <c r="AY67" s="115"/>
      <c r="AZ67" s="115"/>
      <c r="BA67" s="115"/>
      <c r="BB67" s="192"/>
      <c r="BC67" s="192"/>
      <c r="BD67" s="192"/>
      <c r="BE67" s="115"/>
      <c r="BF67" s="115"/>
    </row>
    <row r="68" spans="1:58" s="4" customFormat="1" x14ac:dyDescent="0.3">
      <c r="A68" s="115"/>
      <c r="B68" s="115"/>
      <c r="C68" s="115"/>
      <c r="D68" s="314"/>
      <c r="E68" s="115"/>
      <c r="F68" s="115" t="s">
        <v>772</v>
      </c>
      <c r="G68" s="115">
        <v>25</v>
      </c>
      <c r="H68" s="115">
        <f t="shared" si="12"/>
        <v>298.14999999999998</v>
      </c>
      <c r="I68" s="665">
        <f t="shared" si="0"/>
        <v>14</v>
      </c>
      <c r="J68" s="279">
        <v>17.5</v>
      </c>
      <c r="K68" s="115">
        <v>6</v>
      </c>
      <c r="L68" s="115">
        <v>134</v>
      </c>
      <c r="M68" s="115"/>
      <c r="N68" s="115" t="s">
        <v>605</v>
      </c>
      <c r="O68" s="280">
        <f>(LN(2)/L68)/(60*60*24)*10^(K68-5)</f>
        <v>5.9869677701764215E-7</v>
      </c>
      <c r="P68" s="280">
        <f>O68*10^5</f>
        <v>5.9869677701764212E-2</v>
      </c>
      <c r="Q68" s="669">
        <f t="shared" si="11"/>
        <v>13.399999999999997</v>
      </c>
      <c r="R68" s="670">
        <f>S68*10^-5</f>
        <v>5.9869677701764215E-7</v>
      </c>
      <c r="S68" s="670">
        <f>EXP(LN(P68)+$J68*(1/$H68-1/298.15)/0.0019872)</f>
        <v>5.9869677701764212E-2</v>
      </c>
      <c r="T68" s="292"/>
      <c r="U68" s="850"/>
      <c r="V68" s="302"/>
      <c r="W68" s="303"/>
      <c r="X68" s="303"/>
      <c r="Y68" s="303"/>
      <c r="Z68" s="115">
        <v>6.6</v>
      </c>
      <c r="AA68" s="115">
        <v>139</v>
      </c>
      <c r="AB68" s="115"/>
      <c r="AC68" s="115" t="s">
        <v>605</v>
      </c>
      <c r="AD68" s="280">
        <f>(LN(2)/AA68)/(60*60*24)</f>
        <v>5.771609217292377E-8</v>
      </c>
      <c r="AE68" s="669">
        <f>(LN(2)/AF68)/(60*60*24)</f>
        <v>139.00000000000009</v>
      </c>
      <c r="AF68" s="670">
        <f>EXP(LN(AD68)+$J68*(1/$H68-1/298.15)/0.0019872)</f>
        <v>5.771609217292373E-8</v>
      </c>
      <c r="AG68" s="313">
        <f>AVERAGE(AE68:AE71)</f>
        <v>106.7056276152223</v>
      </c>
      <c r="AH68" s="313">
        <f>MEDIAN(AE68:AE71)</f>
        <v>107.31345188301657</v>
      </c>
      <c r="AI68" s="292">
        <f>STDEV(AE68:AE71)</f>
        <v>42.251358347053014</v>
      </c>
      <c r="AJ68" s="174"/>
      <c r="AK68" s="174"/>
      <c r="AL68" s="174"/>
      <c r="AM68" s="115">
        <v>9</v>
      </c>
      <c r="AN68" s="115">
        <v>5</v>
      </c>
      <c r="AO68" s="115"/>
      <c r="AP68" s="115" t="s">
        <v>605</v>
      </c>
      <c r="AQ68" s="290">
        <f>(LN(2)/AN68)/(60*60*24)*10^(9-AM68)</f>
        <v>1.6045073624072806E-6</v>
      </c>
      <c r="AR68" s="290">
        <f>AQ68*10^($I68-9)</f>
        <v>0.16045073624072806</v>
      </c>
      <c r="AS68" s="669">
        <f>(LN(2)/AT68)/(60*60*24)</f>
        <v>4.9999999999999991</v>
      </c>
      <c r="AT68" s="668">
        <f>AU68*10^(9-14)</f>
        <v>1.604507362407281E-6</v>
      </c>
      <c r="AU68" s="668">
        <f>EXP(LN(AR68)+$J68*(1/$H68-1/298.15)/0.0019872)</f>
        <v>0.16045073624072809</v>
      </c>
      <c r="AV68" s="292"/>
      <c r="AW68" s="292"/>
      <c r="AX68" s="292"/>
      <c r="AY68" s="115"/>
      <c r="AZ68" s="115"/>
      <c r="BA68" s="115"/>
      <c r="BB68" s="192"/>
      <c r="BC68" s="192"/>
      <c r="BD68" s="192"/>
      <c r="BE68" s="115"/>
      <c r="BF68" s="115"/>
    </row>
    <row r="69" spans="1:58" s="4" customFormat="1" x14ac:dyDescent="0.3">
      <c r="A69" s="115"/>
      <c r="B69" s="115"/>
      <c r="C69" s="115"/>
      <c r="D69" s="314"/>
      <c r="E69" s="115"/>
      <c r="F69" s="115" t="s">
        <v>773</v>
      </c>
      <c r="G69" s="115">
        <v>25</v>
      </c>
      <c r="H69" s="115">
        <f t="shared" si="12"/>
        <v>298.14999999999998</v>
      </c>
      <c r="I69" s="665">
        <f t="shared" si="0"/>
        <v>14</v>
      </c>
      <c r="J69" s="279">
        <v>17.5</v>
      </c>
      <c r="K69" s="115"/>
      <c r="L69" s="115"/>
      <c r="M69" s="115"/>
      <c r="N69" s="115"/>
      <c r="O69" s="280"/>
      <c r="P69" s="280"/>
      <c r="Q69" s="669"/>
      <c r="R69" s="670"/>
      <c r="S69" s="670"/>
      <c r="T69" s="292"/>
      <c r="U69" s="302"/>
      <c r="V69" s="302"/>
      <c r="W69" s="303"/>
      <c r="X69" s="303"/>
      <c r="Y69" s="303"/>
      <c r="Z69" s="115">
        <v>7.6</v>
      </c>
      <c r="AA69" s="115">
        <v>147</v>
      </c>
      <c r="AB69" s="115"/>
      <c r="AC69" s="115" t="s">
        <v>605</v>
      </c>
      <c r="AD69" s="280">
        <f>(LN(2)/AA69)/(60*60*24)</f>
        <v>5.4575080353989147E-8</v>
      </c>
      <c r="AE69" s="669">
        <f>(LN(2)/AF69)/(60*60*24)</f>
        <v>147.00000000000011</v>
      </c>
      <c r="AF69" s="670">
        <f>EXP(LN(AD69)+$J69*(1/$H69-1/298.15)/0.0019872)</f>
        <v>5.4575080353989101E-8</v>
      </c>
      <c r="AG69" s="292"/>
      <c r="AH69" s="292"/>
      <c r="AI69" s="292"/>
      <c r="AJ69" s="174"/>
      <c r="AK69" s="174"/>
      <c r="AL69" s="174"/>
      <c r="AM69" s="115"/>
      <c r="AN69" s="115"/>
      <c r="AO69" s="115"/>
      <c r="AP69" s="115"/>
      <c r="AQ69" s="290"/>
      <c r="AR69" s="290"/>
      <c r="AS69" s="669"/>
      <c r="AT69" s="668"/>
      <c r="AU69" s="668"/>
      <c r="AV69" s="292"/>
      <c r="AW69" s="292"/>
      <c r="AX69" s="292"/>
      <c r="AY69" s="115"/>
      <c r="AZ69" s="115"/>
      <c r="BA69" s="115"/>
      <c r="BB69" s="192"/>
      <c r="BC69" s="192"/>
      <c r="BD69" s="192"/>
      <c r="BE69" s="115"/>
      <c r="BF69" s="115"/>
    </row>
    <row r="70" spans="1:58" s="4" customFormat="1" x14ac:dyDescent="0.3">
      <c r="A70" s="115"/>
      <c r="B70" s="115"/>
      <c r="C70" s="115"/>
      <c r="D70" s="314"/>
      <c r="E70" s="115"/>
      <c r="F70" s="115" t="s">
        <v>772</v>
      </c>
      <c r="G70" s="115">
        <v>35</v>
      </c>
      <c r="H70" s="115">
        <f t="shared" si="12"/>
        <v>308.14999999999998</v>
      </c>
      <c r="I70" s="665">
        <f t="shared" si="0"/>
        <v>13.682201234974167</v>
      </c>
      <c r="J70" s="279">
        <v>17.5</v>
      </c>
      <c r="K70" s="115">
        <v>6</v>
      </c>
      <c r="L70" s="115">
        <v>33</v>
      </c>
      <c r="M70" s="115"/>
      <c r="N70" s="115" t="s">
        <v>605</v>
      </c>
      <c r="O70" s="280">
        <f>(LN(2)/L70)/(60*60*24)*10^(K70-5)</f>
        <v>2.4310717612231532E-6</v>
      </c>
      <c r="P70" s="280">
        <f>O70*10^5</f>
        <v>0.24310717612231533</v>
      </c>
      <c r="Q70" s="669">
        <f t="shared" si="11"/>
        <v>8.6058200837209888</v>
      </c>
      <c r="R70" s="670">
        <f>S70*10^-5</f>
        <v>9.3222223262743554E-7</v>
      </c>
      <c r="S70" s="670">
        <f>EXP(LN(P70)+$J70*(1/$H70-1/298.15)/0.0019872)</f>
        <v>9.3222223262743542E-2</v>
      </c>
      <c r="T70" s="292"/>
      <c r="U70" s="302"/>
      <c r="V70" s="302"/>
      <c r="W70" s="303"/>
      <c r="X70" s="303"/>
      <c r="Y70" s="303"/>
      <c r="Z70" s="115">
        <v>6.6</v>
      </c>
      <c r="AA70" s="115">
        <v>25</v>
      </c>
      <c r="AB70" s="115"/>
      <c r="AC70" s="115" t="s">
        <v>605</v>
      </c>
      <c r="AD70" s="280">
        <f>(LN(2)/AA70)/(60*60*24)</f>
        <v>3.2090147248145619E-7</v>
      </c>
      <c r="AE70" s="669">
        <f>(LN(2)/AF70)/(60*60*24)</f>
        <v>65.19560669485594</v>
      </c>
      <c r="AF70" s="670">
        <f>EXP(LN(AD70)+$J70*(1/$H70-1/298.15)/0.0019872)</f>
        <v>1.2305333470682155E-7</v>
      </c>
      <c r="AG70" s="292"/>
      <c r="AH70" s="292"/>
      <c r="AI70" s="292"/>
      <c r="AJ70" s="174"/>
      <c r="AK70" s="174"/>
      <c r="AL70" s="174"/>
      <c r="AM70" s="115"/>
      <c r="AN70" s="115"/>
      <c r="AO70" s="115"/>
      <c r="AP70" s="115"/>
      <c r="AQ70" s="290"/>
      <c r="AR70" s="290"/>
      <c r="AS70" s="669"/>
      <c r="AT70" s="668"/>
      <c r="AU70" s="668"/>
      <c r="AV70" s="292"/>
      <c r="AW70" s="292"/>
      <c r="AX70" s="292"/>
      <c r="AY70" s="115"/>
      <c r="AZ70" s="115"/>
      <c r="BA70" s="115"/>
      <c r="BB70" s="192"/>
      <c r="BC70" s="192"/>
      <c r="BD70" s="192"/>
      <c r="BE70" s="115"/>
      <c r="BF70" s="115"/>
    </row>
    <row r="71" spans="1:58" s="4" customFormat="1" x14ac:dyDescent="0.3">
      <c r="A71" s="115"/>
      <c r="B71" s="115"/>
      <c r="C71" s="115"/>
      <c r="D71" s="314"/>
      <c r="E71" s="115"/>
      <c r="F71" s="115" t="s">
        <v>773</v>
      </c>
      <c r="G71" s="115">
        <v>35</v>
      </c>
      <c r="H71" s="115">
        <f t="shared" si="12"/>
        <v>308.14999999999998</v>
      </c>
      <c r="I71" s="665">
        <f t="shared" ref="I71:I85" si="13">-LOG10(EXP(LN(10^-14)+13.36*(1/298.15-1/H71)/0.0019872))</f>
        <v>13.682201234974167</v>
      </c>
      <c r="J71" s="279">
        <v>17.5</v>
      </c>
      <c r="K71" s="115"/>
      <c r="L71" s="115"/>
      <c r="M71" s="115"/>
      <c r="N71" s="115"/>
      <c r="O71" s="280"/>
      <c r="P71" s="280"/>
      <c r="Q71" s="675"/>
      <c r="R71" s="670"/>
      <c r="S71" s="670"/>
      <c r="T71" s="292"/>
      <c r="U71" s="302"/>
      <c r="V71" s="302"/>
      <c r="W71" s="303"/>
      <c r="X71" s="303"/>
      <c r="Y71" s="303"/>
      <c r="Z71" s="115">
        <v>7.6</v>
      </c>
      <c r="AA71" s="115">
        <v>29</v>
      </c>
      <c r="AB71" s="115"/>
      <c r="AC71" s="115" t="s">
        <v>605</v>
      </c>
      <c r="AD71" s="280">
        <f>(LN(2)/AA71)/(60*60*24)</f>
        <v>2.766392004150484E-7</v>
      </c>
      <c r="AE71" s="669">
        <f>(LN(2)/AF71)/(60*60*24)</f>
        <v>75.626903766033038</v>
      </c>
      <c r="AF71" s="670">
        <f>EXP(LN(AD71)+$J71*(1/$H71-1/298.15)/0.0019872)</f>
        <v>1.0608046095415629E-7</v>
      </c>
      <c r="AG71" s="292"/>
      <c r="AH71" s="292"/>
      <c r="AI71" s="292"/>
      <c r="AJ71" s="174"/>
      <c r="AK71" s="174"/>
      <c r="AL71" s="174"/>
      <c r="AM71" s="115"/>
      <c r="AN71" s="115"/>
      <c r="AO71" s="115"/>
      <c r="AP71" s="115"/>
      <c r="AQ71" s="290"/>
      <c r="AR71" s="290"/>
      <c r="AS71" s="669"/>
      <c r="AT71" s="668"/>
      <c r="AU71" s="668"/>
      <c r="AV71" s="292"/>
      <c r="AW71" s="292"/>
      <c r="AX71" s="292"/>
      <c r="AY71" s="115"/>
      <c r="AZ71" s="115"/>
      <c r="BA71" s="115"/>
      <c r="BB71" s="192"/>
      <c r="BC71" s="192"/>
      <c r="BD71" s="192"/>
      <c r="BE71" s="115"/>
      <c r="BF71" s="115"/>
    </row>
    <row r="72" spans="1:58" s="4" customFormat="1" x14ac:dyDescent="0.3">
      <c r="A72" s="115"/>
      <c r="B72" s="115"/>
      <c r="C72" s="115"/>
      <c r="D72" s="314"/>
      <c r="E72" s="115"/>
      <c r="F72" s="115"/>
      <c r="G72" s="115"/>
      <c r="H72" s="115"/>
      <c r="I72" s="665"/>
      <c r="J72" s="279"/>
      <c r="K72" s="115"/>
      <c r="L72" s="115"/>
      <c r="M72" s="115"/>
      <c r="N72" s="115"/>
      <c r="O72" s="280"/>
      <c r="P72" s="280"/>
      <c r="Q72" s="675"/>
      <c r="R72" s="670"/>
      <c r="S72" s="670"/>
      <c r="T72" s="292"/>
      <c r="U72" s="302"/>
      <c r="V72" s="302"/>
      <c r="W72" s="303"/>
      <c r="X72" s="303"/>
      <c r="Y72" s="303"/>
      <c r="Z72" s="115"/>
      <c r="AA72" s="115"/>
      <c r="AB72" s="115"/>
      <c r="AC72" s="115"/>
      <c r="AD72" s="280"/>
      <c r="AE72" s="669"/>
      <c r="AF72" s="670"/>
      <c r="AG72" s="292"/>
      <c r="AH72" s="292"/>
      <c r="AI72" s="292"/>
      <c r="AJ72" s="174"/>
      <c r="AK72" s="174"/>
      <c r="AL72" s="174"/>
      <c r="AM72" s="115"/>
      <c r="AN72" s="115"/>
      <c r="AO72" s="115"/>
      <c r="AP72" s="115"/>
      <c r="AQ72" s="290"/>
      <c r="AR72" s="290"/>
      <c r="AS72" s="669"/>
      <c r="AT72" s="668"/>
      <c r="AU72" s="668"/>
      <c r="AV72" s="292"/>
      <c r="AW72" s="292"/>
      <c r="AX72" s="292"/>
      <c r="AY72" s="115"/>
      <c r="AZ72" s="115"/>
      <c r="BA72" s="115"/>
      <c r="BB72" s="192"/>
      <c r="BC72" s="192"/>
      <c r="BD72" s="192"/>
      <c r="BE72" s="115"/>
      <c r="BF72" s="115"/>
    </row>
    <row r="73" spans="1:58" s="4" customFormat="1" x14ac:dyDescent="0.3">
      <c r="A73" s="115"/>
      <c r="B73" s="115"/>
      <c r="C73" s="115"/>
      <c r="D73" s="314"/>
      <c r="E73" s="115"/>
      <c r="F73" s="115"/>
      <c r="G73" s="115"/>
      <c r="H73" s="115"/>
      <c r="I73" s="665"/>
      <c r="J73" s="279"/>
      <c r="K73" s="115"/>
      <c r="L73" s="115"/>
      <c r="M73" s="115"/>
      <c r="N73" s="115"/>
      <c r="O73" s="280"/>
      <c r="P73" s="280"/>
      <c r="Q73" s="675"/>
      <c r="R73" s="670"/>
      <c r="S73" s="670"/>
      <c r="T73" s="292"/>
      <c r="U73" s="302"/>
      <c r="V73" s="302"/>
      <c r="W73" s="303"/>
      <c r="X73" s="303"/>
      <c r="Y73" s="303"/>
      <c r="Z73" s="115"/>
      <c r="AA73" s="115"/>
      <c r="AB73" s="115"/>
      <c r="AC73" s="115"/>
      <c r="AD73" s="280"/>
      <c r="AE73" s="669"/>
      <c r="AF73" s="670"/>
      <c r="AG73" s="292"/>
      <c r="AH73" s="292"/>
      <c r="AI73" s="292"/>
      <c r="AJ73" s="174"/>
      <c r="AK73" s="174"/>
      <c r="AL73" s="174"/>
      <c r="AM73" s="115"/>
      <c r="AN73" s="115"/>
      <c r="AO73" s="115"/>
      <c r="AP73" s="115"/>
      <c r="AQ73" s="290"/>
      <c r="AR73" s="290"/>
      <c r="AS73" s="669"/>
      <c r="AT73" s="668"/>
      <c r="AU73" s="668"/>
      <c r="AV73" s="292"/>
      <c r="AW73" s="292"/>
      <c r="AX73" s="292"/>
      <c r="AY73" s="115"/>
      <c r="AZ73" s="115"/>
      <c r="BA73" s="115"/>
      <c r="BB73" s="192"/>
      <c r="BC73" s="192"/>
      <c r="BD73" s="192"/>
      <c r="BE73" s="115"/>
      <c r="BF73" s="115"/>
    </row>
    <row r="74" spans="1:58" s="4" customFormat="1" ht="15" thickBot="1" x14ac:dyDescent="0.35">
      <c r="A74" s="115"/>
      <c r="B74" s="115"/>
      <c r="C74" s="115"/>
      <c r="D74" s="314"/>
      <c r="E74" s="115"/>
      <c r="F74" s="115"/>
      <c r="G74" s="115"/>
      <c r="H74" s="115"/>
      <c r="I74" s="665"/>
      <c r="J74" s="279"/>
      <c r="K74" s="115"/>
      <c r="L74" s="115"/>
      <c r="M74" s="115"/>
      <c r="N74" s="115"/>
      <c r="O74" s="280"/>
      <c r="P74" s="280"/>
      <c r="Q74" s="675"/>
      <c r="R74" s="670"/>
      <c r="S74" s="670"/>
      <c r="T74" s="292"/>
      <c r="U74" s="302"/>
      <c r="V74" s="302"/>
      <c r="W74" s="303"/>
      <c r="X74" s="303"/>
      <c r="Y74" s="303"/>
      <c r="Z74" s="115"/>
      <c r="AA74" s="115"/>
      <c r="AB74" s="115"/>
      <c r="AC74" s="115"/>
      <c r="AD74" s="280"/>
      <c r="AE74" s="669"/>
      <c r="AF74" s="670"/>
      <c r="AG74" s="292"/>
      <c r="AH74" s="292"/>
      <c r="AI74" s="292"/>
      <c r="AJ74" s="174"/>
      <c r="AK74" s="174"/>
      <c r="AL74" s="174"/>
      <c r="AM74" s="115"/>
      <c r="AN74" s="115"/>
      <c r="AO74" s="115"/>
      <c r="AP74" s="115"/>
      <c r="AQ74" s="290"/>
      <c r="AR74" s="290"/>
      <c r="AS74" s="669"/>
      <c r="AT74" s="668"/>
      <c r="AU74" s="668"/>
      <c r="AV74" s="292"/>
      <c r="AW74" s="292"/>
      <c r="AX74" s="292"/>
      <c r="AY74" s="115"/>
      <c r="AZ74" s="115"/>
      <c r="BA74" s="115"/>
      <c r="BB74" s="192"/>
      <c r="BC74" s="192"/>
      <c r="BD74" s="192"/>
      <c r="BE74" s="115"/>
      <c r="BF74" s="115"/>
    </row>
    <row r="75" spans="1:58" s="11" customFormat="1" x14ac:dyDescent="0.3">
      <c r="A75" s="285">
        <v>18</v>
      </c>
      <c r="B75" s="285" t="s">
        <v>774</v>
      </c>
      <c r="C75" s="285" t="s">
        <v>775</v>
      </c>
      <c r="D75" s="318"/>
      <c r="E75" s="285" t="s">
        <v>776</v>
      </c>
      <c r="F75" s="285"/>
      <c r="G75" s="285">
        <v>25</v>
      </c>
      <c r="H75" s="285">
        <f>G75+273.15</f>
        <v>298.14999999999998</v>
      </c>
      <c r="I75" s="666">
        <f t="shared" si="13"/>
        <v>14</v>
      </c>
      <c r="J75" s="284">
        <v>17.5</v>
      </c>
      <c r="K75" s="285">
        <v>5</v>
      </c>
      <c r="L75" s="285">
        <v>93.7</v>
      </c>
      <c r="M75" s="285"/>
      <c r="N75" s="285" t="s">
        <v>605</v>
      </c>
      <c r="O75" s="287">
        <f>(LN(2)/L75)/(60*60*24)*10^(K75-5)</f>
        <v>8.5619389669545401E-8</v>
      </c>
      <c r="P75" s="287">
        <f>O75*10^5</f>
        <v>8.5619389669545406E-3</v>
      </c>
      <c r="Q75" s="672">
        <f t="shared" ref="Q75:Q78" si="14">(LN(2)/R75)/(60*60*24)</f>
        <v>93.699999999999932</v>
      </c>
      <c r="R75" s="678">
        <f>S75*10^-5</f>
        <v>8.5619389669545454E-8</v>
      </c>
      <c r="S75" s="678">
        <f>EXP(LN(P75)+$J75*(1/$H75-1/298.15)/0.0019872)</f>
        <v>8.5619389669545441E-3</v>
      </c>
      <c r="T75" s="296">
        <f>AVERAGE(Q75:Q78)</f>
        <v>393.62468246176002</v>
      </c>
      <c r="U75" s="304">
        <f>MEDIAN(Q75:Q78)</f>
        <v>287.59362604920045</v>
      </c>
      <c r="V75" s="304">
        <f>STDEV(Q75:Q78)</f>
        <v>390.266849483969</v>
      </c>
      <c r="W75" s="305"/>
      <c r="X75" s="305"/>
      <c r="Y75" s="305"/>
      <c r="Z75" s="285">
        <v>7</v>
      </c>
      <c r="AA75" s="285">
        <v>39.6</v>
      </c>
      <c r="AB75" s="285"/>
      <c r="AC75" s="285" t="s">
        <v>605</v>
      </c>
      <c r="AD75" s="287">
        <f>(LN(2)/AA75)/(60*60*24)</f>
        <v>2.0258931343526272E-7</v>
      </c>
      <c r="AE75" s="677">
        <f>(LN(2)/AF75)/(60*60*24)</f>
        <v>39.60000000000003</v>
      </c>
      <c r="AF75" s="678">
        <f>EXP(LN(AD75)+$J75*(1/$H75-1/298.15)/0.0019872)</f>
        <v>2.0258931343526256E-7</v>
      </c>
      <c r="AG75" s="308">
        <f>AVERAGE(AE75:AE78)</f>
        <v>36.714992210452955</v>
      </c>
      <c r="AH75" s="308">
        <f>MEDIAN(AE75:AE78)</f>
        <v>36.995973289228587</v>
      </c>
      <c r="AI75" s="296">
        <f>STDEV(AE75:AE78)</f>
        <v>5.0278615683650631</v>
      </c>
      <c r="AJ75" s="297"/>
      <c r="AK75" s="297"/>
      <c r="AL75" s="297"/>
      <c r="AM75" s="285">
        <v>9</v>
      </c>
      <c r="AN75" s="285">
        <v>2.5</v>
      </c>
      <c r="AO75" s="285"/>
      <c r="AP75" s="285" t="s">
        <v>605</v>
      </c>
      <c r="AQ75" s="291">
        <f>(LN(2)/AN75)/(60*60*24)*10^(9-AM75)</f>
        <v>3.2090147248145612E-6</v>
      </c>
      <c r="AR75" s="291">
        <f>AQ75*10^($I75-9)</f>
        <v>0.32090147248145612</v>
      </c>
      <c r="AS75" s="677">
        <f>(LN(2)/AT75)/(60*60*24)</f>
        <v>2.5000000000000004</v>
      </c>
      <c r="AT75" s="680">
        <f>AU75*10^(9-14)</f>
        <v>3.2090147248145612E-6</v>
      </c>
      <c r="AU75" s="680">
        <f>EXP(LN(AR75)+$J75*(1/$H75-1/298.15)/0.0019872)</f>
        <v>0.32090147248145612</v>
      </c>
      <c r="AV75" s="296">
        <f>AVERAGE(AS75:AS78)</f>
        <v>5.415665900778408</v>
      </c>
      <c r="AW75" s="296">
        <f>MEDIAN(AS75:AS78)</f>
        <v>2.5000000000000004</v>
      </c>
      <c r="AX75" s="296">
        <f>STDEV(AS75:AS78)</f>
        <v>5.0500814780442802</v>
      </c>
      <c r="AY75" s="285"/>
      <c r="AZ75" s="285"/>
      <c r="BA75" s="285"/>
      <c r="BB75" s="317"/>
      <c r="BC75" s="317"/>
      <c r="BD75" s="317"/>
      <c r="BE75" s="285"/>
      <c r="BF75" s="285"/>
    </row>
    <row r="76" spans="1:58" s="4" customFormat="1" x14ac:dyDescent="0.3">
      <c r="A76" s="115"/>
      <c r="B76" s="115"/>
      <c r="C76" s="115"/>
      <c r="D76" s="314"/>
      <c r="E76" s="115"/>
      <c r="F76" s="115"/>
      <c r="G76" s="115">
        <v>40</v>
      </c>
      <c r="H76" s="115">
        <f>G76+273.15</f>
        <v>313.14999999999998</v>
      </c>
      <c r="I76" s="665">
        <f t="shared" si="13"/>
        <v>13.530913191237214</v>
      </c>
      <c r="J76" s="279">
        <v>17.5</v>
      </c>
      <c r="K76" s="115">
        <v>5</v>
      </c>
      <c r="L76" s="115">
        <v>21.7</v>
      </c>
      <c r="M76" s="115"/>
      <c r="N76" s="115" t="s">
        <v>605</v>
      </c>
      <c r="O76" s="280">
        <f>(LN(2)/L76)/(60*60*24)*10^(K76-5)</f>
        <v>3.6970215723670068E-7</v>
      </c>
      <c r="P76" s="280">
        <f>O76*10^5</f>
        <v>3.6970215723670069E-2</v>
      </c>
      <c r="Q76" s="669">
        <f t="shared" si="14"/>
        <v>89.311477748639419</v>
      </c>
      <c r="R76" s="670">
        <f>S76*10^-5</f>
        <v>8.9826492789820846E-8</v>
      </c>
      <c r="S76" s="670">
        <f>EXP(LN(P76)+$J76*(1/$H76-1/298.15)/0.0019872)</f>
        <v>8.9826492789820845E-3</v>
      </c>
      <c r="T76" s="292"/>
      <c r="U76" s="302"/>
      <c r="V76" s="302"/>
      <c r="W76" s="303"/>
      <c r="X76" s="303"/>
      <c r="Y76" s="303"/>
      <c r="Z76" s="115">
        <v>7</v>
      </c>
      <c r="AA76" s="115">
        <v>7.5</v>
      </c>
      <c r="AB76" s="115"/>
      <c r="AC76" s="115" t="s">
        <v>605</v>
      </c>
      <c r="AD76" s="280">
        <f>(LN(2)/AA76)/(60*60*24)</f>
        <v>1.0696715749381872E-6</v>
      </c>
      <c r="AE76" s="669">
        <f>(LN(2)/AF76)/(60*60*24)</f>
        <v>30.868022263354629</v>
      </c>
      <c r="AF76" s="670">
        <f>EXP(LN(AD76)+$J76*(1/$H76-1/298.15)/0.0019872)</f>
        <v>2.5989798580521508E-7</v>
      </c>
      <c r="AG76" s="292"/>
      <c r="AH76" s="292"/>
      <c r="AI76" s="292"/>
      <c r="AJ76" s="174"/>
      <c r="AK76" s="174"/>
      <c r="AL76" s="174"/>
      <c r="AM76" s="115">
        <v>9</v>
      </c>
      <c r="AN76" s="115" t="s">
        <v>777</v>
      </c>
      <c r="AO76" s="115"/>
      <c r="AP76" s="115" t="s">
        <v>605</v>
      </c>
      <c r="AQ76" s="290"/>
      <c r="AR76" s="290"/>
      <c r="AS76" s="669"/>
      <c r="AT76" s="668"/>
      <c r="AU76" s="668"/>
      <c r="AV76" s="292"/>
      <c r="AW76" s="292"/>
      <c r="AX76" s="292"/>
      <c r="AY76" s="115"/>
      <c r="AZ76" s="115"/>
      <c r="BA76" s="115"/>
      <c r="BB76" s="192"/>
      <c r="BC76" s="192"/>
      <c r="BD76" s="192"/>
      <c r="BE76" s="115"/>
      <c r="BF76" s="115"/>
    </row>
    <row r="77" spans="1:58" s="4" customFormat="1" x14ac:dyDescent="0.3">
      <c r="A77" s="115"/>
      <c r="B77" s="115"/>
      <c r="C77" s="115"/>
      <c r="D77" s="314"/>
      <c r="E77" s="115"/>
      <c r="F77" s="115" t="s">
        <v>778</v>
      </c>
      <c r="G77" s="115">
        <v>50</v>
      </c>
      <c r="H77" s="115">
        <f>G77+273.15</f>
        <v>323.14999999999998</v>
      </c>
      <c r="I77" s="665">
        <f t="shared" si="13"/>
        <v>13.242382102408241</v>
      </c>
      <c r="J77" s="279">
        <v>17.5</v>
      </c>
      <c r="K77" s="115">
        <v>4</v>
      </c>
      <c r="L77" s="115">
        <v>4.9000000000000004</v>
      </c>
      <c r="M77" s="115"/>
      <c r="N77" s="115" t="s">
        <v>605</v>
      </c>
      <c r="O77" s="280">
        <f>(LN(2)/L77)/(60*60*24)*10^(K77-5)</f>
        <v>1.6372524106196741E-7</v>
      </c>
      <c r="P77" s="280">
        <f>O77*10^5</f>
        <v>1.6372524106196742E-2</v>
      </c>
      <c r="Q77" s="669">
        <f t="shared" si="14"/>
        <v>481.48725209840097</v>
      </c>
      <c r="R77" s="670">
        <f>S77*10^-5</f>
        <v>1.6661992144283911E-8</v>
      </c>
      <c r="S77" s="670">
        <f>EXP(LN(P77)+$J77*(1/$H77-1/298.15)/0.0019872)</f>
        <v>1.666199214428391E-3</v>
      </c>
      <c r="T77" s="292"/>
      <c r="U77" s="302"/>
      <c r="V77" s="302"/>
      <c r="W77" s="303"/>
      <c r="X77" s="303"/>
      <c r="Y77" s="303"/>
      <c r="Z77" s="115">
        <v>7</v>
      </c>
      <c r="AA77" s="115">
        <v>3.5</v>
      </c>
      <c r="AB77" s="115"/>
      <c r="AC77" s="115"/>
      <c r="AD77" s="280">
        <f>(LN(2)/AA77)/(60*60*24)</f>
        <v>2.2921533748675437E-6</v>
      </c>
      <c r="AE77" s="669">
        <f>(LN(2)/AF77)/(60*60*24)</f>
        <v>34.391946578457144</v>
      </c>
      <c r="AF77" s="670">
        <f>EXP(LN(AD77)+$J77*(1/$H77-1/298.15)/0.0019872)</f>
        <v>2.3326789001997517E-7</v>
      </c>
      <c r="AG77" s="292"/>
      <c r="AH77" s="292"/>
      <c r="AI77" s="292"/>
      <c r="AJ77" s="174"/>
      <c r="AK77" s="174"/>
      <c r="AL77" s="174"/>
      <c r="AM77" s="115">
        <v>9</v>
      </c>
      <c r="AN77" s="115">
        <v>0.2</v>
      </c>
      <c r="AO77" s="115"/>
      <c r="AP77" s="115" t="s">
        <v>605</v>
      </c>
      <c r="AQ77" s="290">
        <f>(LN(2)/AN77)/(60*60*24)*10^(9-AM77)</f>
        <v>4.0112684060182012E-5</v>
      </c>
      <c r="AR77" s="290">
        <f>AQ77*10^($I77-9)</f>
        <v>0.70091253243260698</v>
      </c>
      <c r="AS77" s="669">
        <f>(LN(2)/AT77)/(60*60*24)</f>
        <v>11.246997702335225</v>
      </c>
      <c r="AT77" s="668">
        <f>AU77*10^(9-14)</f>
        <v>7.1330474357353846E-7</v>
      </c>
      <c r="AU77" s="668">
        <f>EXP(LN(AR77)+$J77*(1/$H77-1/298.15)/0.0019872)</f>
        <v>7.1330474357353846E-2</v>
      </c>
      <c r="AV77" s="292"/>
      <c r="AW77" s="292"/>
      <c r="AX77" s="292"/>
      <c r="AY77" s="115"/>
      <c r="AZ77" s="115"/>
      <c r="BA77" s="115"/>
      <c r="BB77" s="192"/>
      <c r="BC77" s="192"/>
      <c r="BD77" s="192"/>
      <c r="BE77" s="115"/>
      <c r="BF77" s="115"/>
    </row>
    <row r="78" spans="1:58" s="4" customFormat="1" x14ac:dyDescent="0.3">
      <c r="A78" s="115"/>
      <c r="B78" s="115"/>
      <c r="C78" s="115"/>
      <c r="D78" s="314"/>
      <c r="E78" s="115"/>
      <c r="F78" s="115" t="s">
        <v>778</v>
      </c>
      <c r="G78" s="115">
        <v>25</v>
      </c>
      <c r="H78" s="115">
        <f>G78+273.15</f>
        <v>298.14999999999998</v>
      </c>
      <c r="I78" s="665">
        <f t="shared" si="13"/>
        <v>14</v>
      </c>
      <c r="J78" s="279">
        <v>17.5</v>
      </c>
      <c r="K78" s="115">
        <v>4</v>
      </c>
      <c r="L78" s="115">
        <v>91</v>
      </c>
      <c r="M78" s="115"/>
      <c r="N78" s="115" t="s">
        <v>605</v>
      </c>
      <c r="O78" s="290">
        <f>(LN(2)/L78)/(60*60*24)*10^(K78-5)</f>
        <v>8.8159745187213235E-9</v>
      </c>
      <c r="P78" s="290">
        <f>O78*10^5</f>
        <v>8.815974518721324E-4</v>
      </c>
      <c r="Q78" s="669">
        <f t="shared" si="14"/>
        <v>909.99999999999977</v>
      </c>
      <c r="R78" s="668">
        <f>S78*10^-5</f>
        <v>8.8159745187213252E-9</v>
      </c>
      <c r="S78" s="668">
        <f>EXP(LN(P78)+$J78*(1/$H78-1/298.15)/0.0019872)</f>
        <v>8.8159745187213251E-4</v>
      </c>
      <c r="T78" s="292"/>
      <c r="U78" s="306"/>
      <c r="V78" s="306"/>
      <c r="W78" s="307"/>
      <c r="X78" s="307"/>
      <c r="Y78" s="307"/>
      <c r="Z78" s="115">
        <v>7</v>
      </c>
      <c r="AA78" s="115">
        <v>42</v>
      </c>
      <c r="AB78" s="115"/>
      <c r="AC78" s="115"/>
      <c r="AD78" s="280">
        <f>(LN(2)/AA78)/(60*60*24)</f>
        <v>1.9101278123896201E-7</v>
      </c>
      <c r="AE78" s="669">
        <f>(LN(2)/AF78)/(60*60*24)</f>
        <v>42.000000000000028</v>
      </c>
      <c r="AF78" s="670">
        <f>EXP(LN(AD78)+$J78*(1/$H78-1/298.15)/0.0019872)</f>
        <v>1.9101278123896188E-7</v>
      </c>
      <c r="AG78" s="292"/>
      <c r="AH78" s="292"/>
      <c r="AI78" s="292"/>
      <c r="AJ78" s="174"/>
      <c r="AK78" s="174"/>
      <c r="AL78" s="174"/>
      <c r="AM78" s="115">
        <v>9</v>
      </c>
      <c r="AN78" s="115">
        <v>2.5</v>
      </c>
      <c r="AO78" s="115"/>
      <c r="AP78" s="115" t="s">
        <v>605</v>
      </c>
      <c r="AQ78" s="290">
        <f>(LN(2)/AN78)/(60*60*24)*10^(9-AM78)</f>
        <v>3.2090147248145612E-6</v>
      </c>
      <c r="AR78" s="290">
        <f>AQ78*10^($I78-9)</f>
        <v>0.32090147248145612</v>
      </c>
      <c r="AS78" s="669">
        <f>(LN(2)/AT78)/(60*60*24)</f>
        <v>2.5000000000000004</v>
      </c>
      <c r="AT78" s="668">
        <f>AU78*10^(9-14)</f>
        <v>3.2090147248145612E-6</v>
      </c>
      <c r="AU78" s="668">
        <f>EXP(LN(AR78)+$J78*(1/$H78-1/298.15)/0.0019872)</f>
        <v>0.32090147248145612</v>
      </c>
      <c r="AV78" s="292"/>
      <c r="AW78" s="292"/>
      <c r="AX78" s="292"/>
      <c r="AY78" s="115"/>
      <c r="AZ78" s="115"/>
      <c r="BA78" s="115"/>
      <c r="BB78" s="192"/>
      <c r="BC78" s="192"/>
      <c r="BD78" s="192"/>
      <c r="BE78" s="115"/>
      <c r="BF78" s="115"/>
    </row>
    <row r="79" spans="1:58" s="4" customFormat="1" ht="15" thickBot="1" x14ac:dyDescent="0.35">
      <c r="A79" s="115"/>
      <c r="B79" s="115"/>
      <c r="C79" s="115"/>
      <c r="D79" s="314"/>
      <c r="E79" s="115"/>
      <c r="F79" s="115"/>
      <c r="G79" s="115"/>
      <c r="H79" s="115"/>
      <c r="I79" s="665"/>
      <c r="J79" s="279"/>
      <c r="K79" s="115"/>
      <c r="L79" s="115"/>
      <c r="M79" s="115"/>
      <c r="N79" s="115"/>
      <c r="O79" s="290"/>
      <c r="P79" s="290"/>
      <c r="Q79" s="668"/>
      <c r="R79" s="668"/>
      <c r="S79" s="668"/>
      <c r="T79" s="292"/>
      <c r="U79" s="306"/>
      <c r="V79" s="306"/>
      <c r="W79" s="307"/>
      <c r="X79" s="307"/>
      <c r="Y79" s="307"/>
      <c r="Z79" s="115"/>
      <c r="AA79" s="115"/>
      <c r="AB79" s="115"/>
      <c r="AC79" s="115"/>
      <c r="AD79" s="280"/>
      <c r="AE79" s="669"/>
      <c r="AF79" s="670"/>
      <c r="AG79" s="292"/>
      <c r="AH79" s="292"/>
      <c r="AI79" s="292"/>
      <c r="AJ79" s="174"/>
      <c r="AK79" s="174"/>
      <c r="AL79" s="174"/>
      <c r="AM79" s="115"/>
      <c r="AN79" s="115"/>
      <c r="AO79" s="115"/>
      <c r="AP79" s="115"/>
      <c r="AQ79" s="290"/>
      <c r="AR79" s="290"/>
      <c r="AS79" s="669"/>
      <c r="AT79" s="668"/>
      <c r="AU79" s="668"/>
      <c r="AV79" s="292"/>
      <c r="AW79" s="292"/>
      <c r="AX79" s="292"/>
      <c r="AY79" s="115"/>
      <c r="AZ79" s="115"/>
      <c r="BA79" s="115"/>
      <c r="BB79" s="192"/>
      <c r="BC79" s="192"/>
      <c r="BD79" s="192"/>
      <c r="BE79" s="115"/>
      <c r="BF79" s="115"/>
    </row>
    <row r="80" spans="1:58" s="11" customFormat="1" x14ac:dyDescent="0.3">
      <c r="A80" s="285">
        <v>19</v>
      </c>
      <c r="B80" s="285" t="s">
        <v>779</v>
      </c>
      <c r="C80" s="285" t="s">
        <v>780</v>
      </c>
      <c r="D80" s="318"/>
      <c r="E80" s="285" t="s">
        <v>781</v>
      </c>
      <c r="F80" s="285"/>
      <c r="G80" s="285">
        <v>10</v>
      </c>
      <c r="H80" s="285">
        <f>G80+273.15</f>
        <v>283.14999999999998</v>
      </c>
      <c r="I80" s="667">
        <f t="shared" si="13"/>
        <v>14.518786982744363</v>
      </c>
      <c r="J80" s="284">
        <v>17.5</v>
      </c>
      <c r="K80" s="285">
        <v>5</v>
      </c>
      <c r="L80" s="285">
        <v>14.8</v>
      </c>
      <c r="M80" s="285"/>
      <c r="N80" s="285" t="s">
        <v>605</v>
      </c>
      <c r="O80" s="291">
        <f>(LN(2)/L80)/(60*60*24)*10^(K80-5)</f>
        <v>5.4206329811056779E-7</v>
      </c>
      <c r="P80" s="291">
        <f>O80*10^5</f>
        <v>5.4206329811056782E-2</v>
      </c>
      <c r="Q80" s="672">
        <f t="shared" ref="Q80:Q85" si="15">(LN(2)/R80)/(60*60*24)</f>
        <v>3.0953723451596962</v>
      </c>
      <c r="R80" s="680">
        <f>S80*10^-5</f>
        <v>2.5917840949187991E-6</v>
      </c>
      <c r="S80" s="680">
        <f>EXP(LN(P80)+$J80*(1/$H80-1/298.15)/0.0019872)</f>
        <v>0.25917840949187987</v>
      </c>
      <c r="T80" s="296">
        <f>AVERAGE(Q80:Q83)</f>
        <v>2.6727483995584045</v>
      </c>
      <c r="U80" s="308">
        <f>MEDIAN(Q80:Q83)</f>
        <v>2.727686172579848</v>
      </c>
      <c r="V80" s="309">
        <f>STDEV(Q80:Q83)</f>
        <v>0.6701615177207122</v>
      </c>
      <c r="W80" s="310"/>
      <c r="X80" s="310"/>
      <c r="Y80" s="310"/>
      <c r="Z80" s="285">
        <v>7</v>
      </c>
      <c r="AA80" s="285">
        <v>18.2</v>
      </c>
      <c r="AB80" s="285"/>
      <c r="AC80" s="285" t="s">
        <v>605</v>
      </c>
      <c r="AD80" s="287">
        <f>(LN(2)/AA80)/(60*60*24)</f>
        <v>4.4079872593606613E-7</v>
      </c>
      <c r="AE80" s="677">
        <f>(LN(2)/AF80)/(60*60*24)</f>
        <v>3.8064713974261131</v>
      </c>
      <c r="AF80" s="678">
        <f>EXP(LN(AD80)+$J80*(1/$H80-1/298.15)/0.0019872)</f>
        <v>2.1076046486152871E-6</v>
      </c>
      <c r="AG80" s="308">
        <f>AVERAGE(AE80:AE83)</f>
        <v>2.8632856762958516</v>
      </c>
      <c r="AH80" s="308">
        <f>MEDIAN(AE80:AE83)</f>
        <v>2.8060284527371033</v>
      </c>
      <c r="AI80" s="296">
        <f>STDEV(AE80:AE83)</f>
        <v>0.77646257826011811</v>
      </c>
      <c r="AJ80" s="297"/>
      <c r="AK80" s="297"/>
      <c r="AL80" s="297"/>
      <c r="AM80" s="285">
        <v>9</v>
      </c>
      <c r="AN80" s="285">
        <v>20.5</v>
      </c>
      <c r="AO80" s="285"/>
      <c r="AP80" s="285" t="s">
        <v>605</v>
      </c>
      <c r="AQ80" s="291">
        <f>(LN(2)/AN80)/(60*60*24)*10^(9-AM80)</f>
        <v>3.9134325912372703E-7</v>
      </c>
      <c r="AR80" s="291">
        <f>AQ80*10^($I80-9)</f>
        <v>0.1292244939893108</v>
      </c>
      <c r="AS80" s="677">
        <f>(LN(2)/AT80)/(60*60*24)</f>
        <v>1.2984285645075149</v>
      </c>
      <c r="AT80" s="680">
        <f>AU80*10^(9-14)</f>
        <v>6.1786508948833069E-6</v>
      </c>
      <c r="AU80" s="680">
        <f>EXP(LN(AR80)+$J80*(1/$H80-1/298.15)/0.0019872)</f>
        <v>0.61786508948833063</v>
      </c>
      <c r="AV80" s="296">
        <f>AVERAGE(AS80:AS83)</f>
        <v>1.9326326142090355</v>
      </c>
      <c r="AW80" s="296">
        <f>MEDIAN(AS80:AS83)</f>
        <v>2.1260507507879787</v>
      </c>
      <c r="AX80" s="296">
        <f>STDEV(AS80:AS83)</f>
        <v>0.42523251990002148</v>
      </c>
      <c r="AY80" s="285"/>
      <c r="AZ80" s="285"/>
      <c r="BA80" s="285"/>
      <c r="BB80" s="317"/>
      <c r="BC80" s="317"/>
      <c r="BD80" s="317"/>
      <c r="BE80" s="285"/>
      <c r="BF80" s="285"/>
    </row>
    <row r="81" spans="1:58" s="4" customFormat="1" x14ac:dyDescent="0.3">
      <c r="A81" s="115"/>
      <c r="B81" s="115"/>
      <c r="C81" s="115"/>
      <c r="D81" s="314"/>
      <c r="E81" s="115"/>
      <c r="F81" s="115"/>
      <c r="G81" s="115">
        <v>20</v>
      </c>
      <c r="H81" s="115">
        <f>G81+273.15</f>
        <v>293.14999999999998</v>
      </c>
      <c r="I81" s="665">
        <f t="shared" si="13"/>
        <v>14.167030000755094</v>
      </c>
      <c r="J81" s="279">
        <v>17.5</v>
      </c>
      <c r="K81" s="115">
        <v>5</v>
      </c>
      <c r="L81" s="115">
        <v>5.54</v>
      </c>
      <c r="M81" s="115"/>
      <c r="N81" s="115" t="s">
        <v>605</v>
      </c>
      <c r="O81" s="290">
        <f>(LN(2)/L81)/(60*60*24)*10^(K81-5)</f>
        <v>1.4481113379127082E-6</v>
      </c>
      <c r="P81" s="290">
        <f>O81*10^5</f>
        <v>0.14481113379127081</v>
      </c>
      <c r="Q81" s="669">
        <f t="shared" si="15"/>
        <v>3.3474990877552151</v>
      </c>
      <c r="R81" s="668">
        <f>S81*10^-5</f>
        <v>2.3965762504258667E-6</v>
      </c>
      <c r="S81" s="668">
        <f>EXP(LN(P81)+$J81*(1/$H81-1/298.15)/0.0019872)</f>
        <v>0.23965762504258664</v>
      </c>
      <c r="T81" s="292"/>
      <c r="U81" s="306"/>
      <c r="V81" s="306"/>
      <c r="W81" s="307"/>
      <c r="X81" s="307"/>
      <c r="Y81" s="307"/>
      <c r="Z81" s="115">
        <v>7</v>
      </c>
      <c r="AA81" s="115">
        <v>5.2</v>
      </c>
      <c r="AB81" s="115"/>
      <c r="AC81" s="115" t="s">
        <v>605</v>
      </c>
      <c r="AD81" s="280">
        <f>(LN(2)/AA81)/(60*60*24)</f>
        <v>1.5427955407762316E-6</v>
      </c>
      <c r="AE81" s="669">
        <f>(LN(2)/AF81)/(60*60*24)</f>
        <v>3.1420569054742069</v>
      </c>
      <c r="AF81" s="670">
        <f>EXP(LN(AD81)+$J81*(1/$H81-1/298.15)/0.0019872)</f>
        <v>2.5532754667998675E-6</v>
      </c>
      <c r="AG81" s="292"/>
      <c r="AH81" s="292"/>
      <c r="AI81" s="292"/>
      <c r="AJ81" s="174"/>
      <c r="AK81" s="174"/>
      <c r="AL81" s="174"/>
      <c r="AM81" s="115">
        <v>9</v>
      </c>
      <c r="AN81" s="115">
        <v>5.3</v>
      </c>
      <c r="AO81" s="115"/>
      <c r="AP81" s="115" t="s">
        <v>605</v>
      </c>
      <c r="AQ81" s="290">
        <f>(LN(2)/AN81)/(60*60*24)*10^(9-AM81)</f>
        <v>1.513686190950265E-6</v>
      </c>
      <c r="AR81" s="290">
        <f>AQ81*10^($I81-9)</f>
        <v>0.22236470246489745</v>
      </c>
      <c r="AS81" s="669">
        <f>(LN(2)/AT81)/(60*60*24)</f>
        <v>2.1800003907526695</v>
      </c>
      <c r="AT81" s="668">
        <f>AU81*10^(9-14)</f>
        <v>3.6800620981845482E-6</v>
      </c>
      <c r="AU81" s="668">
        <f>EXP(LN(AR81)+$J81*(1/$H81-1/298.15)/0.0019872)</f>
        <v>0.36800620981845478</v>
      </c>
      <c r="AV81" s="292"/>
      <c r="AW81" s="292"/>
      <c r="AX81" s="292"/>
      <c r="AY81" s="115"/>
      <c r="AZ81" s="115"/>
      <c r="BA81" s="115"/>
      <c r="BB81" s="192"/>
      <c r="BC81" s="192"/>
      <c r="BD81" s="192"/>
      <c r="BE81" s="115"/>
      <c r="BF81" s="115"/>
    </row>
    <row r="82" spans="1:58" s="4" customFormat="1" x14ac:dyDescent="0.3">
      <c r="A82" s="115"/>
      <c r="B82" s="115"/>
      <c r="C82" s="115"/>
      <c r="D82" s="314"/>
      <c r="E82" s="115"/>
      <c r="F82" s="115"/>
      <c r="G82" s="115">
        <v>30</v>
      </c>
      <c r="H82" s="115">
        <f>G82+273.15</f>
        <v>303.14999999999998</v>
      </c>
      <c r="I82" s="665">
        <f t="shared" si="13"/>
        <v>13.838479812893434</v>
      </c>
      <c r="J82" s="279">
        <v>17.5</v>
      </c>
      <c r="K82" s="115">
        <v>5</v>
      </c>
      <c r="L82" s="115">
        <v>1.1599999999999999</v>
      </c>
      <c r="M82" s="115"/>
      <c r="N82" s="115" t="s">
        <v>605</v>
      </c>
      <c r="O82" s="290">
        <f>(LN(2)/L82)/(60*60*24)*10^(K82-5)</f>
        <v>6.9159800103762102E-6</v>
      </c>
      <c r="P82" s="290">
        <f>O82*10^5</f>
        <v>0.69159800103762104</v>
      </c>
      <c r="Q82" s="669">
        <f t="shared" si="15"/>
        <v>1.8881221653187068</v>
      </c>
      <c r="R82" s="668">
        <f>S82*10^-5</f>
        <v>4.2489500729325075E-6</v>
      </c>
      <c r="S82" s="668">
        <f>EXP(LN(P82)+$J82*(1/$H82-1/298.15)/0.0019872)</f>
        <v>0.42489500729325075</v>
      </c>
      <c r="T82" s="292"/>
      <c r="U82" s="306"/>
      <c r="V82" s="306"/>
      <c r="W82" s="307"/>
      <c r="X82" s="307"/>
      <c r="Y82" s="307"/>
      <c r="Z82" s="115">
        <v>7</v>
      </c>
      <c r="AA82" s="115">
        <v>1.25</v>
      </c>
      <c r="AB82" s="115"/>
      <c r="AC82" s="115" t="s">
        <v>605</v>
      </c>
      <c r="AD82" s="280">
        <f>(LN(2)/AA82)/(60*60*24)</f>
        <v>6.4180294496291225E-6</v>
      </c>
      <c r="AE82" s="669">
        <f>(LN(2)/AF82)/(60*60*24)</f>
        <v>2.0346144022830872</v>
      </c>
      <c r="AF82" s="670">
        <f>EXP(LN(AD82)+$J82*(1/$H82-1/298.15)/0.0019872)</f>
        <v>3.9430256676813705E-6</v>
      </c>
      <c r="AG82" s="292"/>
      <c r="AH82" s="292"/>
      <c r="AI82" s="292"/>
      <c r="AJ82" s="174"/>
      <c r="AK82" s="174"/>
      <c r="AL82" s="174"/>
      <c r="AM82" s="115">
        <v>9</v>
      </c>
      <c r="AN82" s="115">
        <v>0.92</v>
      </c>
      <c r="AO82" s="115"/>
      <c r="AP82" s="115" t="s">
        <v>605</v>
      </c>
      <c r="AQ82" s="290">
        <f>(LN(2)/AN82)/(60*60*24)*10^(9-AM82)</f>
        <v>8.720148708735221E-6</v>
      </c>
      <c r="AR82" s="290">
        <f>AQ82*10^($I82-9)</f>
        <v>0.6011788649387747</v>
      </c>
      <c r="AS82" s="669">
        <f>(LN(2)/AT82)/(60*60*24)</f>
        <v>2.1721015015759573</v>
      </c>
      <c r="AT82" s="668">
        <f>AU82*10^(9-14)</f>
        <v>3.6934447152749043E-6</v>
      </c>
      <c r="AU82" s="668">
        <f>EXP(LN(AR82)+$J82*(1/$H82-1/298.15)/0.0019872)</f>
        <v>0.36934447152749039</v>
      </c>
      <c r="AV82" s="292"/>
      <c r="AW82" s="292"/>
      <c r="AX82" s="292"/>
      <c r="AY82" s="115"/>
      <c r="AZ82" s="115"/>
      <c r="BA82" s="115"/>
      <c r="BB82" s="192"/>
      <c r="BC82" s="192"/>
      <c r="BD82" s="192"/>
      <c r="BE82" s="115"/>
      <c r="BF82" s="115"/>
    </row>
    <row r="83" spans="1:58" s="4" customFormat="1" x14ac:dyDescent="0.3">
      <c r="A83" s="115"/>
      <c r="B83" s="115"/>
      <c r="C83" s="115"/>
      <c r="D83" s="314"/>
      <c r="E83" s="115"/>
      <c r="F83" s="115" t="s">
        <v>782</v>
      </c>
      <c r="G83" s="115">
        <v>25</v>
      </c>
      <c r="H83" s="115">
        <f>G83+273.15</f>
        <v>298.14999999999998</v>
      </c>
      <c r="I83" s="665">
        <f t="shared" si="13"/>
        <v>14</v>
      </c>
      <c r="J83" s="279">
        <v>17.5</v>
      </c>
      <c r="K83" s="115">
        <v>5</v>
      </c>
      <c r="L83" s="115">
        <v>2.36</v>
      </c>
      <c r="M83" s="115"/>
      <c r="N83" s="115" t="s">
        <v>605</v>
      </c>
      <c r="O83" s="290">
        <f>(LN(2)/L83)/(60*60*24)*10^(K83-5)</f>
        <v>3.3993800051001712E-6</v>
      </c>
      <c r="P83" s="290">
        <f>O83*10^5</f>
        <v>0.3399380005100171</v>
      </c>
      <c r="Q83" s="669">
        <f t="shared" si="15"/>
        <v>2.36</v>
      </c>
      <c r="R83" s="668">
        <f>S83*10^-5</f>
        <v>3.3993800051001712E-6</v>
      </c>
      <c r="S83" s="668">
        <f>EXP(LN(P83)+$J83*(1/$H83-1/298.15)/0.0019872)</f>
        <v>0.3399380005100171</v>
      </c>
      <c r="T83" s="292"/>
      <c r="U83" s="306"/>
      <c r="V83" s="306"/>
      <c r="W83" s="307"/>
      <c r="X83" s="307"/>
      <c r="Y83" s="307"/>
      <c r="Z83" s="115">
        <v>7</v>
      </c>
      <c r="AA83" s="115">
        <v>2.4700000000000002</v>
      </c>
      <c r="AB83" s="115"/>
      <c r="AC83" s="115" t="s">
        <v>605</v>
      </c>
      <c r="AD83" s="290">
        <f>(LN(2)/AA83)/(60*60*24)</f>
        <v>3.2479906121604872E-6</v>
      </c>
      <c r="AE83" s="669">
        <f>(LN(2)/AF83)/(60*60*24)</f>
        <v>2.4699999999999998</v>
      </c>
      <c r="AF83" s="670">
        <f>EXP(LN(AD83)+$J83*(1/$H83-1/298.15)/0.0019872)</f>
        <v>3.2479906121604877E-6</v>
      </c>
      <c r="AG83" s="292"/>
      <c r="AH83" s="292"/>
      <c r="AI83" s="292"/>
      <c r="AJ83" s="174"/>
      <c r="AK83" s="174"/>
      <c r="AL83" s="174"/>
      <c r="AM83" s="115">
        <v>9</v>
      </c>
      <c r="AN83" s="115">
        <v>2.08</v>
      </c>
      <c r="AO83" s="115"/>
      <c r="AP83" s="115" t="s">
        <v>605</v>
      </c>
      <c r="AQ83" s="290">
        <f>(LN(2)/AN83)/(60*60*24)*10^(9-AM83)</f>
        <v>3.8569888519405784E-6</v>
      </c>
      <c r="AR83" s="290">
        <f>AQ83*10^($I83-9)</f>
        <v>0.38569888519405782</v>
      </c>
      <c r="AS83" s="669">
        <f>(LN(2)/AT83)/(60*60*24)</f>
        <v>2.0800000000000005</v>
      </c>
      <c r="AT83" s="668">
        <f>AU83*10^(9-14)</f>
        <v>3.8569888519405784E-6</v>
      </c>
      <c r="AU83" s="668">
        <f>EXP(LN(AR83)+$J83*(1/$H83-1/298.15)/0.0019872)</f>
        <v>0.38569888519405782</v>
      </c>
      <c r="AV83" s="292"/>
      <c r="AW83" s="292"/>
      <c r="AX83" s="292"/>
      <c r="AY83" s="115"/>
      <c r="AZ83" s="115"/>
      <c r="BA83" s="115"/>
      <c r="BB83" s="192"/>
      <c r="BC83" s="192"/>
      <c r="BD83" s="192"/>
      <c r="BE83" s="115"/>
      <c r="BF83" s="115"/>
    </row>
    <row r="84" spans="1:58" s="4" customFormat="1" ht="15" thickBot="1" x14ac:dyDescent="0.35">
      <c r="A84" s="115"/>
      <c r="B84" s="115"/>
      <c r="C84" s="115"/>
      <c r="D84" s="314"/>
      <c r="E84" s="115"/>
      <c r="F84" s="115"/>
      <c r="G84" s="115"/>
      <c r="H84" s="115"/>
      <c r="I84" s="665"/>
      <c r="J84" s="279"/>
      <c r="K84" s="115"/>
      <c r="L84" s="115"/>
      <c r="M84" s="115"/>
      <c r="N84" s="115"/>
      <c r="O84" s="290"/>
      <c r="P84" s="290"/>
      <c r="Q84" s="668"/>
      <c r="R84" s="668"/>
      <c r="S84" s="668"/>
      <c r="T84" s="292"/>
      <c r="U84" s="306"/>
      <c r="V84" s="306"/>
      <c r="W84" s="307"/>
      <c r="X84" s="307"/>
      <c r="Y84" s="307"/>
      <c r="Z84" s="115"/>
      <c r="AA84" s="115"/>
      <c r="AB84" s="115"/>
      <c r="AC84" s="115"/>
      <c r="AD84" s="290"/>
      <c r="AE84" s="669"/>
      <c r="AF84" s="670"/>
      <c r="AG84" s="292"/>
      <c r="AH84" s="292"/>
      <c r="AI84" s="292"/>
      <c r="AJ84" s="174"/>
      <c r="AK84" s="174"/>
      <c r="AL84" s="174"/>
      <c r="AM84" s="115"/>
      <c r="AN84" s="115"/>
      <c r="AO84" s="115"/>
      <c r="AP84" s="115"/>
      <c r="AQ84" s="290"/>
      <c r="AR84" s="290"/>
      <c r="AS84" s="669"/>
      <c r="AT84" s="668"/>
      <c r="AU84" s="668"/>
      <c r="AV84" s="292"/>
      <c r="AW84" s="292"/>
      <c r="AX84" s="292"/>
      <c r="AY84" s="115"/>
      <c r="AZ84" s="115"/>
      <c r="BA84" s="115"/>
      <c r="BB84" s="192"/>
      <c r="BC84" s="192"/>
      <c r="BD84" s="192"/>
      <c r="BE84" s="115"/>
      <c r="BF84" s="115"/>
    </row>
    <row r="85" spans="1:58" s="11" customFormat="1" x14ac:dyDescent="0.3">
      <c r="A85" s="285">
        <v>20</v>
      </c>
      <c r="B85" s="285" t="s">
        <v>783</v>
      </c>
      <c r="C85" s="285" t="s">
        <v>784</v>
      </c>
      <c r="D85" s="318"/>
      <c r="E85" s="285" t="s">
        <v>785</v>
      </c>
      <c r="F85" s="285"/>
      <c r="G85" s="285">
        <v>25</v>
      </c>
      <c r="H85" s="285">
        <f>G85+273.15</f>
        <v>298.14999999999998</v>
      </c>
      <c r="I85" s="667">
        <f t="shared" si="13"/>
        <v>14</v>
      </c>
      <c r="J85" s="284">
        <v>17.5</v>
      </c>
      <c r="K85" s="285">
        <v>5</v>
      </c>
      <c r="L85" s="285">
        <v>4</v>
      </c>
      <c r="M85" s="285"/>
      <c r="N85" s="285" t="s">
        <v>605</v>
      </c>
      <c r="O85" s="291">
        <f>(LN(2)/L85)/(60*60*24)*10^(K85-5)</f>
        <v>2.0056342030091009E-6</v>
      </c>
      <c r="P85" s="291">
        <f>O85*10^5</f>
        <v>0.20056342030091009</v>
      </c>
      <c r="Q85" s="672">
        <f t="shared" si="15"/>
        <v>4</v>
      </c>
      <c r="R85" s="680">
        <f>S85*10^-5</f>
        <v>2.0056342030091009E-6</v>
      </c>
      <c r="S85" s="680">
        <f>EXP(LN(P85)+$J85*(1/$H85-1/298.15)/0.0019872)</f>
        <v>0.20056342030091009</v>
      </c>
      <c r="T85" s="296">
        <f>Q85</f>
        <v>4</v>
      </c>
      <c r="U85" s="309"/>
      <c r="V85" s="309"/>
      <c r="W85" s="310"/>
      <c r="X85" s="310"/>
      <c r="Y85" s="310"/>
      <c r="Z85" s="285">
        <v>7</v>
      </c>
      <c r="AA85" s="285">
        <v>0.64</v>
      </c>
      <c r="AB85" s="285"/>
      <c r="AC85" s="285" t="s">
        <v>605</v>
      </c>
      <c r="AD85" s="291">
        <f>(LN(2)/AA85)/(60*60*24)</f>
        <v>1.2535213768806882E-5</v>
      </c>
      <c r="AE85" s="677">
        <f>(LN(2)/AF85)/(60*60*24)</f>
        <v>0.63999999999999946</v>
      </c>
      <c r="AF85" s="678">
        <f>EXP(LN(AD85)+$J85*(1/$H85-1/298.15)/0.0019872)</f>
        <v>1.253521376880689E-5</v>
      </c>
      <c r="AG85" s="296">
        <f>AE85</f>
        <v>0.63999999999999946</v>
      </c>
      <c r="AH85" s="296"/>
      <c r="AI85" s="296"/>
      <c r="AJ85" s="297"/>
      <c r="AK85" s="297"/>
      <c r="AL85" s="297"/>
      <c r="AM85" s="285">
        <v>9</v>
      </c>
      <c r="AN85" s="285">
        <v>7.0000000000000007E-2</v>
      </c>
      <c r="AO85" s="285"/>
      <c r="AP85" s="285" t="s">
        <v>605</v>
      </c>
      <c r="AQ85" s="291">
        <f>(LN(2)/AN85)/(60*60*24)*10^(9-AM85)</f>
        <v>1.1460766874337718E-4</v>
      </c>
      <c r="AR85" s="291">
        <f>AQ85*10^($I85-9)</f>
        <v>11.460766874337718</v>
      </c>
      <c r="AS85" s="677">
        <f>(LN(2)/AT85)/(60*60*24)</f>
        <v>6.9999999999999993E-2</v>
      </c>
      <c r="AT85" s="680">
        <f>AU85*10^(9-14)</f>
        <v>1.1460766874337721E-4</v>
      </c>
      <c r="AU85" s="680">
        <f>EXP(LN(AR85)+$J85*(1/$H85-1/298.15)/0.0019872)</f>
        <v>11.46076687433772</v>
      </c>
      <c r="AV85" s="296">
        <f>AS85</f>
        <v>6.9999999999999993E-2</v>
      </c>
      <c r="AW85" s="296"/>
      <c r="AX85" s="296"/>
      <c r="AY85" s="285"/>
      <c r="AZ85" s="285"/>
      <c r="BA85" s="285"/>
      <c r="BB85" s="317"/>
      <c r="BC85" s="317"/>
      <c r="BD85" s="317"/>
      <c r="BE85" s="285"/>
      <c r="BF85" s="285"/>
    </row>
    <row r="86" spans="1:58" s="4" customFormat="1" x14ac:dyDescent="0.3">
      <c r="A86" s="115"/>
      <c r="B86" s="115"/>
      <c r="C86" s="115"/>
      <c r="D86" s="314"/>
      <c r="E86" s="115"/>
      <c r="F86" s="115"/>
      <c r="G86" s="115"/>
      <c r="H86" s="115"/>
      <c r="I86" s="668"/>
      <c r="J86" s="279"/>
      <c r="K86" s="115"/>
      <c r="L86" s="115"/>
      <c r="M86" s="115"/>
      <c r="N86" s="115"/>
      <c r="O86" s="290"/>
      <c r="P86" s="290"/>
      <c r="Q86" s="668"/>
      <c r="R86" s="668"/>
      <c r="S86" s="668"/>
      <c r="T86" s="292"/>
      <c r="U86" s="306"/>
      <c r="V86" s="306"/>
      <c r="W86" s="307"/>
      <c r="X86" s="307"/>
      <c r="Y86" s="307"/>
      <c r="Z86" s="115"/>
      <c r="AA86" s="115"/>
      <c r="AB86" s="115"/>
      <c r="AC86" s="115"/>
      <c r="AD86" s="290"/>
      <c r="AE86" s="669"/>
      <c r="AF86" s="668"/>
      <c r="AG86" s="292"/>
      <c r="AH86" s="292"/>
      <c r="AI86" s="292"/>
      <c r="AJ86" s="174"/>
      <c r="AK86" s="174"/>
      <c r="AL86" s="174"/>
      <c r="AM86" s="115"/>
      <c r="AN86" s="115"/>
      <c r="AO86" s="115"/>
      <c r="AP86" s="115"/>
      <c r="AQ86" s="290"/>
      <c r="AR86" s="290"/>
      <c r="AS86" s="669"/>
      <c r="AT86" s="668"/>
      <c r="AU86" s="668"/>
      <c r="AV86" s="292"/>
      <c r="AW86" s="292"/>
      <c r="AX86" s="292"/>
      <c r="AY86" s="115"/>
      <c r="AZ86" s="115"/>
      <c r="BA86" s="115"/>
      <c r="BB86" s="192"/>
      <c r="BC86" s="192"/>
      <c r="BD86" s="192"/>
      <c r="BE86" s="115"/>
      <c r="BF86" s="115"/>
    </row>
    <row r="87" spans="1:58" s="4" customFormat="1" ht="15" thickBot="1" x14ac:dyDescent="0.35">
      <c r="A87" s="115"/>
      <c r="B87" s="115"/>
      <c r="C87" s="115"/>
      <c r="D87" s="314"/>
      <c r="E87" s="115"/>
      <c r="F87" s="115"/>
      <c r="G87" s="115"/>
      <c r="H87" s="115"/>
      <c r="I87" s="668"/>
      <c r="J87" s="279"/>
      <c r="K87" s="115"/>
      <c r="L87" s="115"/>
      <c r="M87" s="115"/>
      <c r="N87" s="115"/>
      <c r="O87" s="290"/>
      <c r="P87" s="290"/>
      <c r="Q87" s="668"/>
      <c r="R87" s="668"/>
      <c r="S87" s="668"/>
      <c r="T87" s="292"/>
      <c r="U87" s="306"/>
      <c r="V87" s="306"/>
      <c r="W87" s="307"/>
      <c r="X87" s="307"/>
      <c r="Y87" s="307"/>
      <c r="Z87" s="115"/>
      <c r="AA87" s="115"/>
      <c r="AB87" s="115"/>
      <c r="AC87" s="115"/>
      <c r="AD87" s="290"/>
      <c r="AE87" s="669"/>
      <c r="AF87" s="668"/>
      <c r="AG87" s="292"/>
      <c r="AH87" s="292"/>
      <c r="AI87" s="292"/>
      <c r="AJ87" s="174"/>
      <c r="AK87" s="174"/>
      <c r="AL87" s="174"/>
      <c r="AM87" s="115"/>
      <c r="AN87" s="115"/>
      <c r="AO87" s="115"/>
      <c r="AP87" s="115"/>
      <c r="AQ87" s="290"/>
      <c r="AR87" s="290"/>
      <c r="AS87" s="669"/>
      <c r="AT87" s="668"/>
      <c r="AU87" s="668"/>
      <c r="AV87" s="292"/>
      <c r="AW87" s="292"/>
      <c r="AX87" s="292"/>
      <c r="AY87" s="115"/>
      <c r="AZ87" s="115"/>
      <c r="BA87" s="115"/>
      <c r="BB87" s="192"/>
      <c r="BC87" s="192"/>
      <c r="BD87" s="192"/>
      <c r="BE87" s="115"/>
      <c r="BF87" s="115"/>
    </row>
    <row r="88" spans="1:58" s="8" customFormat="1" x14ac:dyDescent="0.3">
      <c r="A88" s="37"/>
      <c r="B88" s="37"/>
      <c r="C88" s="37"/>
      <c r="D88" s="38"/>
      <c r="E88" s="37"/>
      <c r="F88" s="37"/>
      <c r="G88" s="37"/>
      <c r="H88" s="37"/>
      <c r="I88" s="605"/>
      <c r="J88" s="96"/>
      <c r="K88" s="37"/>
      <c r="L88" s="37"/>
      <c r="M88" s="37"/>
      <c r="N88" s="37"/>
      <c r="O88" s="248"/>
      <c r="P88" s="248"/>
      <c r="Q88" s="214"/>
      <c r="R88" s="214"/>
      <c r="S88" s="214"/>
      <c r="T88" s="158"/>
      <c r="U88" s="254"/>
      <c r="V88" s="254"/>
      <c r="W88" s="39"/>
      <c r="X88" s="39"/>
      <c r="Y88" s="39"/>
      <c r="Z88" s="37"/>
      <c r="AA88" s="37"/>
      <c r="AB88" s="37"/>
      <c r="AC88" s="37"/>
      <c r="AD88" s="248"/>
      <c r="AE88" s="654"/>
      <c r="AF88" s="214"/>
      <c r="AG88" s="158"/>
      <c r="AH88" s="158"/>
      <c r="AI88" s="158"/>
      <c r="AJ88" s="159"/>
      <c r="AK88" s="159"/>
      <c r="AL88" s="159"/>
      <c r="AM88" s="37"/>
      <c r="AN88" s="37"/>
      <c r="AO88" s="37"/>
      <c r="AP88" s="37"/>
      <c r="AQ88" s="248"/>
      <c r="AR88" s="248"/>
      <c r="AS88" s="654"/>
      <c r="AT88" s="214"/>
      <c r="AU88" s="214"/>
      <c r="AV88" s="158"/>
      <c r="AW88" s="158"/>
      <c r="AX88" s="158"/>
      <c r="AY88" s="37"/>
      <c r="AZ88" s="37"/>
      <c r="BA88" s="37"/>
      <c r="BB88" s="186"/>
      <c r="BC88" s="186"/>
      <c r="BD88" s="186"/>
      <c r="BE88" s="37"/>
      <c r="BF88" s="37"/>
    </row>
    <row r="89" spans="1:58" x14ac:dyDescent="0.3">
      <c r="N89" s="115" t="s">
        <v>790</v>
      </c>
      <c r="O89" s="115"/>
      <c r="P89" s="115"/>
      <c r="Q89" s="173">
        <f>AVERAGE(Q6:Q87)</f>
        <v>30471.499625127552</v>
      </c>
      <c r="R89" s="115"/>
      <c r="S89" s="115"/>
      <c r="T89" s="142">
        <f>AVERAGE(T6:T87)</f>
        <v>31488.667822419106</v>
      </c>
      <c r="U89" s="152"/>
      <c r="V89" s="152"/>
      <c r="W89" s="153"/>
      <c r="X89" s="153"/>
      <c r="Y89" s="153"/>
      <c r="Z89" s="115" t="s">
        <v>790</v>
      </c>
      <c r="AA89" s="115"/>
      <c r="AB89" s="115"/>
      <c r="AC89" s="115" t="s">
        <v>790</v>
      </c>
      <c r="AD89" s="115"/>
      <c r="AE89" s="173">
        <f>AVERAGE(AE6:AE87)</f>
        <v>52.816026614266612</v>
      </c>
      <c r="AF89" s="115"/>
      <c r="AG89" s="142">
        <f>AVERAGE(AG6:AG87)</f>
        <v>66.387470696215132</v>
      </c>
      <c r="AH89" s="173"/>
      <c r="AI89" s="173"/>
      <c r="AJ89" s="174"/>
      <c r="AK89" s="174"/>
      <c r="AL89" s="174"/>
      <c r="AM89" s="115"/>
      <c r="AN89" s="115"/>
      <c r="AO89" s="115"/>
      <c r="AP89" s="115" t="s">
        <v>790</v>
      </c>
      <c r="AQ89" s="115"/>
      <c r="AR89" s="115"/>
      <c r="AS89" s="173">
        <f>AVERAGE(AS6:AS87)</f>
        <v>420.82392417728164</v>
      </c>
      <c r="AT89" s="115"/>
      <c r="AU89" s="115"/>
      <c r="AV89" s="142">
        <f>AVERAGE(AV6:AV87)</f>
        <v>469.18675545923281</v>
      </c>
      <c r="AW89" s="152"/>
      <c r="AX89" s="152"/>
      <c r="BB89" s="192" t="s">
        <v>790</v>
      </c>
    </row>
    <row r="90" spans="1:58" x14ac:dyDescent="0.3">
      <c r="N90" s="115" t="s">
        <v>791</v>
      </c>
      <c r="O90" s="115"/>
      <c r="P90" s="115"/>
      <c r="Q90" s="173">
        <f>STDEV(Q6:Q87)</f>
        <v>129916.46993469428</v>
      </c>
      <c r="R90" s="115"/>
      <c r="S90" s="115"/>
      <c r="T90" s="142">
        <f>STDEV(T6:T87)</f>
        <v>99472.673004562355</v>
      </c>
      <c r="U90" s="152"/>
      <c r="V90" s="152"/>
      <c r="W90" s="153"/>
      <c r="X90" s="153"/>
      <c r="Y90" s="153"/>
      <c r="Z90" s="115" t="s">
        <v>791</v>
      </c>
      <c r="AA90" s="115"/>
      <c r="AB90" s="115"/>
      <c r="AC90" s="115" t="s">
        <v>791</v>
      </c>
      <c r="AD90" s="115"/>
      <c r="AE90" s="173">
        <f>STDEV(AE6:AE87)</f>
        <v>61.009180950655015</v>
      </c>
      <c r="AF90" s="115"/>
      <c r="AG90" s="142">
        <f>STDEV(AG6:AG87)</f>
        <v>76.630128179145927</v>
      </c>
      <c r="AH90" s="173"/>
      <c r="AI90" s="173"/>
      <c r="AJ90" s="174"/>
      <c r="AK90" s="174"/>
      <c r="AL90" s="174"/>
      <c r="AM90" s="115"/>
      <c r="AN90" s="115"/>
      <c r="AO90" s="115"/>
      <c r="AP90" s="115" t="s">
        <v>791</v>
      </c>
      <c r="AQ90" s="115"/>
      <c r="AR90" s="115"/>
      <c r="AS90" s="173">
        <f>STDEV(AS6:AS87)</f>
        <v>2315.9311725281541</v>
      </c>
      <c r="AT90" s="115"/>
      <c r="AU90" s="115"/>
      <c r="AV90" s="142">
        <f>STDEV(AV6:AV87)</f>
        <v>1750.3234685874968</v>
      </c>
      <c r="AW90" s="152"/>
      <c r="AX90" s="152"/>
      <c r="BB90" s="192" t="s">
        <v>791</v>
      </c>
    </row>
    <row r="91" spans="1:58" x14ac:dyDescent="0.3">
      <c r="N91" s="31" t="s">
        <v>800</v>
      </c>
      <c r="O91" s="31"/>
      <c r="P91" s="31"/>
      <c r="Q91" s="175">
        <f>MEDIAN(Q6:Q87)</f>
        <v>91.505738874319675</v>
      </c>
      <c r="R91" s="31"/>
      <c r="S91" s="31"/>
      <c r="T91" s="142">
        <f>MEDIAN(T6:T87)</f>
        <v>196.00000000000006</v>
      </c>
      <c r="U91" s="129"/>
      <c r="V91" s="129"/>
      <c r="W91" s="146"/>
      <c r="X91" s="146"/>
      <c r="Y91" s="146"/>
      <c r="Z91" s="31" t="s">
        <v>800</v>
      </c>
      <c r="AC91" s="31" t="s">
        <v>800</v>
      </c>
      <c r="AD91" s="31"/>
      <c r="AE91" s="175">
        <f>MEDIAN(AE6:AE87)</f>
        <v>39.60000000000003</v>
      </c>
      <c r="AF91" s="31"/>
      <c r="AG91" s="142">
        <f>MEDIAN(AG6:AG87)</f>
        <v>43.927288703030456</v>
      </c>
      <c r="AH91" s="175"/>
      <c r="AI91" s="175"/>
      <c r="AP91" s="31" t="s">
        <v>800</v>
      </c>
      <c r="AQ91" s="31"/>
      <c r="AR91" s="31"/>
      <c r="AS91" s="175">
        <f>MEDIAN(AS6:AS87)</f>
        <v>5.4999999999999991</v>
      </c>
      <c r="AT91" s="31"/>
      <c r="AU91" s="31"/>
      <c r="AV91" s="142">
        <f>MEDIAN(AV6:AV87)</f>
        <v>20.077350100299768</v>
      </c>
      <c r="AW91" s="129"/>
      <c r="AX91" s="129"/>
      <c r="BB91" s="185" t="s">
        <v>800</v>
      </c>
    </row>
    <row r="92" spans="1:58" x14ac:dyDescent="0.3">
      <c r="N92" s="31" t="s">
        <v>789</v>
      </c>
      <c r="O92" s="31"/>
      <c r="P92" s="31"/>
      <c r="Q92" s="175">
        <f>COUNT(Q6:Q87)</f>
        <v>44</v>
      </c>
      <c r="R92" s="31"/>
      <c r="S92" s="31"/>
      <c r="T92" s="144">
        <f>COUNT(T6:T87)</f>
        <v>17</v>
      </c>
      <c r="U92" s="129"/>
      <c r="V92" s="129"/>
      <c r="W92" s="146"/>
      <c r="X92" s="146"/>
      <c r="Y92" s="146"/>
      <c r="Z92" s="31" t="s">
        <v>789</v>
      </c>
      <c r="AC92" s="31" t="s">
        <v>789</v>
      </c>
      <c r="AD92" s="31"/>
      <c r="AE92" s="175">
        <f>COUNT(AE6:AE87)</f>
        <v>39</v>
      </c>
      <c r="AF92" s="31"/>
      <c r="AG92" s="176">
        <f>COUNT(AG6:AG87)</f>
        <v>18</v>
      </c>
      <c r="AH92" s="175"/>
      <c r="AI92" s="175"/>
      <c r="AP92" s="31" t="s">
        <v>789</v>
      </c>
      <c r="AQ92" s="31"/>
      <c r="AR92" s="31"/>
      <c r="AS92" s="175">
        <f>COUNT(AS6:AS87)</f>
        <v>41</v>
      </c>
      <c r="AT92" s="31"/>
      <c r="AU92" s="31"/>
      <c r="AV92" s="144">
        <f>COUNT(AV6:AV87)</f>
        <v>18</v>
      </c>
      <c r="AW92" s="129"/>
      <c r="AX92" s="129"/>
      <c r="BB92" s="185" t="s">
        <v>789</v>
      </c>
    </row>
    <row r="93" spans="1:58" x14ac:dyDescent="0.3">
      <c r="N93" s="31" t="s">
        <v>787</v>
      </c>
      <c r="O93" s="31"/>
      <c r="P93" s="31"/>
      <c r="Q93" s="175">
        <f>MIN(Q6:Q87)</f>
        <v>1.4713606975080398</v>
      </c>
      <c r="R93" s="31"/>
      <c r="S93" s="31"/>
      <c r="T93" s="142">
        <f>MIN(T6:T87)</f>
        <v>2.6727483995584045</v>
      </c>
      <c r="U93" s="129"/>
      <c r="V93" s="129"/>
      <c r="W93" s="146"/>
      <c r="X93" s="146"/>
      <c r="Y93" s="146"/>
      <c r="Z93" s="31" t="s">
        <v>787</v>
      </c>
      <c r="AC93" s="31" t="s">
        <v>787</v>
      </c>
      <c r="AD93" s="31"/>
      <c r="AE93" s="175">
        <f>MIN(AE6:AE87)</f>
        <v>0.39166666666666633</v>
      </c>
      <c r="AF93" s="31"/>
      <c r="AG93" s="142">
        <f>MIN(AG6:AG87)</f>
        <v>0.40876552394628873</v>
      </c>
      <c r="AH93" s="175"/>
      <c r="AI93" s="175"/>
      <c r="AP93" s="31" t="s">
        <v>787</v>
      </c>
      <c r="AQ93" s="31"/>
      <c r="AR93" s="31"/>
      <c r="AS93" s="175">
        <f>MIN(AS6:AS87)</f>
        <v>3.819444444444443E-3</v>
      </c>
      <c r="AT93" s="31"/>
      <c r="AU93" s="31"/>
      <c r="AV93" s="240">
        <f>MIN(AV6:AV87)</f>
        <v>8.6435475232017819E-3</v>
      </c>
      <c r="AW93" s="129"/>
      <c r="AX93" s="129"/>
      <c r="BB93" s="185" t="s">
        <v>787</v>
      </c>
    </row>
    <row r="94" spans="1:58" x14ac:dyDescent="0.3">
      <c r="N94" s="31" t="s">
        <v>788</v>
      </c>
      <c r="O94" s="31"/>
      <c r="P94" s="31"/>
      <c r="Q94" s="175">
        <f>MAX(Q6:Q87)</f>
        <v>796917.76908623939</v>
      </c>
      <c r="R94" s="31"/>
      <c r="S94" s="31"/>
      <c r="T94" s="142">
        <f>MAX(T6:T87)</f>
        <v>398541.08296497195</v>
      </c>
      <c r="U94" s="129"/>
      <c r="V94" s="129"/>
      <c r="W94" s="146"/>
      <c r="X94" s="146"/>
      <c r="Y94" s="146"/>
      <c r="Z94" s="31" t="s">
        <v>788</v>
      </c>
      <c r="AC94" s="31" t="s">
        <v>788</v>
      </c>
      <c r="AD94" s="31"/>
      <c r="AE94" s="175">
        <f>MAX(AE6:AE87)</f>
        <v>301.00000000000017</v>
      </c>
      <c r="AF94" s="31"/>
      <c r="AG94" s="142">
        <f>MAX(AG61:AG84)</f>
        <v>106.7056276152223</v>
      </c>
      <c r="AH94" s="175"/>
      <c r="AI94" s="175"/>
      <c r="AP94" s="31" t="s">
        <v>788</v>
      </c>
      <c r="AQ94" s="31"/>
      <c r="AR94" s="31"/>
      <c r="AS94" s="175">
        <f>MAX(AS6:AS87)</f>
        <v>14874.173326009266</v>
      </c>
      <c r="AT94" s="31"/>
      <c r="AU94" s="31"/>
      <c r="AV94" s="142">
        <f>MAX(AV6:AV87)</f>
        <v>7475.6886842554668</v>
      </c>
      <c r="AW94" s="129"/>
      <c r="AX94" s="129"/>
      <c r="BB94" s="185" t="s">
        <v>788</v>
      </c>
    </row>
    <row r="95" spans="1:58" x14ac:dyDescent="0.3">
      <c r="S95" s="843" t="s">
        <v>1276</v>
      </c>
      <c r="T95" s="157">
        <f>QUARTILE(T$6:T87,3)-QUARTILE(T$6:T87,1)</f>
        <v>472.8869945804978</v>
      </c>
      <c r="U95" s="119"/>
      <c r="AF95" s="843" t="s">
        <v>1276</v>
      </c>
      <c r="AG95" s="157">
        <f>QUARTILE(AG$6:AG87,3)-QUARTILE(AG$6:AG87,1)</f>
        <v>83.464027721687984</v>
      </c>
      <c r="AH95" s="119"/>
      <c r="AS95" s="649"/>
      <c r="AU95" s="843" t="s">
        <v>1276</v>
      </c>
      <c r="AV95" s="157">
        <f>QUARTILE(AV$6:AV87,3)-QUARTILE(AV$6:AV87,1)</f>
        <v>92.583852860278455</v>
      </c>
      <c r="AW95" s="119"/>
    </row>
    <row r="96" spans="1:58" x14ac:dyDescent="0.3">
      <c r="S96" s="843" t="s">
        <v>1277</v>
      </c>
      <c r="T96" s="157">
        <f>MAX(T91-2*T95,0)</f>
        <v>0</v>
      </c>
      <c r="U96" s="844" t="str">
        <f>IF(T93&lt;T96,"Outlier Flag","")</f>
        <v/>
      </c>
      <c r="AF96" s="843" t="s">
        <v>1277</v>
      </c>
      <c r="AG96" s="157">
        <f>MAX(AG91-2*AG95,0)</f>
        <v>0</v>
      </c>
      <c r="AH96" s="844" t="str">
        <f>IF(AG93&lt;AG96,"Outlier Flag","")</f>
        <v/>
      </c>
      <c r="AS96" s="649"/>
      <c r="AU96" s="843" t="s">
        <v>1277</v>
      </c>
      <c r="AV96" s="157">
        <f>MAX(AV91-2*AV95,0)</f>
        <v>0</v>
      </c>
      <c r="AW96" s="844" t="str">
        <f>IF(AV93&lt;AV96,"Outlier Flag","")</f>
        <v/>
      </c>
    </row>
    <row r="97" spans="14:49" x14ac:dyDescent="0.3">
      <c r="S97" s="843" t="s">
        <v>1278</v>
      </c>
      <c r="T97" s="157">
        <f>T91+2.2*T95</f>
        <v>1236.3513880770952</v>
      </c>
      <c r="U97" s="844" t="str">
        <f>IF(T94&gt;T97,"Outlier Flag","")</f>
        <v>Outlier Flag</v>
      </c>
      <c r="W97" s="40">
        <v>1236.3513880770952</v>
      </c>
      <c r="AF97" s="843" t="s">
        <v>1278</v>
      </c>
      <c r="AG97" s="157">
        <f>AG91+2.2*AG95</f>
        <v>227.54814969074403</v>
      </c>
      <c r="AH97" s="844" t="str">
        <f>IF(AG94&gt;AG97,"Outlier Flag","")</f>
        <v/>
      </c>
      <c r="AS97" s="649"/>
      <c r="AU97" s="843" t="s">
        <v>1278</v>
      </c>
      <c r="AV97" s="157">
        <f>AV91+2.2*AV95</f>
        <v>223.76182639291238</v>
      </c>
      <c r="AW97" s="844" t="str">
        <f>IF(AV94&gt;AV97,"Outlier Flag","")</f>
        <v>Outlier Flag</v>
      </c>
    </row>
    <row r="98" spans="14:49" x14ac:dyDescent="0.3">
      <c r="AS98" s="649"/>
    </row>
    <row r="99" spans="14:49" x14ac:dyDescent="0.3">
      <c r="AS99" s="649"/>
    </row>
    <row r="100" spans="14:49" x14ac:dyDescent="0.3">
      <c r="N100" s="31" t="s">
        <v>790</v>
      </c>
      <c r="T100" s="156">
        <v>197.44916767165418</v>
      </c>
      <c r="AP100" s="31" t="s">
        <v>790</v>
      </c>
      <c r="AS100" s="649"/>
      <c r="AV100" s="156">
        <v>45.917057125670127</v>
      </c>
    </row>
    <row r="101" spans="14:49" x14ac:dyDescent="0.3">
      <c r="N101" s="31" t="s">
        <v>791</v>
      </c>
      <c r="T101" s="156">
        <v>268.84320987034459</v>
      </c>
      <c r="AP101" s="31" t="s">
        <v>791</v>
      </c>
      <c r="AV101" s="156">
        <v>67.980215064280003</v>
      </c>
    </row>
    <row r="102" spans="14:49" x14ac:dyDescent="0.3">
      <c r="N102" s="31" t="s">
        <v>800</v>
      </c>
      <c r="T102" s="156">
        <v>74.718710116651565</v>
      </c>
      <c r="AP102" s="31" t="s">
        <v>800</v>
      </c>
      <c r="AV102" s="156">
        <v>8.5551340613304525</v>
      </c>
    </row>
    <row r="103" spans="14:49" x14ac:dyDescent="0.3">
      <c r="N103" s="31" t="s">
        <v>789</v>
      </c>
      <c r="T103" s="156">
        <v>14</v>
      </c>
      <c r="AP103" s="31" t="s">
        <v>789</v>
      </c>
      <c r="AV103" s="156">
        <v>16</v>
      </c>
    </row>
    <row r="104" spans="14:49" x14ac:dyDescent="0.3">
      <c r="N104" s="31" t="s">
        <v>787</v>
      </c>
      <c r="T104" s="156">
        <v>2.6727483995584045</v>
      </c>
      <c r="AP104" s="31" t="s">
        <v>787</v>
      </c>
      <c r="AV104" s="156">
        <v>8.6435475232017819E-3</v>
      </c>
    </row>
    <row r="105" spans="14:49" x14ac:dyDescent="0.3">
      <c r="N105" s="31" t="s">
        <v>788</v>
      </c>
      <c r="T105" s="156">
        <v>944.40836820296306</v>
      </c>
      <c r="AP105" s="31" t="s">
        <v>788</v>
      </c>
      <c r="AV105" s="156">
        <v>211.77881620551116</v>
      </c>
    </row>
  </sheetData>
  <sheetProtection formatCells="0" formatColumns="0" formatRows="0" insertColumns="0" insertRows="0" insertHyperlinks="0" deleteColumns="0" deleteRows="0" sort="0"/>
  <mergeCells count="2">
    <mergeCell ref="BB18:BB21"/>
    <mergeCell ref="BC18:BC2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68"/>
  <sheetViews>
    <sheetView zoomScaleNormal="100" workbookViewId="0">
      <selection sqref="A1:B1"/>
    </sheetView>
  </sheetViews>
  <sheetFormatPr defaultRowHeight="14.4" x14ac:dyDescent="0.3"/>
  <cols>
    <col min="1" max="1" width="5.6640625" style="31" customWidth="1"/>
    <col min="2" max="2" width="41.5546875" style="31" customWidth="1"/>
    <col min="3" max="3" width="23.5546875" style="31" customWidth="1"/>
    <col min="4" max="4" width="32.44140625" style="32" customWidth="1"/>
    <col min="5" max="5" width="51.88671875" style="31" customWidth="1"/>
    <col min="6" max="8" width="12.33203125" style="31" customWidth="1"/>
    <col min="9" max="9" width="8.88671875" style="31" customWidth="1"/>
    <col min="10" max="10" width="9.88671875" style="31" bestFit="1" customWidth="1"/>
    <col min="11" max="12" width="10.109375" style="31" customWidth="1"/>
    <col min="13" max="13" width="11.5546875" style="31" customWidth="1"/>
    <col min="14" max="14" width="12.33203125" style="31" customWidth="1"/>
    <col min="15" max="15" width="10.33203125" style="31" customWidth="1"/>
    <col min="16" max="16" width="13.44140625" style="31" bestFit="1" customWidth="1"/>
    <col min="17" max="17" width="8.88671875" style="31"/>
    <col min="18" max="18" width="10.33203125" style="31" customWidth="1"/>
    <col min="19" max="19" width="13.44140625" style="31" bestFit="1" customWidth="1"/>
    <col min="20" max="22" width="10.109375" style="31" customWidth="1"/>
    <col min="23" max="25" width="15.6640625" style="40" customWidth="1"/>
    <col min="26" max="27" width="8.88671875" style="31"/>
    <col min="28" max="28" width="11.5546875" style="31" customWidth="1"/>
    <col min="29" max="29" width="8.88671875" style="31" customWidth="1"/>
    <col min="30" max="30" width="15.88671875" style="31" bestFit="1" customWidth="1"/>
    <col min="31" max="31" width="10.33203125" style="31" customWidth="1"/>
    <col min="32" max="32" width="13.44140625" style="31" bestFit="1" customWidth="1"/>
    <col min="33" max="35" width="10.33203125" style="31" customWidth="1"/>
    <col min="36" max="38" width="15.6640625" style="40" customWidth="1"/>
    <col min="39" max="40" width="10.109375" style="31" customWidth="1"/>
    <col min="41" max="41" width="11.5546875" style="31" customWidth="1"/>
    <col min="42" max="42" width="11.6640625" style="31" customWidth="1"/>
    <col min="43" max="43" width="10.33203125" style="31" customWidth="1"/>
    <col min="44" max="44" width="13.44140625" style="31" bestFit="1" customWidth="1"/>
    <col min="45" max="45" width="8.88671875" style="31"/>
    <col min="46" max="46" width="10.109375" style="31" customWidth="1"/>
    <col min="47" max="47" width="13.44140625" style="31" bestFit="1" customWidth="1"/>
    <col min="48" max="50" width="10.109375" style="31" customWidth="1"/>
    <col min="51" max="53" width="15.6640625" style="31" customWidth="1"/>
    <col min="54" max="55" width="16.88671875" style="185" bestFit="1" customWidth="1"/>
    <col min="56" max="56" width="15.6640625" style="185" customWidth="1"/>
    <col min="57" max="58" width="8.88671875" style="31"/>
  </cols>
  <sheetData>
    <row r="1" spans="1:58" x14ac:dyDescent="0.3">
      <c r="A1" s="899" t="s">
        <v>812</v>
      </c>
      <c r="B1" s="899"/>
      <c r="I1" s="583"/>
      <c r="K1" s="108" t="s">
        <v>626</v>
      </c>
      <c r="O1" s="86" t="s">
        <v>601</v>
      </c>
      <c r="P1" s="87"/>
      <c r="Q1" s="583" t="s">
        <v>602</v>
      </c>
      <c r="R1" s="586"/>
      <c r="S1" s="586"/>
      <c r="T1" s="118"/>
      <c r="U1" s="118"/>
      <c r="V1" s="118"/>
      <c r="W1" s="587"/>
      <c r="X1" s="587"/>
      <c r="Y1" s="587"/>
      <c r="Z1" s="108" t="s">
        <v>89</v>
      </c>
      <c r="AD1" s="87" t="s">
        <v>601</v>
      </c>
      <c r="AE1" s="583" t="s">
        <v>602</v>
      </c>
      <c r="AF1" s="586"/>
      <c r="AG1" s="156"/>
      <c r="AH1" s="156"/>
      <c r="AI1" s="156"/>
      <c r="AJ1" s="587"/>
      <c r="AK1" s="587"/>
      <c r="AL1" s="587"/>
      <c r="AM1" s="108" t="s">
        <v>627</v>
      </c>
      <c r="AQ1" s="86" t="s">
        <v>601</v>
      </c>
      <c r="AR1" s="86"/>
      <c r="AS1" s="583" t="s">
        <v>602</v>
      </c>
      <c r="AT1" s="586"/>
      <c r="AU1" s="586"/>
      <c r="AV1" s="118"/>
      <c r="AW1" s="118"/>
      <c r="AX1" s="118"/>
      <c r="AY1" s="587"/>
      <c r="AZ1" s="587"/>
      <c r="BA1" s="587"/>
    </row>
    <row r="2" spans="1:58" x14ac:dyDescent="0.3">
      <c r="G2" s="584"/>
      <c r="H2" s="584"/>
      <c r="I2" s="583"/>
      <c r="J2" s="92"/>
      <c r="K2" s="108"/>
      <c r="O2" s="588" t="s">
        <v>603</v>
      </c>
      <c r="P2" s="589"/>
      <c r="Q2" s="590" t="s">
        <v>603</v>
      </c>
      <c r="R2" s="590" t="s">
        <v>603</v>
      </c>
      <c r="S2" s="590"/>
      <c r="T2" s="591" t="s">
        <v>801</v>
      </c>
      <c r="U2" s="591"/>
      <c r="V2" s="591"/>
      <c r="W2" s="592"/>
      <c r="X2" s="592"/>
      <c r="Y2" s="592"/>
      <c r="AD2" s="589"/>
      <c r="AE2" s="583"/>
      <c r="AF2" s="590"/>
      <c r="AG2" s="593" t="s">
        <v>801</v>
      </c>
      <c r="AH2" s="593"/>
      <c r="AI2" s="593"/>
      <c r="AJ2" s="592"/>
      <c r="AK2" s="592"/>
      <c r="AL2" s="592"/>
      <c r="AM2" s="108"/>
      <c r="AQ2" s="588" t="s">
        <v>604</v>
      </c>
      <c r="AR2" s="588"/>
      <c r="AS2" s="590" t="s">
        <v>604</v>
      </c>
      <c r="AT2" s="590" t="s">
        <v>604</v>
      </c>
      <c r="AU2" s="590"/>
      <c r="AV2" s="591" t="s">
        <v>801</v>
      </c>
      <c r="AW2" s="591"/>
      <c r="AX2" s="591"/>
      <c r="AY2" s="592"/>
      <c r="AZ2" s="592"/>
      <c r="BA2" s="592"/>
    </row>
    <row r="3" spans="1:58" ht="43.2" x14ac:dyDescent="0.3">
      <c r="B3" s="108" t="s">
        <v>1</v>
      </c>
      <c r="C3" s="108" t="s">
        <v>2</v>
      </c>
      <c r="D3" s="378" t="s">
        <v>930</v>
      </c>
      <c r="E3" s="108" t="s">
        <v>5</v>
      </c>
      <c r="F3" s="108" t="s">
        <v>7</v>
      </c>
      <c r="G3" s="594" t="s">
        <v>1176</v>
      </c>
      <c r="H3" s="594" t="s">
        <v>1176</v>
      </c>
      <c r="I3" s="595" t="s">
        <v>593</v>
      </c>
      <c r="J3" s="533"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row>
    <row r="4" spans="1:58" x14ac:dyDescent="0.3">
      <c r="G4" s="33" t="s">
        <v>85</v>
      </c>
      <c r="H4" s="33" t="s">
        <v>522</v>
      </c>
      <c r="I4" s="595"/>
      <c r="J4" s="601" t="s">
        <v>595</v>
      </c>
      <c r="L4" s="31" t="s">
        <v>88</v>
      </c>
      <c r="O4" s="86" t="s">
        <v>596</v>
      </c>
      <c r="P4" s="87" t="s">
        <v>597</v>
      </c>
      <c r="Q4" s="583" t="s">
        <v>88</v>
      </c>
      <c r="R4" s="586" t="s">
        <v>596</v>
      </c>
      <c r="S4" s="586" t="s">
        <v>597</v>
      </c>
      <c r="T4" s="117" t="s">
        <v>88</v>
      </c>
      <c r="U4" s="117" t="s">
        <v>88</v>
      </c>
      <c r="V4" s="117" t="s">
        <v>88</v>
      </c>
      <c r="W4" s="592"/>
      <c r="X4" s="592"/>
      <c r="Y4" s="592"/>
      <c r="AA4" s="31" t="s">
        <v>88</v>
      </c>
      <c r="AD4" s="87" t="s">
        <v>596</v>
      </c>
      <c r="AE4" s="583" t="s">
        <v>88</v>
      </c>
      <c r="AF4" s="586" t="s">
        <v>596</v>
      </c>
      <c r="AG4" s="292" t="s">
        <v>88</v>
      </c>
      <c r="AH4" s="292" t="s">
        <v>88</v>
      </c>
      <c r="AI4" s="292" t="s">
        <v>88</v>
      </c>
      <c r="AJ4" s="602"/>
      <c r="AK4" s="602"/>
      <c r="AL4" s="602"/>
      <c r="AN4" s="31" t="s">
        <v>88</v>
      </c>
      <c r="AQ4" s="86" t="s">
        <v>596</v>
      </c>
      <c r="AR4" s="86" t="s">
        <v>597</v>
      </c>
      <c r="AS4" s="583" t="s">
        <v>88</v>
      </c>
      <c r="AT4" s="586" t="s">
        <v>596</v>
      </c>
      <c r="AU4" s="586" t="s">
        <v>597</v>
      </c>
      <c r="AV4" s="302" t="s">
        <v>88</v>
      </c>
      <c r="AW4" s="302" t="s">
        <v>88</v>
      </c>
      <c r="AX4" s="302" t="s">
        <v>88</v>
      </c>
      <c r="AY4" s="602"/>
      <c r="AZ4" s="602"/>
      <c r="BA4" s="648"/>
      <c r="BB4" s="319"/>
      <c r="BC4" s="192"/>
      <c r="BD4" s="603"/>
    </row>
    <row r="5" spans="1:58" s="16" customFormat="1" ht="15" thickBot="1" x14ac:dyDescent="0.35">
      <c r="A5" s="60"/>
      <c r="B5" s="60"/>
      <c r="C5" s="60"/>
      <c r="D5" s="61"/>
      <c r="E5" s="60"/>
      <c r="F5" s="60"/>
      <c r="G5" s="60"/>
      <c r="H5" s="60"/>
      <c r="I5" s="705"/>
      <c r="J5" s="60"/>
      <c r="K5" s="60"/>
      <c r="L5" s="60"/>
      <c r="M5" s="60"/>
      <c r="N5" s="60"/>
      <c r="O5" s="60"/>
      <c r="P5" s="60"/>
      <c r="Q5" s="686"/>
      <c r="R5" s="686"/>
      <c r="S5" s="686"/>
      <c r="T5" s="60"/>
      <c r="U5" s="60"/>
      <c r="V5" s="60"/>
      <c r="W5" s="138"/>
      <c r="X5" s="138"/>
      <c r="Y5" s="138"/>
      <c r="Z5" s="60"/>
      <c r="AA5" s="60"/>
      <c r="AB5" s="60"/>
      <c r="AC5" s="60"/>
      <c r="AD5" s="328"/>
      <c r="AE5" s="706"/>
      <c r="AF5" s="706"/>
      <c r="AG5" s="332"/>
      <c r="AH5" s="59"/>
      <c r="AI5" s="59"/>
      <c r="AJ5" s="138"/>
      <c r="AK5" s="138"/>
      <c r="AL5" s="138"/>
      <c r="AM5" s="60"/>
      <c r="AN5" s="60"/>
      <c r="AO5" s="60"/>
      <c r="AP5" s="60"/>
      <c r="AQ5" s="60"/>
      <c r="AR5" s="60"/>
      <c r="AS5" s="686"/>
      <c r="AT5" s="686"/>
      <c r="AU5" s="686"/>
      <c r="AV5" s="60"/>
      <c r="AW5" s="60"/>
      <c r="AX5" s="60"/>
      <c r="AY5" s="60"/>
      <c r="AZ5" s="60"/>
      <c r="BA5" s="60"/>
      <c r="BB5" s="190"/>
      <c r="BC5" s="190"/>
      <c r="BD5" s="190"/>
      <c r="BE5" s="60"/>
      <c r="BF5" s="60"/>
    </row>
    <row r="6" spans="1:58" x14ac:dyDescent="0.3">
      <c r="A6" s="151">
        <v>6</v>
      </c>
      <c r="B6" s="31" t="s">
        <v>813</v>
      </c>
      <c r="C6" s="31" t="s">
        <v>838</v>
      </c>
      <c r="D6" s="32" t="s">
        <v>1084</v>
      </c>
      <c r="E6" s="31" t="s">
        <v>825</v>
      </c>
      <c r="G6" s="31">
        <v>20</v>
      </c>
      <c r="H6" s="50">
        <f t="shared" ref="H6:H16" si="0">G6+273.15</f>
        <v>293.14999999999998</v>
      </c>
      <c r="I6" s="707">
        <f t="shared" ref="I6:I16" si="1">-LOG10(EXP(LN(10^-14)+13.36*(1/298.15-1/H6)/0.0019872))</f>
        <v>14.167030000755094</v>
      </c>
      <c r="J6" s="813">
        <v>19.05</v>
      </c>
      <c r="Q6" s="208"/>
      <c r="R6" s="208"/>
      <c r="S6" s="208"/>
      <c r="Z6" s="31">
        <v>7</v>
      </c>
      <c r="AB6" s="103">
        <v>6</v>
      </c>
      <c r="AC6" s="122" t="s">
        <v>600</v>
      </c>
      <c r="AD6" s="327">
        <f t="shared" ref="AD6:AD7" si="2">AB6</f>
        <v>6</v>
      </c>
      <c r="AE6" s="711">
        <f t="shared" ref="AE6:AE45" si="3">(LN(2)/AF6)/(60*60*24)</f>
        <v>7.7266757980943194E-7</v>
      </c>
      <c r="AF6" s="222">
        <f t="shared" ref="AF6:AF7" si="4">EXP(LN(AD6)+$J6*(1/$H6-1/298.15)/0.0019872)</f>
        <v>10.38290853877298</v>
      </c>
      <c r="AG6" s="253">
        <f>AVERAGE(AE6:AE7)</f>
        <v>6.4388964984119321E-7</v>
      </c>
      <c r="AH6" s="333">
        <f>MEDIAN(AE6:AE7)</f>
        <v>6.4388964984119321E-7</v>
      </c>
      <c r="AI6" s="29">
        <f>STDEV(AE6:AE7)</f>
        <v>1.8211949509541584E-7</v>
      </c>
      <c r="AS6" s="208"/>
      <c r="AT6" s="208"/>
      <c r="AU6" s="208"/>
    </row>
    <row r="7" spans="1:58" x14ac:dyDescent="0.3">
      <c r="E7" s="31" t="s">
        <v>826</v>
      </c>
      <c r="G7" s="31">
        <v>20</v>
      </c>
      <c r="H7" s="50">
        <f t="shared" si="0"/>
        <v>293.14999999999998</v>
      </c>
      <c r="I7" s="707">
        <f t="shared" si="1"/>
        <v>14.167030000755094</v>
      </c>
      <c r="J7" s="813">
        <v>19.05</v>
      </c>
      <c r="Q7" s="208"/>
      <c r="R7" s="208"/>
      <c r="S7" s="208"/>
      <c r="Z7" s="31">
        <v>7</v>
      </c>
      <c r="AB7" s="103">
        <v>9</v>
      </c>
      <c r="AC7" s="147" t="s">
        <v>600</v>
      </c>
      <c r="AD7" s="327">
        <f t="shared" si="2"/>
        <v>9</v>
      </c>
      <c r="AE7" s="711">
        <f t="shared" si="3"/>
        <v>5.1511171987295449E-7</v>
      </c>
      <c r="AF7" s="222">
        <f t="shared" si="4"/>
        <v>15.574362808159474</v>
      </c>
      <c r="AG7" s="253"/>
      <c r="AH7" s="29"/>
      <c r="AI7" s="29"/>
      <c r="AS7" s="208"/>
      <c r="AT7" s="208"/>
      <c r="AU7" s="208"/>
    </row>
    <row r="8" spans="1:58" s="16" customFormat="1" ht="15" thickBot="1" x14ac:dyDescent="0.35">
      <c r="A8" s="60"/>
      <c r="B8" s="60"/>
      <c r="C8" s="60"/>
      <c r="D8" s="61"/>
      <c r="E8" s="60"/>
      <c r="F8" s="60"/>
      <c r="G8" s="60"/>
      <c r="H8" s="60"/>
      <c r="I8" s="708"/>
      <c r="J8" s="814"/>
      <c r="K8" s="60"/>
      <c r="L8" s="60"/>
      <c r="M8" s="60"/>
      <c r="N8" s="60"/>
      <c r="O8" s="60"/>
      <c r="P8" s="60"/>
      <c r="Q8" s="225"/>
      <c r="R8" s="225"/>
      <c r="S8" s="225"/>
      <c r="T8" s="60"/>
      <c r="U8" s="60"/>
      <c r="V8" s="60"/>
      <c r="W8" s="138"/>
      <c r="X8" s="138"/>
      <c r="Y8" s="138"/>
      <c r="Z8" s="60"/>
      <c r="AA8" s="60"/>
      <c r="AB8" s="60"/>
      <c r="AC8" s="60"/>
      <c r="AD8" s="328"/>
      <c r="AE8" s="712"/>
      <c r="AF8" s="713"/>
      <c r="AG8" s="332"/>
      <c r="AH8" s="59"/>
      <c r="AI8" s="59"/>
      <c r="AJ8" s="138"/>
      <c r="AK8" s="138"/>
      <c r="AL8" s="138"/>
      <c r="AM8" s="60"/>
      <c r="AN8" s="60"/>
      <c r="AO8" s="60"/>
      <c r="AP8" s="60"/>
      <c r="AQ8" s="60"/>
      <c r="AR8" s="60"/>
      <c r="AS8" s="225"/>
      <c r="AT8" s="225"/>
      <c r="AU8" s="225"/>
      <c r="AV8" s="60"/>
      <c r="AW8" s="60"/>
      <c r="AX8" s="60"/>
      <c r="AY8" s="60"/>
      <c r="AZ8" s="60"/>
      <c r="BA8" s="60"/>
      <c r="BB8" s="190"/>
      <c r="BC8" s="190"/>
      <c r="BD8" s="190"/>
      <c r="BE8" s="60"/>
      <c r="BF8" s="60"/>
    </row>
    <row r="9" spans="1:58" s="15" customFormat="1" ht="15" thickBot="1" x14ac:dyDescent="0.35">
      <c r="A9" s="63">
        <v>7</v>
      </c>
      <c r="B9" s="63" t="s">
        <v>827</v>
      </c>
      <c r="C9" s="63" t="s">
        <v>839</v>
      </c>
      <c r="D9" s="64" t="s">
        <v>1084</v>
      </c>
      <c r="E9" s="63" t="s">
        <v>828</v>
      </c>
      <c r="F9" s="63"/>
      <c r="G9" s="63">
        <v>20</v>
      </c>
      <c r="H9" s="63">
        <f t="shared" si="0"/>
        <v>293.14999999999998</v>
      </c>
      <c r="I9" s="709">
        <f t="shared" si="1"/>
        <v>14.167030000755094</v>
      </c>
      <c r="J9" s="815">
        <v>19.05</v>
      </c>
      <c r="K9" s="63"/>
      <c r="L9" s="63"/>
      <c r="M9" s="63"/>
      <c r="N9" s="63"/>
      <c r="O9" s="63"/>
      <c r="P9" s="63"/>
      <c r="Q9" s="226"/>
      <c r="R9" s="226"/>
      <c r="S9" s="226"/>
      <c r="T9" s="63"/>
      <c r="U9" s="63"/>
      <c r="V9" s="63"/>
      <c r="W9" s="65"/>
      <c r="X9" s="65"/>
      <c r="Y9" s="65"/>
      <c r="Z9" s="63">
        <v>7</v>
      </c>
      <c r="AA9" s="63"/>
      <c r="AB9" s="141">
        <v>400</v>
      </c>
      <c r="AC9" s="141" t="s">
        <v>600</v>
      </c>
      <c r="AD9" s="329">
        <f t="shared" ref="AD9:AD16" si="5">AB9</f>
        <v>400</v>
      </c>
      <c r="AE9" s="714">
        <f t="shared" si="3"/>
        <v>1.1590013697141478E-8</v>
      </c>
      <c r="AF9" s="227">
        <f t="shared" ref="AF9:AF16" si="6">EXP(LN(AD9)+$J9*(1/$H9-1/298.15)/0.0019872)</f>
        <v>692.19390258486544</v>
      </c>
      <c r="AG9" s="334">
        <f>AE9</f>
        <v>1.1590013697141478E-8</v>
      </c>
      <c r="AH9" s="331"/>
      <c r="AI9" s="331"/>
      <c r="AJ9" s="65"/>
      <c r="AK9" s="65"/>
      <c r="AL9" s="65"/>
      <c r="AM9" s="63"/>
      <c r="AN9" s="63"/>
      <c r="AO9" s="63"/>
      <c r="AP9" s="63"/>
      <c r="AQ9" s="63"/>
      <c r="AR9" s="63"/>
      <c r="AS9" s="226"/>
      <c r="AT9" s="226"/>
      <c r="AU9" s="226"/>
      <c r="AV9" s="63"/>
      <c r="AW9" s="63"/>
      <c r="AX9" s="63"/>
      <c r="AY9" s="63"/>
      <c r="AZ9" s="63"/>
      <c r="BA9" s="63"/>
      <c r="BB9" s="191"/>
      <c r="BC9" s="191"/>
      <c r="BD9" s="191"/>
      <c r="BE9" s="63"/>
      <c r="BF9" s="63"/>
    </row>
    <row r="10" spans="1:58" s="15" customFormat="1" ht="15" thickBot="1" x14ac:dyDescent="0.35">
      <c r="A10" s="63">
        <v>8</v>
      </c>
      <c r="B10" s="63" t="s">
        <v>829</v>
      </c>
      <c r="C10" s="63" t="s">
        <v>840</v>
      </c>
      <c r="D10" s="64" t="s">
        <v>1084</v>
      </c>
      <c r="E10" s="63" t="s">
        <v>828</v>
      </c>
      <c r="F10" s="63"/>
      <c r="G10" s="63">
        <v>20</v>
      </c>
      <c r="H10" s="63">
        <f t="shared" si="0"/>
        <v>293.14999999999998</v>
      </c>
      <c r="I10" s="709">
        <f t="shared" si="1"/>
        <v>14.167030000755094</v>
      </c>
      <c r="J10" s="815">
        <v>19.05</v>
      </c>
      <c r="K10" s="63"/>
      <c r="L10" s="63"/>
      <c r="M10" s="63"/>
      <c r="N10" s="63"/>
      <c r="O10" s="63"/>
      <c r="P10" s="63"/>
      <c r="Q10" s="226"/>
      <c r="R10" s="226"/>
      <c r="S10" s="226"/>
      <c r="T10" s="63"/>
      <c r="U10" s="63"/>
      <c r="V10" s="63"/>
      <c r="W10" s="65"/>
      <c r="X10" s="65"/>
      <c r="Y10" s="65"/>
      <c r="Z10" s="63">
        <v>7</v>
      </c>
      <c r="AA10" s="63"/>
      <c r="AB10" s="141">
        <v>350</v>
      </c>
      <c r="AC10" s="141" t="s">
        <v>600</v>
      </c>
      <c r="AD10" s="329">
        <f t="shared" si="5"/>
        <v>350</v>
      </c>
      <c r="AE10" s="714">
        <f t="shared" si="3"/>
        <v>1.3245729939590262E-8</v>
      </c>
      <c r="AF10" s="227">
        <f t="shared" si="6"/>
        <v>605.66966476175719</v>
      </c>
      <c r="AG10" s="334">
        <f>AE10</f>
        <v>1.3245729939590262E-8</v>
      </c>
      <c r="AH10" s="331"/>
      <c r="AI10" s="331"/>
      <c r="AJ10" s="65"/>
      <c r="AK10" s="65"/>
      <c r="AL10" s="65"/>
      <c r="AM10" s="63"/>
      <c r="AN10" s="63"/>
      <c r="AO10" s="63"/>
      <c r="AP10" s="63"/>
      <c r="AQ10" s="63"/>
      <c r="AR10" s="63"/>
      <c r="AS10" s="226"/>
      <c r="AT10" s="226"/>
      <c r="AU10" s="226"/>
      <c r="AV10" s="63"/>
      <c r="AW10" s="63"/>
      <c r="AX10" s="63"/>
      <c r="AY10" s="63"/>
      <c r="AZ10" s="63"/>
      <c r="BA10" s="63"/>
      <c r="BB10" s="191"/>
      <c r="BC10" s="191"/>
      <c r="BD10" s="191"/>
      <c r="BE10" s="63"/>
      <c r="BF10" s="63"/>
    </row>
    <row r="11" spans="1:58" s="15" customFormat="1" ht="15" thickBot="1" x14ac:dyDescent="0.35">
      <c r="A11" s="63">
        <v>9</v>
      </c>
      <c r="B11" s="63" t="s">
        <v>830</v>
      </c>
      <c r="C11" s="63" t="s">
        <v>837</v>
      </c>
      <c r="D11" s="64" t="s">
        <v>1084</v>
      </c>
      <c r="E11" s="63" t="s">
        <v>828</v>
      </c>
      <c r="F11" s="63"/>
      <c r="G11" s="63">
        <v>20</v>
      </c>
      <c r="H11" s="63">
        <f t="shared" si="0"/>
        <v>293.14999999999998</v>
      </c>
      <c r="I11" s="709">
        <f t="shared" si="1"/>
        <v>14.167030000755094</v>
      </c>
      <c r="J11" s="815">
        <v>19.05</v>
      </c>
      <c r="K11" s="63"/>
      <c r="L11" s="63"/>
      <c r="M11" s="63"/>
      <c r="N11" s="63"/>
      <c r="O11" s="63"/>
      <c r="P11" s="63"/>
      <c r="Q11" s="226"/>
      <c r="R11" s="226"/>
      <c r="S11" s="226"/>
      <c r="T11" s="63"/>
      <c r="U11" s="63"/>
      <c r="V11" s="63"/>
      <c r="W11" s="65"/>
      <c r="X11" s="65"/>
      <c r="Y11" s="65"/>
      <c r="Z11" s="63">
        <v>7</v>
      </c>
      <c r="AA11" s="63"/>
      <c r="AB11" s="141">
        <v>5.5</v>
      </c>
      <c r="AC11" s="141" t="s">
        <v>600</v>
      </c>
      <c r="AD11" s="329">
        <f t="shared" si="5"/>
        <v>5.5</v>
      </c>
      <c r="AE11" s="714">
        <f t="shared" si="3"/>
        <v>8.4291008706483473E-7</v>
      </c>
      <c r="AF11" s="227">
        <f t="shared" si="6"/>
        <v>9.5176661605419</v>
      </c>
      <c r="AG11" s="334">
        <f>AE11</f>
        <v>8.4291008706483473E-7</v>
      </c>
      <c r="AH11" s="331"/>
      <c r="AI11" s="331"/>
      <c r="AJ11" s="65"/>
      <c r="AK11" s="65"/>
      <c r="AL11" s="65"/>
      <c r="AM11" s="63"/>
      <c r="AN11" s="63"/>
      <c r="AO11" s="63"/>
      <c r="AP11" s="63"/>
      <c r="AQ11" s="63"/>
      <c r="AR11" s="63"/>
      <c r="AS11" s="226"/>
      <c r="AT11" s="226"/>
      <c r="AU11" s="226"/>
      <c r="AV11" s="63"/>
      <c r="AW11" s="63"/>
      <c r="AX11" s="63"/>
      <c r="AY11" s="63"/>
      <c r="AZ11" s="63"/>
      <c r="BA11" s="63"/>
      <c r="BB11" s="191"/>
      <c r="BC11" s="191"/>
      <c r="BD11" s="191"/>
      <c r="BE11" s="63"/>
      <c r="BF11" s="63"/>
    </row>
    <row r="12" spans="1:58" s="15" customFormat="1" ht="15" thickBot="1" x14ac:dyDescent="0.35">
      <c r="A12" s="63">
        <v>10</v>
      </c>
      <c r="B12" s="63" t="s">
        <v>831</v>
      </c>
      <c r="C12" s="63" t="s">
        <v>841</v>
      </c>
      <c r="D12" s="64" t="s">
        <v>1084</v>
      </c>
      <c r="E12" s="63" t="s">
        <v>828</v>
      </c>
      <c r="F12" s="63"/>
      <c r="G12" s="63">
        <v>20</v>
      </c>
      <c r="H12" s="63">
        <f t="shared" si="0"/>
        <v>293.14999999999998</v>
      </c>
      <c r="I12" s="709">
        <f t="shared" si="1"/>
        <v>14.167030000755094</v>
      </c>
      <c r="J12" s="815">
        <v>19.05</v>
      </c>
      <c r="K12" s="63"/>
      <c r="L12" s="63"/>
      <c r="M12" s="63"/>
      <c r="N12" s="63"/>
      <c r="O12" s="63"/>
      <c r="P12" s="63"/>
      <c r="Q12" s="226"/>
      <c r="R12" s="226"/>
      <c r="S12" s="226"/>
      <c r="T12" s="63"/>
      <c r="U12" s="63"/>
      <c r="V12" s="63"/>
      <c r="W12" s="65"/>
      <c r="X12" s="65"/>
      <c r="Y12" s="65"/>
      <c r="Z12" s="63">
        <v>7</v>
      </c>
      <c r="AA12" s="63"/>
      <c r="AB12" s="141">
        <v>300</v>
      </c>
      <c r="AC12" s="141" t="s">
        <v>600</v>
      </c>
      <c r="AD12" s="329">
        <f t="shared" si="5"/>
        <v>300</v>
      </c>
      <c r="AE12" s="714">
        <f t="shared" si="3"/>
        <v>1.5453351596188635E-8</v>
      </c>
      <c r="AF12" s="227">
        <f t="shared" si="6"/>
        <v>519.14542693864917</v>
      </c>
      <c r="AG12" s="334">
        <f>AE12</f>
        <v>1.5453351596188635E-8</v>
      </c>
      <c r="AH12" s="331"/>
      <c r="AI12" s="331"/>
      <c r="AJ12" s="65"/>
      <c r="AK12" s="65"/>
      <c r="AL12" s="65"/>
      <c r="AM12" s="63"/>
      <c r="AN12" s="63"/>
      <c r="AO12" s="63"/>
      <c r="AP12" s="63"/>
      <c r="AQ12" s="63"/>
      <c r="AR12" s="63"/>
      <c r="AS12" s="226"/>
      <c r="AT12" s="226"/>
      <c r="AU12" s="226"/>
      <c r="AV12" s="63"/>
      <c r="AW12" s="63"/>
      <c r="AX12" s="63"/>
      <c r="AY12" s="63"/>
      <c r="AZ12" s="63"/>
      <c r="BA12" s="63"/>
      <c r="BB12" s="191"/>
      <c r="BC12" s="191"/>
      <c r="BD12" s="191"/>
      <c r="BE12" s="63"/>
      <c r="BF12" s="63"/>
    </row>
    <row r="13" spans="1:58" x14ac:dyDescent="0.3">
      <c r="A13" s="151">
        <v>11</v>
      </c>
      <c r="B13" s="31" t="s">
        <v>832</v>
      </c>
      <c r="C13" s="31" t="s">
        <v>842</v>
      </c>
      <c r="D13" s="32" t="s">
        <v>1084</v>
      </c>
      <c r="E13" s="31" t="s">
        <v>828</v>
      </c>
      <c r="G13" s="31">
        <v>20</v>
      </c>
      <c r="H13" s="50">
        <f t="shared" si="0"/>
        <v>293.14999999999998</v>
      </c>
      <c r="I13" s="707">
        <f t="shared" si="1"/>
        <v>14.167030000755094</v>
      </c>
      <c r="J13" s="813">
        <v>19.05</v>
      </c>
      <c r="Q13" s="208"/>
      <c r="R13" s="208"/>
      <c r="S13" s="208"/>
      <c r="Z13" s="31">
        <v>7</v>
      </c>
      <c r="AB13" s="31" t="s">
        <v>835</v>
      </c>
      <c r="AC13" s="147" t="s">
        <v>600</v>
      </c>
      <c r="AD13" s="327" t="str">
        <f t="shared" si="5"/>
        <v>&gt;350</v>
      </c>
      <c r="AE13" s="711"/>
      <c r="AF13" s="222"/>
      <c r="AG13" s="253"/>
      <c r="AH13" s="29"/>
      <c r="AI13" s="29"/>
      <c r="AS13" s="208"/>
      <c r="AT13" s="208"/>
      <c r="AU13" s="208"/>
    </row>
    <row r="14" spans="1:58" ht="15" thickBot="1" x14ac:dyDescent="0.35">
      <c r="E14" s="320" t="s">
        <v>836</v>
      </c>
      <c r="G14" s="31">
        <v>20</v>
      </c>
      <c r="H14" s="50">
        <f t="shared" si="0"/>
        <v>293.14999999999998</v>
      </c>
      <c r="I14" s="707">
        <f t="shared" si="1"/>
        <v>14.167030000755094</v>
      </c>
      <c r="J14" s="813">
        <v>19.05</v>
      </c>
      <c r="Q14" s="208"/>
      <c r="R14" s="208"/>
      <c r="S14" s="208"/>
      <c r="Z14" s="31">
        <v>7</v>
      </c>
      <c r="AB14" s="31">
        <f>(150+500)/2</f>
        <v>325</v>
      </c>
      <c r="AC14" s="147" t="s">
        <v>600</v>
      </c>
      <c r="AD14" s="327">
        <f t="shared" si="5"/>
        <v>325</v>
      </c>
      <c r="AE14" s="711">
        <f t="shared" si="3"/>
        <v>1.4264632242635661E-8</v>
      </c>
      <c r="AF14" s="222">
        <f t="shared" si="6"/>
        <v>562.40754585020329</v>
      </c>
      <c r="AG14" s="253">
        <f>AE14</f>
        <v>1.4264632242635661E-8</v>
      </c>
      <c r="AH14" s="29"/>
      <c r="AI14" s="29"/>
      <c r="AS14" s="208"/>
      <c r="AT14" s="208"/>
      <c r="AU14" s="208"/>
    </row>
    <row r="15" spans="1:58" s="15" customFormat="1" ht="15" thickBot="1" x14ac:dyDescent="0.35">
      <c r="A15" s="63">
        <v>12</v>
      </c>
      <c r="B15" s="63" t="s">
        <v>833</v>
      </c>
      <c r="C15" s="63" t="s">
        <v>843</v>
      </c>
      <c r="D15" s="64" t="s">
        <v>1084</v>
      </c>
      <c r="E15" s="63" t="s">
        <v>828</v>
      </c>
      <c r="F15" s="63"/>
      <c r="G15" s="63">
        <v>20</v>
      </c>
      <c r="H15" s="63">
        <f t="shared" si="0"/>
        <v>293.14999999999998</v>
      </c>
      <c r="I15" s="709">
        <f t="shared" si="1"/>
        <v>14.167030000755094</v>
      </c>
      <c r="J15" s="815">
        <v>19.05</v>
      </c>
      <c r="K15" s="63"/>
      <c r="L15" s="63"/>
      <c r="M15" s="63"/>
      <c r="N15" s="63"/>
      <c r="O15" s="63"/>
      <c r="P15" s="63"/>
      <c r="Q15" s="226"/>
      <c r="R15" s="226"/>
      <c r="S15" s="226"/>
      <c r="T15" s="63"/>
      <c r="U15" s="63"/>
      <c r="V15" s="63"/>
      <c r="W15" s="65"/>
      <c r="X15" s="65"/>
      <c r="Y15" s="65"/>
      <c r="Z15" s="63">
        <v>7</v>
      </c>
      <c r="AA15" s="63"/>
      <c r="AB15" s="63" t="s">
        <v>835</v>
      </c>
      <c r="AC15" s="141" t="s">
        <v>600</v>
      </c>
      <c r="AD15" s="329" t="str">
        <f t="shared" si="5"/>
        <v>&gt;350</v>
      </c>
      <c r="AE15" s="714"/>
      <c r="AF15" s="227"/>
      <c r="AG15" s="334"/>
      <c r="AH15" s="331"/>
      <c r="AI15" s="331"/>
      <c r="AJ15" s="65"/>
      <c r="AK15" s="65"/>
      <c r="AL15" s="65"/>
      <c r="AM15" s="63"/>
      <c r="AN15" s="63"/>
      <c r="AO15" s="63"/>
      <c r="AP15" s="63"/>
      <c r="AQ15" s="63"/>
      <c r="AR15" s="63"/>
      <c r="AS15" s="226"/>
      <c r="AT15" s="226"/>
      <c r="AU15" s="226"/>
      <c r="AV15" s="63"/>
      <c r="AW15" s="63"/>
      <c r="AX15" s="63"/>
      <c r="AY15" s="63"/>
      <c r="AZ15" s="63"/>
      <c r="BA15" s="63"/>
      <c r="BB15" s="191"/>
      <c r="BC15" s="191"/>
      <c r="BD15" s="191"/>
      <c r="BE15" s="63"/>
      <c r="BF15" s="63"/>
    </row>
    <row r="16" spans="1:58" s="15" customFormat="1" ht="15" thickBot="1" x14ac:dyDescent="0.35">
      <c r="A16" s="63">
        <v>13</v>
      </c>
      <c r="B16" s="63" t="s">
        <v>834</v>
      </c>
      <c r="C16" s="63" t="s">
        <v>844</v>
      </c>
      <c r="D16" s="64"/>
      <c r="E16" s="63" t="s">
        <v>828</v>
      </c>
      <c r="F16" s="63"/>
      <c r="G16" s="63">
        <v>20</v>
      </c>
      <c r="H16" s="63">
        <f t="shared" si="0"/>
        <v>293.14999999999998</v>
      </c>
      <c r="I16" s="709">
        <f t="shared" si="1"/>
        <v>14.167030000755094</v>
      </c>
      <c r="J16" s="815">
        <v>19.05</v>
      </c>
      <c r="K16" s="63"/>
      <c r="L16" s="63"/>
      <c r="M16" s="63"/>
      <c r="N16" s="63"/>
      <c r="O16" s="63"/>
      <c r="P16" s="63"/>
      <c r="Q16" s="226"/>
      <c r="R16" s="226"/>
      <c r="S16" s="226"/>
      <c r="T16" s="63"/>
      <c r="U16" s="63"/>
      <c r="V16" s="63"/>
      <c r="W16" s="65"/>
      <c r="X16" s="65"/>
      <c r="Y16" s="65"/>
      <c r="Z16" s="63">
        <v>7</v>
      </c>
      <c r="AA16" s="63"/>
      <c r="AB16" s="63">
        <v>6</v>
      </c>
      <c r="AC16" s="141" t="s">
        <v>600</v>
      </c>
      <c r="AD16" s="329">
        <f t="shared" si="5"/>
        <v>6</v>
      </c>
      <c r="AE16" s="714">
        <f t="shared" si="3"/>
        <v>7.7266757980943194E-7</v>
      </c>
      <c r="AF16" s="227">
        <f t="shared" si="6"/>
        <v>10.38290853877298</v>
      </c>
      <c r="AG16" s="334">
        <f>AE16</f>
        <v>7.7266757980943194E-7</v>
      </c>
      <c r="AH16" s="331"/>
      <c r="AI16" s="331"/>
      <c r="AJ16" s="65"/>
      <c r="AK16" s="65"/>
      <c r="AL16" s="65"/>
      <c r="AM16" s="63"/>
      <c r="AN16" s="63"/>
      <c r="AO16" s="63"/>
      <c r="AP16" s="63"/>
      <c r="AQ16" s="63"/>
      <c r="AR16" s="63"/>
      <c r="AS16" s="226"/>
      <c r="AT16" s="226"/>
      <c r="AU16" s="226"/>
      <c r="AV16" s="63"/>
      <c r="AW16" s="63"/>
      <c r="AX16" s="63"/>
      <c r="AY16" s="63"/>
      <c r="AZ16" s="63"/>
      <c r="BA16" s="63"/>
      <c r="BB16" s="191"/>
      <c r="BC16" s="191"/>
      <c r="BD16" s="191"/>
      <c r="BE16" s="63"/>
      <c r="BF16" s="63"/>
    </row>
    <row r="17" spans="1:83" x14ac:dyDescent="0.3">
      <c r="I17" s="238"/>
      <c r="Q17" s="208"/>
      <c r="R17" s="208"/>
      <c r="S17" s="208"/>
      <c r="AD17" s="260"/>
      <c r="AE17" s="654"/>
      <c r="AF17" s="215"/>
      <c r="AG17" s="253"/>
      <c r="AH17" s="29"/>
      <c r="AI17" s="29"/>
      <c r="AS17" s="208"/>
      <c r="AT17" s="208"/>
      <c r="AU17" s="208"/>
    </row>
    <row r="18" spans="1:83" s="6" customFormat="1" x14ac:dyDescent="0.3">
      <c r="A18" s="31">
        <v>14</v>
      </c>
      <c r="B18" s="31" t="s">
        <v>845</v>
      </c>
      <c r="C18" s="31" t="s">
        <v>846</v>
      </c>
      <c r="D18" s="32" t="s">
        <v>1084</v>
      </c>
      <c r="E18" s="31" t="s">
        <v>847</v>
      </c>
      <c r="F18" s="31" t="s">
        <v>848</v>
      </c>
      <c r="G18" s="31">
        <v>4.6159999999999997</v>
      </c>
      <c r="H18" s="31">
        <f t="shared" ref="H18:H27" si="7">G18+273.15</f>
        <v>277.76599999999996</v>
      </c>
      <c r="I18" s="219">
        <f t="shared" ref="I18:I27" si="8">-LOG10(EXP(LN(10^-14)+13.36*(1/298.15-1/H18)/0.0019872))</f>
        <v>14.718662035526387</v>
      </c>
      <c r="J18" s="31">
        <v>20.209</v>
      </c>
      <c r="K18" s="31"/>
      <c r="L18" s="31"/>
      <c r="M18" s="129"/>
      <c r="N18" s="31"/>
      <c r="O18" s="85"/>
      <c r="P18" s="85"/>
      <c r="Q18" s="208"/>
      <c r="R18" s="208"/>
      <c r="S18" s="208"/>
      <c r="T18" s="29"/>
      <c r="U18" s="29"/>
      <c r="V18" s="29"/>
      <c r="W18" s="40"/>
      <c r="X18" s="40"/>
      <c r="Y18" s="40"/>
      <c r="Z18" s="31">
        <v>7</v>
      </c>
      <c r="AA18" s="31"/>
      <c r="AB18" s="103">
        <v>47330</v>
      </c>
      <c r="AC18" s="31" t="s">
        <v>600</v>
      </c>
      <c r="AD18" s="327">
        <f t="shared" ref="AD18:AD45" si="9">AB18</f>
        <v>47330</v>
      </c>
      <c r="AE18" s="711">
        <f t="shared" si="3"/>
        <v>1.3870473955955832E-11</v>
      </c>
      <c r="AF18" s="222">
        <f t="shared" ref="AF18:AF45" si="10">EXP(LN(AD18)+$J18*(1/$H18-1/298.15)/0.0019872)</f>
        <v>578389.52277413802</v>
      </c>
      <c r="AG18" s="253">
        <f>AVERAGE(AE18:AE27)</f>
        <v>1.1298491843828912E-11</v>
      </c>
      <c r="AH18" s="184">
        <f>MEDIAN(AE18:AE27)</f>
        <v>1.1105190592452292E-11</v>
      </c>
      <c r="AI18" s="29">
        <f>STDEV(AE18:AE27)</f>
        <v>1.1686143557847173E-12</v>
      </c>
      <c r="AJ18" s="40"/>
      <c r="AK18" s="40"/>
      <c r="AL18" s="40"/>
      <c r="AM18" s="31"/>
      <c r="AN18" s="31"/>
      <c r="AO18" s="31"/>
      <c r="AP18" s="31"/>
      <c r="AQ18" s="40"/>
      <c r="AR18" s="40"/>
      <c r="AS18" s="208"/>
      <c r="AT18" s="208"/>
      <c r="AU18" s="208"/>
      <c r="AV18" s="40"/>
      <c r="AW18" s="40"/>
      <c r="AX18" s="40"/>
      <c r="AY18" s="40"/>
      <c r="AZ18" s="40"/>
      <c r="BA18" s="40"/>
      <c r="BB18" s="185"/>
      <c r="BC18" s="185"/>
      <c r="BD18" s="185"/>
      <c r="BE18" s="40"/>
      <c r="BF18" s="40"/>
      <c r="BG18" s="5"/>
      <c r="BH18" s="5"/>
      <c r="BI18" s="5"/>
      <c r="BJ18" s="5"/>
      <c r="BK18" s="5"/>
      <c r="BL18" s="5"/>
      <c r="BM18" s="5"/>
      <c r="BN18" s="5"/>
      <c r="BO18" s="5"/>
      <c r="BP18" s="5"/>
      <c r="BQ18" s="5"/>
      <c r="BR18" s="5"/>
      <c r="BS18" s="5"/>
      <c r="BT18" s="5"/>
      <c r="BU18" s="5"/>
      <c r="BV18" s="5"/>
      <c r="BW18" s="5"/>
      <c r="BX18" s="5"/>
      <c r="BY18" s="5"/>
      <c r="BZ18" s="5"/>
      <c r="CA18" s="5"/>
      <c r="CB18" s="5"/>
      <c r="CC18" s="5"/>
      <c r="CD18" s="5"/>
      <c r="CE18" s="5"/>
    </row>
    <row r="19" spans="1:83" s="6" customFormat="1" x14ac:dyDescent="0.3">
      <c r="A19" s="31"/>
      <c r="B19" s="31"/>
      <c r="C19" s="31"/>
      <c r="D19" s="32"/>
      <c r="E19" s="31"/>
      <c r="F19" s="31"/>
      <c r="G19" s="31">
        <v>20.053000000000001</v>
      </c>
      <c r="H19" s="31">
        <f t="shared" si="7"/>
        <v>293.20299999999997</v>
      </c>
      <c r="I19" s="219">
        <f t="shared" si="8"/>
        <v>14.165229610090309</v>
      </c>
      <c r="J19" s="31">
        <v>20.209</v>
      </c>
      <c r="K19" s="31"/>
      <c r="L19" s="31"/>
      <c r="M19" s="129"/>
      <c r="N19" s="31"/>
      <c r="O19" s="85"/>
      <c r="P19" s="85"/>
      <c r="Q19" s="208"/>
      <c r="R19" s="208"/>
      <c r="S19" s="208"/>
      <c r="T19" s="29"/>
      <c r="U19" s="29"/>
      <c r="V19" s="29"/>
      <c r="W19" s="40"/>
      <c r="X19" s="40"/>
      <c r="Y19" s="40"/>
      <c r="Z19" s="31">
        <v>7</v>
      </c>
      <c r="AA19" s="31"/>
      <c r="AB19" s="103">
        <v>457800</v>
      </c>
      <c r="AC19" s="31" t="s">
        <v>600</v>
      </c>
      <c r="AD19" s="327">
        <f t="shared" si="9"/>
        <v>457800</v>
      </c>
      <c r="AE19" s="711">
        <f t="shared" si="3"/>
        <v>9.8560162303761446E-12</v>
      </c>
      <c r="AF19" s="222">
        <f t="shared" si="10"/>
        <v>813973.57964072993</v>
      </c>
      <c r="AG19" s="253"/>
      <c r="AH19" s="29"/>
      <c r="AI19" s="29"/>
      <c r="AJ19" s="40"/>
      <c r="AK19" s="40"/>
      <c r="AL19" s="40"/>
      <c r="AM19" s="31"/>
      <c r="AN19" s="31"/>
      <c r="AO19" s="31"/>
      <c r="AP19" s="31"/>
      <c r="AQ19" s="40"/>
      <c r="AR19" s="40"/>
      <c r="AS19" s="208"/>
      <c r="AT19" s="208"/>
      <c r="AU19" s="208"/>
      <c r="AV19" s="40"/>
      <c r="AW19" s="40"/>
      <c r="AX19" s="40"/>
      <c r="AY19" s="40"/>
      <c r="AZ19" s="40"/>
      <c r="BA19" s="40"/>
      <c r="BB19" s="185"/>
      <c r="BC19" s="185"/>
      <c r="BD19" s="185"/>
      <c r="BE19" s="40"/>
      <c r="BF19" s="40"/>
      <c r="BG19" s="5"/>
      <c r="BH19" s="5"/>
      <c r="BI19" s="5"/>
      <c r="BJ19" s="5"/>
      <c r="BK19" s="5"/>
      <c r="BL19" s="5"/>
      <c r="BM19" s="5"/>
      <c r="BN19" s="5"/>
      <c r="BO19" s="5"/>
      <c r="BP19" s="5"/>
      <c r="BQ19" s="5"/>
      <c r="BR19" s="5"/>
      <c r="BS19" s="5"/>
      <c r="BT19" s="5"/>
      <c r="BU19" s="5"/>
      <c r="BV19" s="5"/>
      <c r="BW19" s="5"/>
      <c r="BX19" s="5"/>
      <c r="BY19" s="5"/>
      <c r="BZ19" s="5"/>
      <c r="CA19" s="5"/>
      <c r="CB19" s="5"/>
      <c r="CC19" s="5"/>
      <c r="CD19" s="5"/>
      <c r="CE19" s="5"/>
    </row>
    <row r="20" spans="1:83" s="6" customFormat="1" x14ac:dyDescent="0.3">
      <c r="A20" s="31"/>
      <c r="B20" s="31"/>
      <c r="C20" s="31"/>
      <c r="D20" s="32"/>
      <c r="E20" s="31"/>
      <c r="F20" s="31"/>
      <c r="G20" s="31">
        <v>18.148</v>
      </c>
      <c r="H20" s="31">
        <f t="shared" si="7"/>
        <v>291.298</v>
      </c>
      <c r="I20" s="219">
        <f t="shared" si="8"/>
        <v>14.230353188851778</v>
      </c>
      <c r="J20" s="31">
        <v>20.209</v>
      </c>
      <c r="K20" s="31"/>
      <c r="L20" s="31"/>
      <c r="M20" s="129"/>
      <c r="N20" s="31"/>
      <c r="O20" s="85"/>
      <c r="P20" s="85"/>
      <c r="Q20" s="208"/>
      <c r="R20" s="208"/>
      <c r="S20" s="208"/>
      <c r="T20" s="29"/>
      <c r="U20" s="29"/>
      <c r="V20" s="29"/>
      <c r="W20" s="40"/>
      <c r="X20" s="40"/>
      <c r="Y20" s="40"/>
      <c r="Z20" s="31">
        <v>7</v>
      </c>
      <c r="AA20" s="31"/>
      <c r="AB20" s="103">
        <v>353100</v>
      </c>
      <c r="AC20" s="31" t="s">
        <v>600</v>
      </c>
      <c r="AD20" s="327">
        <f t="shared" si="9"/>
        <v>353100</v>
      </c>
      <c r="AE20" s="711">
        <f t="shared" si="3"/>
        <v>1.0185217764717966E-11</v>
      </c>
      <c r="AF20" s="222">
        <f t="shared" si="10"/>
        <v>787664.731119134</v>
      </c>
      <c r="AG20" s="253"/>
      <c r="AH20" s="29"/>
      <c r="AI20" s="29"/>
      <c r="AJ20" s="40"/>
      <c r="AK20" s="40"/>
      <c r="AL20" s="40"/>
      <c r="AM20" s="31"/>
      <c r="AN20" s="31"/>
      <c r="AO20" s="31"/>
      <c r="AP20" s="31"/>
      <c r="AQ20" s="40"/>
      <c r="AR20" s="40"/>
      <c r="AS20" s="208"/>
      <c r="AT20" s="208"/>
      <c r="AU20" s="208"/>
      <c r="AV20" s="40"/>
      <c r="AW20" s="40"/>
      <c r="AX20" s="40"/>
      <c r="AY20" s="40"/>
      <c r="AZ20" s="40"/>
      <c r="BA20" s="40"/>
      <c r="BB20" s="185"/>
      <c r="BC20" s="185"/>
      <c r="BD20" s="185"/>
      <c r="BE20" s="40"/>
      <c r="BF20" s="40"/>
      <c r="BG20" s="5"/>
      <c r="BH20" s="5"/>
      <c r="BI20" s="5"/>
      <c r="BJ20" s="5"/>
      <c r="BK20" s="5"/>
      <c r="BL20" s="5"/>
      <c r="BM20" s="5"/>
      <c r="BN20" s="5"/>
      <c r="BO20" s="5"/>
      <c r="BP20" s="5"/>
      <c r="BQ20" s="5"/>
      <c r="BR20" s="5"/>
      <c r="BS20" s="5"/>
      <c r="BT20" s="5"/>
      <c r="BU20" s="5"/>
      <c r="BV20" s="5"/>
      <c r="BW20" s="5"/>
      <c r="BX20" s="5"/>
      <c r="BY20" s="5"/>
      <c r="BZ20" s="5"/>
      <c r="CA20" s="5"/>
      <c r="CB20" s="5"/>
      <c r="CC20" s="5"/>
      <c r="CD20" s="5"/>
      <c r="CE20" s="5"/>
    </row>
    <row r="21" spans="1:83" s="6" customFormat="1" x14ac:dyDescent="0.3">
      <c r="A21" s="31"/>
      <c r="B21" s="31"/>
      <c r="C21" s="31"/>
      <c r="D21" s="32"/>
      <c r="E21" s="31"/>
      <c r="F21" s="31"/>
      <c r="G21" s="31">
        <v>16.498000000000001</v>
      </c>
      <c r="H21" s="31">
        <f t="shared" si="7"/>
        <v>289.64799999999997</v>
      </c>
      <c r="I21" s="219">
        <f t="shared" si="8"/>
        <v>14.287451741300451</v>
      </c>
      <c r="J21" s="31">
        <v>20.209</v>
      </c>
      <c r="K21" s="31"/>
      <c r="L21" s="31"/>
      <c r="M21" s="129"/>
      <c r="N21" s="31"/>
      <c r="O21" s="85"/>
      <c r="P21" s="85"/>
      <c r="Q21" s="208"/>
      <c r="R21" s="208"/>
      <c r="S21" s="208"/>
      <c r="T21" s="29"/>
      <c r="U21" s="29"/>
      <c r="V21" s="29"/>
      <c r="W21" s="40"/>
      <c r="X21" s="40"/>
      <c r="Y21" s="40"/>
      <c r="Z21" s="31">
        <v>7</v>
      </c>
      <c r="AA21" s="31"/>
      <c r="AB21" s="103">
        <v>280000</v>
      </c>
      <c r="AC21" s="31" t="s">
        <v>600</v>
      </c>
      <c r="AD21" s="327">
        <f t="shared" si="9"/>
        <v>280000</v>
      </c>
      <c r="AE21" s="711">
        <f t="shared" si="3"/>
        <v>1.0527855049211336E-11</v>
      </c>
      <c r="AF21" s="222">
        <f t="shared" si="10"/>
        <v>762029.56580765126</v>
      </c>
      <c r="AG21" s="253"/>
      <c r="AH21" s="29"/>
      <c r="AI21" s="29"/>
      <c r="AJ21" s="40"/>
      <c r="AK21" s="40"/>
      <c r="AL21" s="40"/>
      <c r="AM21" s="31"/>
      <c r="AN21" s="31"/>
      <c r="AO21" s="31"/>
      <c r="AP21" s="31"/>
      <c r="AQ21" s="40"/>
      <c r="AR21" s="40"/>
      <c r="AS21" s="208"/>
      <c r="AT21" s="208"/>
      <c r="AU21" s="208"/>
      <c r="AV21" s="40"/>
      <c r="AW21" s="40"/>
      <c r="AX21" s="40"/>
      <c r="AY21" s="40"/>
      <c r="AZ21" s="40"/>
      <c r="BA21" s="40"/>
      <c r="BB21" s="185"/>
      <c r="BC21" s="185"/>
      <c r="BD21" s="185"/>
      <c r="BE21" s="40"/>
      <c r="BF21" s="40"/>
      <c r="BG21" s="5"/>
      <c r="BH21" s="5"/>
      <c r="BI21" s="5"/>
      <c r="BJ21" s="5"/>
      <c r="BK21" s="5"/>
      <c r="BL21" s="5"/>
      <c r="BM21" s="5"/>
      <c r="BN21" s="5"/>
      <c r="BO21" s="5"/>
      <c r="BP21" s="5"/>
      <c r="BQ21" s="5"/>
      <c r="BR21" s="5"/>
      <c r="BS21" s="5"/>
      <c r="BT21" s="5"/>
      <c r="BU21" s="5"/>
      <c r="BV21" s="5"/>
      <c r="BW21" s="5"/>
      <c r="BX21" s="5"/>
      <c r="BY21" s="5"/>
      <c r="BZ21" s="5"/>
      <c r="CA21" s="5"/>
      <c r="CB21" s="5"/>
      <c r="CC21" s="5"/>
      <c r="CD21" s="5"/>
      <c r="CE21" s="5"/>
    </row>
    <row r="22" spans="1:83" s="6" customFormat="1" x14ac:dyDescent="0.3">
      <c r="A22" s="31"/>
      <c r="B22" s="31"/>
      <c r="C22" s="31"/>
      <c r="D22" s="32"/>
      <c r="E22" s="31"/>
      <c r="F22" s="31"/>
      <c r="G22" s="31">
        <v>15.41</v>
      </c>
      <c r="H22" s="31">
        <f t="shared" si="7"/>
        <v>288.56</v>
      </c>
      <c r="I22" s="219">
        <f t="shared" si="8"/>
        <v>14.325459426724285</v>
      </c>
      <c r="J22" s="31">
        <v>20.209</v>
      </c>
      <c r="K22" s="31"/>
      <c r="L22" s="31"/>
      <c r="M22" s="129"/>
      <c r="N22" s="31"/>
      <c r="O22" s="85"/>
      <c r="P22" s="85"/>
      <c r="Q22" s="208"/>
      <c r="R22" s="208"/>
      <c r="S22" s="208"/>
      <c r="T22" s="29"/>
      <c r="U22" s="29"/>
      <c r="V22" s="29"/>
      <c r="W22" s="40"/>
      <c r="X22" s="40"/>
      <c r="Y22" s="40"/>
      <c r="Z22" s="31">
        <v>7</v>
      </c>
      <c r="AA22" s="31"/>
      <c r="AB22" s="103">
        <v>241800</v>
      </c>
      <c r="AC22" s="31" t="s">
        <v>600</v>
      </c>
      <c r="AD22" s="327">
        <f t="shared" si="9"/>
        <v>241800</v>
      </c>
      <c r="AE22" s="711">
        <f t="shared" si="3"/>
        <v>1.0679460595635769E-11</v>
      </c>
      <c r="AF22" s="222">
        <f t="shared" si="10"/>
        <v>751211.79952804593</v>
      </c>
      <c r="AG22" s="253"/>
      <c r="AH22" s="29"/>
      <c r="AI22" s="29"/>
      <c r="AJ22" s="40"/>
      <c r="AK22" s="40"/>
      <c r="AL22" s="40"/>
      <c r="AM22" s="31"/>
      <c r="AN22" s="31"/>
      <c r="AO22" s="31"/>
      <c r="AP22" s="31"/>
      <c r="AQ22" s="40"/>
      <c r="AR22" s="40"/>
      <c r="AS22" s="208"/>
      <c r="AT22" s="208"/>
      <c r="AU22" s="208"/>
      <c r="AV22" s="40"/>
      <c r="AW22" s="40"/>
      <c r="AX22" s="40"/>
      <c r="AY22" s="40"/>
      <c r="AZ22" s="40"/>
      <c r="BA22" s="40"/>
      <c r="BB22" s="185"/>
      <c r="BC22" s="185"/>
      <c r="BD22" s="185"/>
      <c r="BE22" s="40"/>
      <c r="BF22" s="40"/>
      <c r="BG22" s="5"/>
      <c r="BH22" s="5"/>
      <c r="BI22" s="5"/>
      <c r="BJ22" s="5"/>
      <c r="BK22" s="5"/>
      <c r="BL22" s="5"/>
      <c r="BM22" s="5"/>
      <c r="BN22" s="5"/>
      <c r="BO22" s="5"/>
      <c r="BP22" s="5"/>
      <c r="BQ22" s="5"/>
      <c r="BR22" s="5"/>
      <c r="BS22" s="5"/>
      <c r="BT22" s="5"/>
      <c r="BU22" s="5"/>
      <c r="BV22" s="5"/>
      <c r="BW22" s="5"/>
      <c r="BX22" s="5"/>
      <c r="BY22" s="5"/>
      <c r="BZ22" s="5"/>
      <c r="CA22" s="5"/>
      <c r="CB22" s="5"/>
      <c r="CC22" s="5"/>
      <c r="CD22" s="5"/>
      <c r="CE22" s="5"/>
    </row>
    <row r="23" spans="1:83" s="6" customFormat="1" x14ac:dyDescent="0.3">
      <c r="A23" s="31"/>
      <c r="B23" s="31"/>
      <c r="C23" s="31"/>
      <c r="D23" s="32"/>
      <c r="E23" s="31"/>
      <c r="F23" s="31"/>
      <c r="G23" s="31">
        <v>14.244999999999999</v>
      </c>
      <c r="H23" s="31">
        <f t="shared" si="7"/>
        <v>287.39499999999998</v>
      </c>
      <c r="I23" s="219">
        <f t="shared" si="8"/>
        <v>14.366476038190072</v>
      </c>
      <c r="J23" s="31">
        <v>20.209</v>
      </c>
      <c r="K23" s="31"/>
      <c r="L23" s="31"/>
      <c r="M23" s="129"/>
      <c r="N23" s="31"/>
      <c r="O23" s="85"/>
      <c r="P23" s="85"/>
      <c r="Q23" s="208"/>
      <c r="R23" s="208"/>
      <c r="S23" s="208"/>
      <c r="T23" s="29"/>
      <c r="U23" s="29"/>
      <c r="V23" s="29"/>
      <c r="W23" s="40"/>
      <c r="X23" s="40"/>
      <c r="Y23" s="40"/>
      <c r="Z23" s="31">
        <v>7</v>
      </c>
      <c r="AA23" s="31"/>
      <c r="AB23" s="103">
        <v>203300</v>
      </c>
      <c r="AC23" s="31" t="s">
        <v>600</v>
      </c>
      <c r="AD23" s="327">
        <f t="shared" si="9"/>
        <v>203300</v>
      </c>
      <c r="AE23" s="711">
        <f t="shared" si="3"/>
        <v>1.1010941885416121E-11</v>
      </c>
      <c r="AF23" s="222">
        <f t="shared" si="10"/>
        <v>728596.78086778126</v>
      </c>
      <c r="AG23" s="253"/>
      <c r="AH23" s="29"/>
      <c r="AI23" s="29"/>
      <c r="AJ23" s="40"/>
      <c r="AK23" s="40"/>
      <c r="AL23" s="40"/>
      <c r="AM23" s="31"/>
      <c r="AN23" s="31"/>
      <c r="AO23" s="31"/>
      <c r="AP23" s="31"/>
      <c r="AQ23" s="40"/>
      <c r="AR23" s="40"/>
      <c r="AS23" s="208"/>
      <c r="AT23" s="208"/>
      <c r="AU23" s="208"/>
      <c r="AV23" s="40"/>
      <c r="AW23" s="40"/>
      <c r="AX23" s="40"/>
      <c r="AY23" s="40"/>
      <c r="AZ23" s="40"/>
      <c r="BA23" s="40"/>
      <c r="BB23" s="185"/>
      <c r="BC23" s="185"/>
      <c r="BD23" s="185"/>
      <c r="BE23" s="40"/>
      <c r="BF23" s="40"/>
      <c r="BG23" s="5"/>
      <c r="BH23" s="5"/>
      <c r="BI23" s="5"/>
      <c r="BJ23" s="5"/>
      <c r="BK23" s="5"/>
      <c r="BL23" s="5"/>
      <c r="BM23" s="5"/>
      <c r="BN23" s="5"/>
      <c r="BO23" s="5"/>
      <c r="BP23" s="5"/>
      <c r="BQ23" s="5"/>
      <c r="BR23" s="5"/>
      <c r="BS23" s="5"/>
      <c r="BT23" s="5"/>
      <c r="BU23" s="5"/>
      <c r="BV23" s="5"/>
      <c r="BW23" s="5"/>
      <c r="BX23" s="5"/>
      <c r="BY23" s="5"/>
      <c r="BZ23" s="5"/>
      <c r="CA23" s="5"/>
      <c r="CB23" s="5"/>
      <c r="CC23" s="5"/>
      <c r="CD23" s="5"/>
      <c r="CE23" s="5"/>
    </row>
    <row r="24" spans="1:83" s="6" customFormat="1" x14ac:dyDescent="0.3">
      <c r="A24" s="31"/>
      <c r="B24" s="31"/>
      <c r="C24" s="31"/>
      <c r="D24" s="32"/>
      <c r="E24" s="31"/>
      <c r="F24" s="31"/>
      <c r="G24" s="31">
        <v>13.605</v>
      </c>
      <c r="H24" s="31">
        <f t="shared" si="7"/>
        <v>286.755</v>
      </c>
      <c r="I24" s="219">
        <f t="shared" si="8"/>
        <v>14.389150602849014</v>
      </c>
      <c r="J24" s="31">
        <v>20.209</v>
      </c>
      <c r="K24" s="31"/>
      <c r="L24" s="31"/>
      <c r="M24" s="129"/>
      <c r="N24" s="31"/>
      <c r="O24" s="85"/>
      <c r="P24" s="85"/>
      <c r="Q24" s="208"/>
      <c r="R24" s="208"/>
      <c r="S24" s="208"/>
      <c r="T24" s="29"/>
      <c r="U24" s="29"/>
      <c r="V24" s="29"/>
      <c r="W24" s="40"/>
      <c r="X24" s="40"/>
      <c r="Y24" s="40"/>
      <c r="Z24" s="31">
        <v>7</v>
      </c>
      <c r="AA24" s="31"/>
      <c r="AB24" s="103">
        <v>184700</v>
      </c>
      <c r="AC24" s="31" t="s">
        <v>600</v>
      </c>
      <c r="AD24" s="327">
        <f t="shared" si="9"/>
        <v>184700</v>
      </c>
      <c r="AE24" s="711">
        <f t="shared" si="3"/>
        <v>1.1199439299488463E-11</v>
      </c>
      <c r="AF24" s="222">
        <f t="shared" si="10"/>
        <v>716333.7911392434</v>
      </c>
      <c r="AG24" s="253"/>
      <c r="AH24" s="29"/>
      <c r="AI24" s="29"/>
      <c r="AJ24" s="40"/>
      <c r="AK24" s="40"/>
      <c r="AL24" s="40"/>
      <c r="AM24" s="31"/>
      <c r="AN24" s="31"/>
      <c r="AO24" s="31"/>
      <c r="AP24" s="31"/>
      <c r="AQ24" s="40"/>
      <c r="AR24" s="40"/>
      <c r="AS24" s="208"/>
      <c r="AT24" s="208"/>
      <c r="AU24" s="208"/>
      <c r="AV24" s="40"/>
      <c r="AW24" s="40"/>
      <c r="AX24" s="40"/>
      <c r="AY24" s="40"/>
      <c r="AZ24" s="40"/>
      <c r="BA24" s="40"/>
      <c r="BB24" s="185"/>
      <c r="BC24" s="185"/>
      <c r="BD24" s="185"/>
      <c r="BE24" s="40"/>
      <c r="BF24" s="40"/>
      <c r="BG24" s="5"/>
      <c r="BH24" s="5"/>
      <c r="BI24" s="5"/>
      <c r="BJ24" s="5"/>
      <c r="BK24" s="5"/>
      <c r="BL24" s="5"/>
      <c r="BM24" s="5"/>
      <c r="BN24" s="5"/>
      <c r="BO24" s="5"/>
      <c r="BP24" s="5"/>
      <c r="BQ24" s="5"/>
      <c r="BR24" s="5"/>
      <c r="BS24" s="5"/>
      <c r="BT24" s="5"/>
      <c r="BU24" s="5"/>
      <c r="BV24" s="5"/>
      <c r="BW24" s="5"/>
      <c r="BX24" s="5"/>
      <c r="BY24" s="5"/>
      <c r="BZ24" s="5"/>
      <c r="CA24" s="5"/>
      <c r="CB24" s="5"/>
      <c r="CC24" s="5"/>
      <c r="CD24" s="5"/>
      <c r="CE24" s="5"/>
    </row>
    <row r="25" spans="1:83" s="6" customFormat="1" x14ac:dyDescent="0.3">
      <c r="A25" s="31"/>
      <c r="B25" s="31"/>
      <c r="C25" s="31"/>
      <c r="D25" s="32"/>
      <c r="E25" s="31"/>
      <c r="F25" s="31"/>
      <c r="G25" s="31">
        <v>11.83</v>
      </c>
      <c r="H25" s="31">
        <f t="shared" si="7"/>
        <v>284.97999999999996</v>
      </c>
      <c r="I25" s="219">
        <f t="shared" si="8"/>
        <v>14.452570008407784</v>
      </c>
      <c r="J25" s="31">
        <v>20.209</v>
      </c>
      <c r="K25" s="31"/>
      <c r="L25" s="31"/>
      <c r="M25" s="129"/>
      <c r="N25" s="31"/>
      <c r="O25" s="85"/>
      <c r="P25" s="85"/>
      <c r="Q25" s="208"/>
      <c r="R25" s="208"/>
      <c r="S25" s="208"/>
      <c r="T25" s="29"/>
      <c r="U25" s="29"/>
      <c r="V25" s="29"/>
      <c r="W25" s="40"/>
      <c r="X25" s="40"/>
      <c r="Y25" s="40"/>
      <c r="Z25" s="31">
        <v>7</v>
      </c>
      <c r="AA25" s="31"/>
      <c r="AB25" s="103">
        <v>143200</v>
      </c>
      <c r="AC25" s="31" t="s">
        <v>600</v>
      </c>
      <c r="AD25" s="327">
        <f t="shared" si="9"/>
        <v>143200</v>
      </c>
      <c r="AE25" s="711">
        <f t="shared" si="3"/>
        <v>1.1582140071463039E-11</v>
      </c>
      <c r="AF25" s="222">
        <f t="shared" si="10"/>
        <v>692664.46119080717</v>
      </c>
      <c r="AG25" s="253"/>
      <c r="AH25" s="29"/>
      <c r="AI25" s="29"/>
      <c r="AJ25" s="40"/>
      <c r="AK25" s="40"/>
      <c r="AL25" s="40"/>
      <c r="AM25" s="31"/>
      <c r="AN25" s="31"/>
      <c r="AO25" s="31"/>
      <c r="AP25" s="31"/>
      <c r="AQ25" s="40"/>
      <c r="AR25" s="40"/>
      <c r="AS25" s="208"/>
      <c r="AT25" s="208"/>
      <c r="AU25" s="208"/>
      <c r="AV25" s="40"/>
      <c r="AW25" s="40"/>
      <c r="AX25" s="40"/>
      <c r="AY25" s="40"/>
      <c r="AZ25" s="40"/>
      <c r="BA25" s="40"/>
      <c r="BB25" s="185"/>
      <c r="BC25" s="185"/>
      <c r="BD25" s="185"/>
      <c r="BE25" s="40"/>
      <c r="BF25" s="40"/>
      <c r="BG25" s="5"/>
      <c r="BH25" s="5"/>
      <c r="BI25" s="5"/>
      <c r="BJ25" s="5"/>
      <c r="BK25" s="5"/>
      <c r="BL25" s="5"/>
      <c r="BM25" s="5"/>
      <c r="BN25" s="5"/>
      <c r="BO25" s="5"/>
      <c r="BP25" s="5"/>
      <c r="BQ25" s="5"/>
      <c r="BR25" s="5"/>
      <c r="BS25" s="5"/>
      <c r="BT25" s="5"/>
      <c r="BU25" s="5"/>
      <c r="BV25" s="5"/>
      <c r="BW25" s="5"/>
      <c r="BX25" s="5"/>
      <c r="BY25" s="5"/>
      <c r="BZ25" s="5"/>
      <c r="CA25" s="5"/>
      <c r="CB25" s="5"/>
      <c r="CC25" s="5"/>
      <c r="CD25" s="5"/>
      <c r="CE25" s="5"/>
    </row>
    <row r="26" spans="1:83" s="6" customFormat="1" x14ac:dyDescent="0.3">
      <c r="A26" s="31"/>
      <c r="B26" s="31"/>
      <c r="C26" s="31"/>
      <c r="D26" s="32"/>
      <c r="E26" s="31"/>
      <c r="F26" s="31"/>
      <c r="G26" s="31">
        <v>10.881</v>
      </c>
      <c r="H26" s="31">
        <f t="shared" si="7"/>
        <v>284.03099999999995</v>
      </c>
      <c r="I26" s="219">
        <f t="shared" si="8"/>
        <v>14.486802245262538</v>
      </c>
      <c r="J26" s="31">
        <v>20.209</v>
      </c>
      <c r="K26" s="31"/>
      <c r="L26" s="31"/>
      <c r="M26" s="129"/>
      <c r="N26" s="31"/>
      <c r="O26" s="85"/>
      <c r="P26" s="85"/>
      <c r="Q26" s="208"/>
      <c r="R26" s="208"/>
      <c r="S26" s="208"/>
      <c r="T26" s="29"/>
      <c r="U26" s="29"/>
      <c r="V26" s="29"/>
      <c r="W26" s="40"/>
      <c r="X26" s="40"/>
      <c r="Y26" s="40"/>
      <c r="Z26" s="31">
        <v>7</v>
      </c>
      <c r="AA26" s="31"/>
      <c r="AB26" s="103">
        <v>124800</v>
      </c>
      <c r="AC26" s="31" t="s">
        <v>600</v>
      </c>
      <c r="AD26" s="327">
        <f t="shared" si="9"/>
        <v>124800</v>
      </c>
      <c r="AE26" s="711">
        <f t="shared" si="3"/>
        <v>1.179602984467389E-11</v>
      </c>
      <c r="AF26" s="222">
        <f t="shared" si="10"/>
        <v>680104.82490078779</v>
      </c>
      <c r="AG26" s="253"/>
      <c r="AH26" s="29"/>
      <c r="AI26" s="29"/>
      <c r="AJ26" s="40"/>
      <c r="AK26" s="40"/>
      <c r="AL26" s="40"/>
      <c r="AM26" s="31"/>
      <c r="AN26" s="31"/>
      <c r="AO26" s="31"/>
      <c r="AP26" s="31"/>
      <c r="AQ26" s="40"/>
      <c r="AR26" s="40"/>
      <c r="AS26" s="208"/>
      <c r="AT26" s="208"/>
      <c r="AU26" s="208"/>
      <c r="AV26" s="40"/>
      <c r="AW26" s="40"/>
      <c r="AX26" s="40"/>
      <c r="AY26" s="40"/>
      <c r="AZ26" s="40"/>
      <c r="BA26" s="40"/>
      <c r="BB26" s="185"/>
      <c r="BC26" s="185"/>
      <c r="BD26" s="185"/>
      <c r="BE26" s="40"/>
      <c r="BF26" s="40"/>
      <c r="BG26" s="5"/>
      <c r="BH26" s="5"/>
      <c r="BI26" s="5"/>
      <c r="BJ26" s="5"/>
      <c r="BK26" s="5"/>
      <c r="BL26" s="5"/>
      <c r="BM26" s="5"/>
      <c r="BN26" s="5"/>
      <c r="BO26" s="5"/>
      <c r="BP26" s="5"/>
      <c r="BQ26" s="5"/>
      <c r="BR26" s="5"/>
      <c r="BS26" s="5"/>
      <c r="BT26" s="5"/>
      <c r="BU26" s="5"/>
      <c r="BV26" s="5"/>
      <c r="BW26" s="5"/>
      <c r="BX26" s="5"/>
      <c r="BY26" s="5"/>
      <c r="BZ26" s="5"/>
      <c r="CA26" s="5"/>
      <c r="CB26" s="5"/>
      <c r="CC26" s="5"/>
      <c r="CD26" s="5"/>
      <c r="CE26" s="5"/>
    </row>
    <row r="27" spans="1:83" s="6" customFormat="1" x14ac:dyDescent="0.3">
      <c r="A27" s="31"/>
      <c r="B27" s="31"/>
      <c r="C27" s="31"/>
      <c r="D27" s="32"/>
      <c r="E27" s="31"/>
      <c r="F27" s="31"/>
      <c r="G27" s="31">
        <v>9.5340000000000007</v>
      </c>
      <c r="H27" s="31">
        <f t="shared" si="7"/>
        <v>282.68399999999997</v>
      </c>
      <c r="I27" s="219">
        <f t="shared" si="8"/>
        <v>14.535785745539531</v>
      </c>
      <c r="J27" s="31">
        <v>20.209</v>
      </c>
      <c r="K27" s="31"/>
      <c r="L27" s="31"/>
      <c r="M27" s="129"/>
      <c r="N27" s="31"/>
      <c r="O27" s="85"/>
      <c r="P27" s="85"/>
      <c r="Q27" s="208"/>
      <c r="R27" s="208"/>
      <c r="S27" s="208"/>
      <c r="T27" s="29"/>
      <c r="U27" s="29"/>
      <c r="V27" s="29"/>
      <c r="W27" s="40"/>
      <c r="X27" s="40"/>
      <c r="Y27" s="40"/>
      <c r="Z27" s="31">
        <v>7</v>
      </c>
      <c r="AA27" s="31"/>
      <c r="AB27" s="103">
        <v>101100</v>
      </c>
      <c r="AC27" s="31" t="s">
        <v>600</v>
      </c>
      <c r="AD27" s="327">
        <f t="shared" si="9"/>
        <v>101100</v>
      </c>
      <c r="AE27" s="711">
        <f t="shared" si="3"/>
        <v>1.227734374135056E-11</v>
      </c>
      <c r="AF27" s="222">
        <f t="shared" si="10"/>
        <v>653442.38795043225</v>
      </c>
      <c r="AG27" s="253"/>
      <c r="AH27" s="29"/>
      <c r="AI27" s="29"/>
      <c r="AJ27" s="40"/>
      <c r="AK27" s="40"/>
      <c r="AL27" s="40"/>
      <c r="AM27" s="31"/>
      <c r="AN27" s="31"/>
      <c r="AO27" s="31"/>
      <c r="AP27" s="31"/>
      <c r="AQ27" s="40"/>
      <c r="AR27" s="40"/>
      <c r="AS27" s="208"/>
      <c r="AT27" s="208"/>
      <c r="AU27" s="208"/>
      <c r="AV27" s="40"/>
      <c r="AW27" s="40"/>
      <c r="AX27" s="40"/>
      <c r="AY27" s="40"/>
      <c r="AZ27" s="40"/>
      <c r="BA27" s="40"/>
      <c r="BB27" s="185"/>
      <c r="BC27" s="185"/>
      <c r="BD27" s="185"/>
      <c r="BE27" s="40"/>
      <c r="BF27" s="40"/>
      <c r="BG27" s="5"/>
      <c r="BH27" s="5"/>
      <c r="BI27" s="5"/>
      <c r="BJ27" s="5"/>
      <c r="BK27" s="5"/>
      <c r="BL27" s="5"/>
      <c r="BM27" s="5"/>
      <c r="BN27" s="5"/>
      <c r="BO27" s="5"/>
      <c r="BP27" s="5"/>
      <c r="BQ27" s="5"/>
      <c r="BR27" s="5"/>
      <c r="BS27" s="5"/>
      <c r="BT27" s="5"/>
      <c r="BU27" s="5"/>
      <c r="BV27" s="5"/>
      <c r="BW27" s="5"/>
      <c r="BX27" s="5"/>
      <c r="BY27" s="5"/>
      <c r="BZ27" s="5"/>
      <c r="CA27" s="5"/>
      <c r="CB27" s="5"/>
      <c r="CC27" s="5"/>
      <c r="CD27" s="5"/>
      <c r="CE27" s="5"/>
    </row>
    <row r="28" spans="1:83" s="17" customFormat="1" ht="15" thickBot="1" x14ac:dyDescent="0.35">
      <c r="A28" s="60"/>
      <c r="B28" s="60"/>
      <c r="C28" s="60"/>
      <c r="D28" s="61"/>
      <c r="E28" s="60"/>
      <c r="F28" s="60"/>
      <c r="G28" s="60"/>
      <c r="H28" s="60"/>
      <c r="I28" s="710"/>
      <c r="J28" s="60"/>
      <c r="K28" s="60"/>
      <c r="L28" s="60"/>
      <c r="M28" s="324"/>
      <c r="N28" s="60"/>
      <c r="O28" s="104"/>
      <c r="P28" s="104"/>
      <c r="Q28" s="225"/>
      <c r="R28" s="225"/>
      <c r="S28" s="225"/>
      <c r="T28" s="59"/>
      <c r="U28" s="59"/>
      <c r="V28" s="59"/>
      <c r="W28" s="138"/>
      <c r="X28" s="138"/>
      <c r="Y28" s="138"/>
      <c r="Z28" s="60"/>
      <c r="AA28" s="60"/>
      <c r="AB28" s="330"/>
      <c r="AC28" s="60"/>
      <c r="AD28" s="328"/>
      <c r="AE28" s="712"/>
      <c r="AF28" s="713"/>
      <c r="AG28" s="332"/>
      <c r="AH28" s="59"/>
      <c r="AI28" s="59"/>
      <c r="AJ28" s="138"/>
      <c r="AK28" s="138"/>
      <c r="AL28" s="138"/>
      <c r="AM28" s="60"/>
      <c r="AN28" s="60"/>
      <c r="AO28" s="60"/>
      <c r="AP28" s="60"/>
      <c r="AQ28" s="138"/>
      <c r="AR28" s="138"/>
      <c r="AS28" s="225"/>
      <c r="AT28" s="225"/>
      <c r="AU28" s="225"/>
      <c r="AV28" s="138"/>
      <c r="AW28" s="138"/>
      <c r="AX28" s="138"/>
      <c r="AY28" s="138"/>
      <c r="AZ28" s="138"/>
      <c r="BA28" s="138"/>
      <c r="BB28" s="190"/>
      <c r="BC28" s="190"/>
      <c r="BD28" s="190"/>
      <c r="BE28" s="138"/>
      <c r="BF28" s="138"/>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row>
    <row r="29" spans="1:83" s="18" customFormat="1" ht="15" thickBot="1" x14ac:dyDescent="0.35">
      <c r="A29" s="63">
        <v>15</v>
      </c>
      <c r="B29" s="63" t="s">
        <v>849</v>
      </c>
      <c r="C29" s="63" t="s">
        <v>850</v>
      </c>
      <c r="D29" s="64" t="s">
        <v>1084</v>
      </c>
      <c r="E29" s="63" t="s">
        <v>887</v>
      </c>
      <c r="F29" s="63" t="s">
        <v>851</v>
      </c>
      <c r="G29" s="63">
        <v>4.6159999999999997</v>
      </c>
      <c r="H29" s="63">
        <f t="shared" ref="H29:H45" si="11">G29+273.15</f>
        <v>277.76599999999996</v>
      </c>
      <c r="I29" s="692">
        <f t="shared" ref="I29:I45" si="12">-LOG10(EXP(LN(10^-14)+13.36*(1/298.15-1/H29)/0.0019872))</f>
        <v>14.718662035526387</v>
      </c>
      <c r="J29" s="815">
        <v>19.05</v>
      </c>
      <c r="K29" s="63"/>
      <c r="L29" s="63"/>
      <c r="M29" s="325"/>
      <c r="N29" s="63"/>
      <c r="O29" s="326"/>
      <c r="P29" s="326"/>
      <c r="Q29" s="226"/>
      <c r="R29" s="226"/>
      <c r="S29" s="226"/>
      <c r="T29" s="331"/>
      <c r="U29" s="331"/>
      <c r="V29" s="331"/>
      <c r="W29" s="65"/>
      <c r="X29" s="65"/>
      <c r="Y29" s="65"/>
      <c r="Z29" s="63">
        <v>7</v>
      </c>
      <c r="AA29" s="63"/>
      <c r="AB29" s="141">
        <v>266900</v>
      </c>
      <c r="AC29" s="63" t="s">
        <v>600</v>
      </c>
      <c r="AD29" s="329">
        <f t="shared" si="9"/>
        <v>266900</v>
      </c>
      <c r="AE29" s="714">
        <f t="shared" si="3"/>
        <v>2.8393847099303883E-12</v>
      </c>
      <c r="AF29" s="227">
        <f t="shared" si="10"/>
        <v>2825449.0432305979</v>
      </c>
      <c r="AG29" s="334">
        <f t="shared" ref="AG29:AG45" si="13">AE29</f>
        <v>2.8393847099303883E-12</v>
      </c>
      <c r="AH29" s="331"/>
      <c r="AI29" s="331"/>
      <c r="AJ29" s="65"/>
      <c r="AK29" s="65"/>
      <c r="AL29" s="65"/>
      <c r="AM29" s="63"/>
      <c r="AN29" s="63"/>
      <c r="AO29" s="63"/>
      <c r="AP29" s="63"/>
      <c r="AQ29" s="65"/>
      <c r="AR29" s="65"/>
      <c r="AS29" s="226"/>
      <c r="AT29" s="226"/>
      <c r="AU29" s="226"/>
      <c r="AV29" s="65"/>
      <c r="AW29" s="65"/>
      <c r="AX29" s="65"/>
      <c r="AY29" s="65"/>
      <c r="AZ29" s="65"/>
      <c r="BA29" s="65"/>
      <c r="BB29" s="191"/>
      <c r="BC29" s="191"/>
      <c r="BD29" s="191"/>
      <c r="BE29" s="65"/>
      <c r="BF29" s="65"/>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row>
    <row r="30" spans="1:83" s="18" customFormat="1" ht="15" thickBot="1" x14ac:dyDescent="0.35">
      <c r="A30" s="63">
        <v>16</v>
      </c>
      <c r="B30" s="63" t="s">
        <v>852</v>
      </c>
      <c r="C30" s="63" t="s">
        <v>853</v>
      </c>
      <c r="D30" s="64"/>
      <c r="E30" s="63" t="s">
        <v>887</v>
      </c>
      <c r="F30" s="63" t="s">
        <v>851</v>
      </c>
      <c r="G30" s="63">
        <v>4.6159999999999997</v>
      </c>
      <c r="H30" s="63">
        <f t="shared" si="11"/>
        <v>277.76599999999996</v>
      </c>
      <c r="I30" s="692">
        <f t="shared" si="12"/>
        <v>14.718662035526387</v>
      </c>
      <c r="J30" s="815">
        <v>19.05</v>
      </c>
      <c r="K30" s="63"/>
      <c r="L30" s="63"/>
      <c r="M30" s="325"/>
      <c r="N30" s="63"/>
      <c r="O30" s="326"/>
      <c r="P30" s="326"/>
      <c r="Q30" s="226"/>
      <c r="R30" s="226"/>
      <c r="S30" s="226"/>
      <c r="T30" s="331"/>
      <c r="U30" s="331"/>
      <c r="V30" s="331"/>
      <c r="W30" s="65"/>
      <c r="X30" s="65"/>
      <c r="Y30" s="65"/>
      <c r="Z30" s="63">
        <v>7</v>
      </c>
      <c r="AA30" s="63"/>
      <c r="AB30" s="141">
        <v>1169000</v>
      </c>
      <c r="AC30" s="63" t="s">
        <v>600</v>
      </c>
      <c r="AD30" s="329">
        <f t="shared" si="9"/>
        <v>1169000</v>
      </c>
      <c r="AE30" s="714">
        <f t="shared" si="3"/>
        <v>6.4827354925613497E-13</v>
      </c>
      <c r="AF30" s="227">
        <f t="shared" si="10"/>
        <v>12375233.913587725</v>
      </c>
      <c r="AG30" s="334">
        <f t="shared" si="13"/>
        <v>6.4827354925613497E-13</v>
      </c>
      <c r="AH30" s="331"/>
      <c r="AI30" s="331"/>
      <c r="AJ30" s="65"/>
      <c r="AK30" s="65"/>
      <c r="AL30" s="65"/>
      <c r="AM30" s="63"/>
      <c r="AN30" s="63"/>
      <c r="AO30" s="63"/>
      <c r="AP30" s="63"/>
      <c r="AQ30" s="65"/>
      <c r="AR30" s="65"/>
      <c r="AS30" s="226"/>
      <c r="AT30" s="226"/>
      <c r="AU30" s="226"/>
      <c r="AV30" s="65"/>
      <c r="AW30" s="65"/>
      <c r="AX30" s="65"/>
      <c r="AY30" s="65"/>
      <c r="AZ30" s="65"/>
      <c r="BA30" s="65"/>
      <c r="BB30" s="191"/>
      <c r="BC30" s="191"/>
      <c r="BD30" s="191"/>
      <c r="BE30" s="65"/>
      <c r="BF30" s="65"/>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row>
    <row r="31" spans="1:83" s="18" customFormat="1" ht="15" thickBot="1" x14ac:dyDescent="0.35">
      <c r="A31" s="63">
        <v>17</v>
      </c>
      <c r="B31" s="63" t="s">
        <v>854</v>
      </c>
      <c r="C31" s="63" t="s">
        <v>855</v>
      </c>
      <c r="D31" s="64"/>
      <c r="E31" s="63" t="s">
        <v>887</v>
      </c>
      <c r="F31" s="63" t="s">
        <v>851</v>
      </c>
      <c r="G31" s="63">
        <v>4.6159999999999997</v>
      </c>
      <c r="H31" s="63">
        <f t="shared" si="11"/>
        <v>277.76599999999996</v>
      </c>
      <c r="I31" s="692">
        <f t="shared" si="12"/>
        <v>14.718662035526387</v>
      </c>
      <c r="J31" s="815">
        <v>19.05</v>
      </c>
      <c r="K31" s="63"/>
      <c r="L31" s="63"/>
      <c r="M31" s="325"/>
      <c r="N31" s="63"/>
      <c r="O31" s="326"/>
      <c r="P31" s="326"/>
      <c r="Q31" s="226"/>
      <c r="R31" s="226"/>
      <c r="S31" s="226"/>
      <c r="T31" s="331"/>
      <c r="U31" s="331"/>
      <c r="V31" s="331"/>
      <c r="W31" s="65"/>
      <c r="X31" s="65"/>
      <c r="Y31" s="65"/>
      <c r="Z31" s="63">
        <v>7</v>
      </c>
      <c r="AA31" s="63"/>
      <c r="AB31" s="141">
        <v>10600</v>
      </c>
      <c r="AC31" s="63" t="s">
        <v>600</v>
      </c>
      <c r="AD31" s="329">
        <f t="shared" si="9"/>
        <v>10600</v>
      </c>
      <c r="AE31" s="714">
        <f t="shared" si="3"/>
        <v>7.1493564064190617E-11</v>
      </c>
      <c r="AF31" s="227">
        <f t="shared" si="10"/>
        <v>112213.41273227554</v>
      </c>
      <c r="AG31" s="334">
        <f t="shared" si="13"/>
        <v>7.1493564064190617E-11</v>
      </c>
      <c r="AH31" s="331"/>
      <c r="AI31" s="331"/>
      <c r="AJ31" s="65"/>
      <c r="AK31" s="65"/>
      <c r="AL31" s="65"/>
      <c r="AM31" s="63"/>
      <c r="AN31" s="63"/>
      <c r="AO31" s="63"/>
      <c r="AP31" s="63"/>
      <c r="AQ31" s="65"/>
      <c r="AR31" s="65"/>
      <c r="AS31" s="226"/>
      <c r="AT31" s="226"/>
      <c r="AU31" s="226"/>
      <c r="AV31" s="65"/>
      <c r="AW31" s="65"/>
      <c r="AX31" s="65"/>
      <c r="AY31" s="65"/>
      <c r="AZ31" s="65"/>
      <c r="BA31" s="65"/>
      <c r="BB31" s="191"/>
      <c r="BC31" s="191"/>
      <c r="BD31" s="191"/>
      <c r="BE31" s="65"/>
      <c r="BF31" s="65"/>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row>
    <row r="32" spans="1:83" s="18" customFormat="1" ht="15" thickBot="1" x14ac:dyDescent="0.35">
      <c r="A32" s="63">
        <v>18</v>
      </c>
      <c r="B32" s="63" t="s">
        <v>856</v>
      </c>
      <c r="C32" s="63" t="s">
        <v>857</v>
      </c>
      <c r="D32" s="64"/>
      <c r="E32" s="63" t="s">
        <v>887</v>
      </c>
      <c r="F32" s="63" t="s">
        <v>851</v>
      </c>
      <c r="G32" s="63">
        <v>4.6159999999999997</v>
      </c>
      <c r="H32" s="63">
        <f t="shared" si="11"/>
        <v>277.76599999999996</v>
      </c>
      <c r="I32" s="692">
        <f t="shared" si="12"/>
        <v>14.718662035526387</v>
      </c>
      <c r="J32" s="815">
        <v>19.05</v>
      </c>
      <c r="K32" s="63"/>
      <c r="L32" s="63"/>
      <c r="M32" s="325"/>
      <c r="N32" s="63"/>
      <c r="O32" s="326"/>
      <c r="P32" s="326"/>
      <c r="Q32" s="226"/>
      <c r="R32" s="226"/>
      <c r="S32" s="226"/>
      <c r="T32" s="331"/>
      <c r="U32" s="331"/>
      <c r="V32" s="331"/>
      <c r="W32" s="65"/>
      <c r="X32" s="65"/>
      <c r="Y32" s="65"/>
      <c r="Z32" s="63">
        <v>7</v>
      </c>
      <c r="AA32" s="63"/>
      <c r="AB32" s="141">
        <v>296400</v>
      </c>
      <c r="AC32" s="63" t="s">
        <v>600</v>
      </c>
      <c r="AD32" s="329">
        <f t="shared" si="9"/>
        <v>296400</v>
      </c>
      <c r="AE32" s="714">
        <f t="shared" si="3"/>
        <v>2.5567873788138339E-12</v>
      </c>
      <c r="AF32" s="227">
        <f t="shared" si="10"/>
        <v>3137741.0880987239</v>
      </c>
      <c r="AG32" s="334">
        <f t="shared" si="13"/>
        <v>2.5567873788138339E-12</v>
      </c>
      <c r="AH32" s="331"/>
      <c r="AI32" s="331"/>
      <c r="AJ32" s="65"/>
      <c r="AK32" s="65"/>
      <c r="AL32" s="65"/>
      <c r="AM32" s="63"/>
      <c r="AN32" s="63"/>
      <c r="AO32" s="63"/>
      <c r="AP32" s="63"/>
      <c r="AQ32" s="65"/>
      <c r="AR32" s="65"/>
      <c r="AS32" s="226"/>
      <c r="AT32" s="226"/>
      <c r="AU32" s="226"/>
      <c r="AV32" s="65"/>
      <c r="AW32" s="65"/>
      <c r="AX32" s="65"/>
      <c r="AY32" s="65"/>
      <c r="AZ32" s="65"/>
      <c r="BA32" s="65"/>
      <c r="BB32" s="191"/>
      <c r="BC32" s="191"/>
      <c r="BD32" s="191"/>
      <c r="BE32" s="65"/>
      <c r="BF32" s="65"/>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row>
    <row r="33" spans="1:83" s="18" customFormat="1" ht="15" thickBot="1" x14ac:dyDescent="0.35">
      <c r="A33" s="63">
        <v>19</v>
      </c>
      <c r="B33" s="63" t="s">
        <v>858</v>
      </c>
      <c r="C33" s="63" t="s">
        <v>859</v>
      </c>
      <c r="D33" s="64" t="s">
        <v>1084</v>
      </c>
      <c r="E33" s="63" t="s">
        <v>888</v>
      </c>
      <c r="F33" s="63" t="s">
        <v>860</v>
      </c>
      <c r="G33" s="63">
        <v>25</v>
      </c>
      <c r="H33" s="63">
        <f t="shared" si="11"/>
        <v>298.14999999999998</v>
      </c>
      <c r="I33" s="692">
        <f t="shared" si="12"/>
        <v>14</v>
      </c>
      <c r="J33" s="815">
        <v>19.05</v>
      </c>
      <c r="K33" s="63"/>
      <c r="L33" s="63"/>
      <c r="M33" s="325"/>
      <c r="N33" s="63"/>
      <c r="O33" s="326"/>
      <c r="P33" s="326"/>
      <c r="Q33" s="226"/>
      <c r="R33" s="226"/>
      <c r="S33" s="226"/>
      <c r="T33" s="331"/>
      <c r="U33" s="331"/>
      <c r="V33" s="331"/>
      <c r="W33" s="65"/>
      <c r="X33" s="65"/>
      <c r="Y33" s="65"/>
      <c r="Z33" s="63">
        <v>7</v>
      </c>
      <c r="AA33" s="63"/>
      <c r="AB33" s="141">
        <f>1.8/10^3</f>
        <v>1.8E-3</v>
      </c>
      <c r="AC33" s="63" t="s">
        <v>600</v>
      </c>
      <c r="AD33" s="329">
        <f t="shared" si="9"/>
        <v>1.8E-3</v>
      </c>
      <c r="AE33" s="714">
        <f t="shared" si="3"/>
        <v>4.456964895575781E-3</v>
      </c>
      <c r="AF33" s="227">
        <f t="shared" si="10"/>
        <v>1.7999999999999997E-3</v>
      </c>
      <c r="AG33" s="892">
        <f>AE33</f>
        <v>4.456964895575781E-3</v>
      </c>
      <c r="AH33" s="331"/>
      <c r="AI33" s="331"/>
      <c r="AJ33" s="65"/>
      <c r="AK33" s="65"/>
      <c r="AL33" s="65"/>
      <c r="AM33" s="63"/>
      <c r="AN33" s="63"/>
      <c r="AO33" s="63"/>
      <c r="AP33" s="63"/>
      <c r="AQ33" s="65"/>
      <c r="AR33" s="65"/>
      <c r="AS33" s="226"/>
      <c r="AT33" s="226"/>
      <c r="AU33" s="226"/>
      <c r="AV33" s="65"/>
      <c r="AW33" s="65"/>
      <c r="AX33" s="65"/>
      <c r="AY33" s="65"/>
      <c r="AZ33" s="65"/>
      <c r="BA33" s="65"/>
      <c r="BB33" s="191"/>
      <c r="BC33" s="191"/>
      <c r="BD33" s="191"/>
      <c r="BE33" s="65"/>
      <c r="BF33" s="65"/>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row>
    <row r="34" spans="1:83" s="18" customFormat="1" ht="15" thickBot="1" x14ac:dyDescent="0.35">
      <c r="A34" s="63">
        <v>20</v>
      </c>
      <c r="B34" s="63" t="s">
        <v>861</v>
      </c>
      <c r="C34" s="63" t="s">
        <v>862</v>
      </c>
      <c r="D34" s="64"/>
      <c r="E34" s="63" t="s">
        <v>888</v>
      </c>
      <c r="F34" s="63" t="s">
        <v>863</v>
      </c>
      <c r="G34" s="63">
        <v>25</v>
      </c>
      <c r="H34" s="63">
        <f t="shared" si="11"/>
        <v>298.14999999999998</v>
      </c>
      <c r="I34" s="692">
        <f t="shared" si="12"/>
        <v>14</v>
      </c>
      <c r="J34" s="815">
        <v>19.05</v>
      </c>
      <c r="K34" s="63"/>
      <c r="L34" s="63"/>
      <c r="M34" s="325"/>
      <c r="N34" s="63"/>
      <c r="O34" s="326"/>
      <c r="P34" s="326"/>
      <c r="Q34" s="226"/>
      <c r="R34" s="226"/>
      <c r="S34" s="226"/>
      <c r="T34" s="331"/>
      <c r="U34" s="331"/>
      <c r="V34" s="331"/>
      <c r="W34" s="65"/>
      <c r="X34" s="65"/>
      <c r="Y34" s="65"/>
      <c r="Z34" s="63">
        <v>7</v>
      </c>
      <c r="AA34" s="63"/>
      <c r="AB34" s="141">
        <v>1.1000000000000001</v>
      </c>
      <c r="AC34" s="63" t="s">
        <v>600</v>
      </c>
      <c r="AD34" s="329">
        <f t="shared" si="9"/>
        <v>1.1000000000000001</v>
      </c>
      <c r="AE34" s="714">
        <f t="shared" si="3"/>
        <v>7.2932152836694571E-6</v>
      </c>
      <c r="AF34" s="227">
        <f t="shared" si="10"/>
        <v>1.1000000000000001</v>
      </c>
      <c r="AG34" s="334">
        <f t="shared" si="13"/>
        <v>7.2932152836694571E-6</v>
      </c>
      <c r="AH34" s="331"/>
      <c r="AI34" s="331"/>
      <c r="AJ34" s="65"/>
      <c r="AK34" s="65"/>
      <c r="AL34" s="65"/>
      <c r="AM34" s="63"/>
      <c r="AN34" s="63"/>
      <c r="AO34" s="63"/>
      <c r="AP34" s="63"/>
      <c r="AQ34" s="65"/>
      <c r="AR34" s="65"/>
      <c r="AS34" s="226"/>
      <c r="AT34" s="226"/>
      <c r="AU34" s="226"/>
      <c r="AV34" s="65"/>
      <c r="AW34" s="65"/>
      <c r="AX34" s="65"/>
      <c r="AY34" s="65"/>
      <c r="AZ34" s="65"/>
      <c r="BA34" s="65"/>
      <c r="BB34" s="191"/>
      <c r="BC34" s="191"/>
      <c r="BD34" s="191"/>
      <c r="BE34" s="65"/>
      <c r="BF34" s="65"/>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row>
    <row r="35" spans="1:83" s="18" customFormat="1" ht="15" thickBot="1" x14ac:dyDescent="0.35">
      <c r="A35" s="63">
        <v>21</v>
      </c>
      <c r="B35" s="63" t="s">
        <v>864</v>
      </c>
      <c r="C35" s="63" t="s">
        <v>865</v>
      </c>
      <c r="D35" s="64"/>
      <c r="E35" s="63" t="s">
        <v>888</v>
      </c>
      <c r="F35" s="63" t="s">
        <v>860</v>
      </c>
      <c r="G35" s="63">
        <v>25</v>
      </c>
      <c r="H35" s="63">
        <f t="shared" si="11"/>
        <v>298.14999999999998</v>
      </c>
      <c r="I35" s="692">
        <f t="shared" si="12"/>
        <v>14</v>
      </c>
      <c r="J35" s="815">
        <v>19.05</v>
      </c>
      <c r="K35" s="63"/>
      <c r="L35" s="63"/>
      <c r="M35" s="325"/>
      <c r="N35" s="63"/>
      <c r="O35" s="326"/>
      <c r="P35" s="326"/>
      <c r="Q35" s="226"/>
      <c r="R35" s="226"/>
      <c r="S35" s="226"/>
      <c r="T35" s="331"/>
      <c r="U35" s="331"/>
      <c r="V35" s="331"/>
      <c r="W35" s="65"/>
      <c r="X35" s="65"/>
      <c r="Y35" s="65"/>
      <c r="Z35" s="63">
        <v>7</v>
      </c>
      <c r="AA35" s="63"/>
      <c r="AB35" s="141">
        <f>9/10^3</f>
        <v>8.9999999999999993E-3</v>
      </c>
      <c r="AC35" s="63" t="s">
        <v>600</v>
      </c>
      <c r="AD35" s="329">
        <f t="shared" si="9"/>
        <v>8.9999999999999993E-3</v>
      </c>
      <c r="AE35" s="714">
        <f t="shared" si="3"/>
        <v>8.9139297911515611E-4</v>
      </c>
      <c r="AF35" s="227">
        <f t="shared" si="10"/>
        <v>8.9999999999999993E-3</v>
      </c>
      <c r="AG35" s="892">
        <f>AE35</f>
        <v>8.9139297911515611E-4</v>
      </c>
      <c r="AH35" s="331"/>
      <c r="AI35" s="331"/>
      <c r="AJ35" s="65"/>
      <c r="AK35" s="65"/>
      <c r="AL35" s="65"/>
      <c r="AM35" s="63"/>
      <c r="AN35" s="63"/>
      <c r="AO35" s="63"/>
      <c r="AP35" s="63"/>
      <c r="AQ35" s="65"/>
      <c r="AR35" s="65"/>
      <c r="AS35" s="226"/>
      <c r="AT35" s="226"/>
      <c r="AU35" s="226"/>
      <c r="AV35" s="65"/>
      <c r="AW35" s="65"/>
      <c r="AX35" s="65"/>
      <c r="AY35" s="65"/>
      <c r="AZ35" s="65"/>
      <c r="BA35" s="65"/>
      <c r="BB35" s="191"/>
      <c r="BC35" s="191"/>
      <c r="BD35" s="191"/>
      <c r="BE35" s="65"/>
      <c r="BF35" s="65"/>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row>
    <row r="36" spans="1:83" s="18" customFormat="1" ht="15" thickBot="1" x14ac:dyDescent="0.35">
      <c r="A36" s="63">
        <v>22</v>
      </c>
      <c r="B36" s="63" t="s">
        <v>866</v>
      </c>
      <c r="C36" s="63" t="s">
        <v>867</v>
      </c>
      <c r="D36" s="64"/>
      <c r="E36" s="63" t="s">
        <v>888</v>
      </c>
      <c r="F36" s="63" t="s">
        <v>863</v>
      </c>
      <c r="G36" s="63">
        <v>25</v>
      </c>
      <c r="H36" s="63">
        <f t="shared" si="11"/>
        <v>298.14999999999998</v>
      </c>
      <c r="I36" s="692">
        <f t="shared" si="12"/>
        <v>14</v>
      </c>
      <c r="J36" s="815">
        <v>19.05</v>
      </c>
      <c r="K36" s="63"/>
      <c r="L36" s="63"/>
      <c r="M36" s="325"/>
      <c r="N36" s="63"/>
      <c r="O36" s="326"/>
      <c r="P36" s="326"/>
      <c r="Q36" s="226"/>
      <c r="R36" s="226"/>
      <c r="S36" s="226"/>
      <c r="T36" s="331"/>
      <c r="U36" s="331"/>
      <c r="V36" s="331"/>
      <c r="W36" s="65"/>
      <c r="X36" s="65"/>
      <c r="Y36" s="65"/>
      <c r="Z36" s="63">
        <v>7</v>
      </c>
      <c r="AA36" s="63"/>
      <c r="AB36" s="141">
        <v>5.6000000000000001E-2</v>
      </c>
      <c r="AC36" s="63" t="s">
        <v>600</v>
      </c>
      <c r="AD36" s="329">
        <f t="shared" si="9"/>
        <v>5.6000000000000001E-2</v>
      </c>
      <c r="AE36" s="714">
        <f t="shared" si="3"/>
        <v>1.4325958592922147E-4</v>
      </c>
      <c r="AF36" s="227">
        <f t="shared" si="10"/>
        <v>5.6000000000000008E-2</v>
      </c>
      <c r="AG36" s="334">
        <f t="shared" si="13"/>
        <v>1.4325958592922147E-4</v>
      </c>
      <c r="AH36" s="331"/>
      <c r="AI36" s="331"/>
      <c r="AJ36" s="65"/>
      <c r="AK36" s="65"/>
      <c r="AL36" s="65"/>
      <c r="AM36" s="63"/>
      <c r="AN36" s="63"/>
      <c r="AO36" s="63"/>
      <c r="AP36" s="63"/>
      <c r="AQ36" s="65"/>
      <c r="AR36" s="65"/>
      <c r="AS36" s="226"/>
      <c r="AT36" s="226"/>
      <c r="AU36" s="226"/>
      <c r="AV36" s="65"/>
      <c r="AW36" s="65"/>
      <c r="AX36" s="65"/>
      <c r="AY36" s="65"/>
      <c r="AZ36" s="65"/>
      <c r="BA36" s="65"/>
      <c r="BB36" s="191"/>
      <c r="BC36" s="191"/>
      <c r="BD36" s="191"/>
      <c r="BE36" s="65"/>
      <c r="BF36" s="65"/>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row>
    <row r="37" spans="1:83" s="18" customFormat="1" ht="15" thickBot="1" x14ac:dyDescent="0.35">
      <c r="A37" s="63">
        <v>23</v>
      </c>
      <c r="B37" s="63" t="s">
        <v>868</v>
      </c>
      <c r="C37" s="63" t="s">
        <v>869</v>
      </c>
      <c r="D37" s="64" t="s">
        <v>1084</v>
      </c>
      <c r="E37" s="63" t="s">
        <v>888</v>
      </c>
      <c r="F37" s="63" t="s">
        <v>863</v>
      </c>
      <c r="G37" s="63">
        <v>25</v>
      </c>
      <c r="H37" s="63">
        <f t="shared" si="11"/>
        <v>298.14999999999998</v>
      </c>
      <c r="I37" s="692">
        <f t="shared" si="12"/>
        <v>14</v>
      </c>
      <c r="J37" s="815">
        <v>19.05</v>
      </c>
      <c r="K37" s="63"/>
      <c r="L37" s="63"/>
      <c r="M37" s="325"/>
      <c r="N37" s="63"/>
      <c r="O37" s="326"/>
      <c r="P37" s="326"/>
      <c r="Q37" s="226"/>
      <c r="R37" s="226"/>
      <c r="S37" s="226"/>
      <c r="T37" s="331"/>
      <c r="U37" s="331"/>
      <c r="V37" s="331"/>
      <c r="W37" s="65"/>
      <c r="X37" s="65"/>
      <c r="Y37" s="65"/>
      <c r="Z37" s="63">
        <v>7</v>
      </c>
      <c r="AA37" s="63"/>
      <c r="AB37" s="141">
        <v>3.4000000000000002E-2</v>
      </c>
      <c r="AC37" s="63" t="s">
        <v>600</v>
      </c>
      <c r="AD37" s="329">
        <f t="shared" si="9"/>
        <v>3.4000000000000002E-2</v>
      </c>
      <c r="AE37" s="714">
        <f t="shared" si="3"/>
        <v>2.3595696505989428E-4</v>
      </c>
      <c r="AF37" s="227">
        <f t="shared" si="10"/>
        <v>3.3999999999999996E-2</v>
      </c>
      <c r="AG37" s="334">
        <f t="shared" si="13"/>
        <v>2.3595696505989428E-4</v>
      </c>
      <c r="AH37" s="331"/>
      <c r="AI37" s="331"/>
      <c r="AJ37" s="65"/>
      <c r="AK37" s="65"/>
      <c r="AL37" s="65"/>
      <c r="AM37" s="63"/>
      <c r="AN37" s="63"/>
      <c r="AO37" s="63"/>
      <c r="AP37" s="63"/>
      <c r="AQ37" s="65"/>
      <c r="AR37" s="65"/>
      <c r="AS37" s="226"/>
      <c r="AT37" s="226"/>
      <c r="AU37" s="226"/>
      <c r="AV37" s="65"/>
      <c r="AW37" s="65"/>
      <c r="AX37" s="65"/>
      <c r="AY37" s="65"/>
      <c r="AZ37" s="65"/>
      <c r="BA37" s="65"/>
      <c r="BB37" s="191"/>
      <c r="BC37" s="191"/>
      <c r="BD37" s="191"/>
      <c r="BE37" s="65"/>
      <c r="BF37" s="65"/>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row>
    <row r="38" spans="1:83" s="18" customFormat="1" ht="15" thickBot="1" x14ac:dyDescent="0.35">
      <c r="A38" s="63">
        <v>24</v>
      </c>
      <c r="B38" s="63" t="s">
        <v>870</v>
      </c>
      <c r="C38" s="63" t="s">
        <v>871</v>
      </c>
      <c r="D38" s="64"/>
      <c r="E38" s="63" t="s">
        <v>888</v>
      </c>
      <c r="F38" s="63" t="s">
        <v>860</v>
      </c>
      <c r="G38" s="63">
        <v>25</v>
      </c>
      <c r="H38" s="63">
        <f t="shared" si="11"/>
        <v>298.14999999999998</v>
      </c>
      <c r="I38" s="692">
        <f t="shared" si="12"/>
        <v>14</v>
      </c>
      <c r="J38" s="815">
        <v>19.05</v>
      </c>
      <c r="K38" s="63"/>
      <c r="L38" s="63"/>
      <c r="M38" s="325"/>
      <c r="N38" s="63"/>
      <c r="O38" s="326"/>
      <c r="P38" s="326"/>
      <c r="Q38" s="226"/>
      <c r="R38" s="226"/>
      <c r="S38" s="226"/>
      <c r="T38" s="331"/>
      <c r="U38" s="331"/>
      <c r="V38" s="331"/>
      <c r="W38" s="65"/>
      <c r="X38" s="65"/>
      <c r="Y38" s="65"/>
      <c r="Z38" s="63">
        <v>7</v>
      </c>
      <c r="AA38" s="63"/>
      <c r="AB38" s="141">
        <f>51/10^3</f>
        <v>5.0999999999999997E-2</v>
      </c>
      <c r="AC38" s="63" t="s">
        <v>600</v>
      </c>
      <c r="AD38" s="329">
        <f t="shared" si="9"/>
        <v>5.0999999999999997E-2</v>
      </c>
      <c r="AE38" s="714">
        <f t="shared" si="3"/>
        <v>1.5730464337326285E-4</v>
      </c>
      <c r="AF38" s="227">
        <f t="shared" si="10"/>
        <v>5.099999999999999E-2</v>
      </c>
      <c r="AG38" s="334">
        <f t="shared" si="13"/>
        <v>1.5730464337326285E-4</v>
      </c>
      <c r="AH38" s="331"/>
      <c r="AI38" s="331"/>
      <c r="AJ38" s="65"/>
      <c r="AK38" s="65"/>
      <c r="AL38" s="65"/>
      <c r="AM38" s="63"/>
      <c r="AN38" s="63"/>
      <c r="AO38" s="63"/>
      <c r="AP38" s="63"/>
      <c r="AQ38" s="65"/>
      <c r="AR38" s="65"/>
      <c r="AS38" s="226"/>
      <c r="AT38" s="226"/>
      <c r="AU38" s="226"/>
      <c r="AV38" s="65"/>
      <c r="AW38" s="65"/>
      <c r="AX38" s="65"/>
      <c r="AY38" s="65"/>
      <c r="AZ38" s="65"/>
      <c r="BA38" s="65"/>
      <c r="BB38" s="191"/>
      <c r="BC38" s="191"/>
      <c r="BD38" s="191"/>
      <c r="BE38" s="65"/>
      <c r="BF38" s="65"/>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row>
    <row r="39" spans="1:83" s="18" customFormat="1" ht="15" thickBot="1" x14ac:dyDescent="0.35">
      <c r="A39" s="63">
        <v>25</v>
      </c>
      <c r="B39" s="63" t="s">
        <v>872</v>
      </c>
      <c r="C39" s="63" t="s">
        <v>873</v>
      </c>
      <c r="D39" s="64"/>
      <c r="E39" s="63" t="s">
        <v>888</v>
      </c>
      <c r="F39" s="63" t="s">
        <v>863</v>
      </c>
      <c r="G39" s="63">
        <v>25</v>
      </c>
      <c r="H39" s="63">
        <f t="shared" si="11"/>
        <v>298.14999999999998</v>
      </c>
      <c r="I39" s="692">
        <f t="shared" si="12"/>
        <v>14</v>
      </c>
      <c r="J39" s="815">
        <v>19.05</v>
      </c>
      <c r="K39" s="63"/>
      <c r="L39" s="63"/>
      <c r="M39" s="325"/>
      <c r="N39" s="63"/>
      <c r="O39" s="326"/>
      <c r="P39" s="326"/>
      <c r="Q39" s="226"/>
      <c r="R39" s="226"/>
      <c r="S39" s="226"/>
      <c r="T39" s="331"/>
      <c r="U39" s="331"/>
      <c r="V39" s="331"/>
      <c r="W39" s="65"/>
      <c r="X39" s="65"/>
      <c r="Y39" s="65"/>
      <c r="Z39" s="63">
        <v>7</v>
      </c>
      <c r="AA39" s="63"/>
      <c r="AB39" s="141">
        <v>6.2E-2</v>
      </c>
      <c r="AC39" s="63" t="s">
        <v>600</v>
      </c>
      <c r="AD39" s="329">
        <f t="shared" si="9"/>
        <v>6.2E-2</v>
      </c>
      <c r="AE39" s="714">
        <f t="shared" si="3"/>
        <v>1.2939575503284525E-4</v>
      </c>
      <c r="AF39" s="227">
        <f t="shared" si="10"/>
        <v>6.1999999999999993E-2</v>
      </c>
      <c r="AG39" s="334">
        <f t="shared" si="13"/>
        <v>1.2939575503284525E-4</v>
      </c>
      <c r="AH39" s="331"/>
      <c r="AI39" s="331"/>
      <c r="AJ39" s="65"/>
      <c r="AK39" s="65"/>
      <c r="AL39" s="65"/>
      <c r="AM39" s="63"/>
      <c r="AN39" s="63"/>
      <c r="AO39" s="63"/>
      <c r="AP39" s="63"/>
      <c r="AQ39" s="65"/>
      <c r="AR39" s="65"/>
      <c r="AS39" s="226"/>
      <c r="AT39" s="226"/>
      <c r="AU39" s="226"/>
      <c r="AV39" s="65"/>
      <c r="AW39" s="65"/>
      <c r="AX39" s="65"/>
      <c r="AY39" s="65"/>
      <c r="AZ39" s="65"/>
      <c r="BA39" s="65"/>
      <c r="BB39" s="191"/>
      <c r="BC39" s="191"/>
      <c r="BD39" s="191"/>
      <c r="BE39" s="65"/>
      <c r="BF39" s="65"/>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row>
    <row r="40" spans="1:83" s="18" customFormat="1" ht="15" thickBot="1" x14ac:dyDescent="0.35">
      <c r="A40" s="63">
        <v>26</v>
      </c>
      <c r="B40" s="63" t="s">
        <v>874</v>
      </c>
      <c r="C40" s="63" t="s">
        <v>875</v>
      </c>
      <c r="D40" s="64"/>
      <c r="E40" s="63" t="s">
        <v>888</v>
      </c>
      <c r="F40" s="63" t="s">
        <v>860</v>
      </c>
      <c r="G40" s="63">
        <v>25</v>
      </c>
      <c r="H40" s="63">
        <f t="shared" si="11"/>
        <v>298.14999999999998</v>
      </c>
      <c r="I40" s="692">
        <f t="shared" si="12"/>
        <v>14</v>
      </c>
      <c r="J40" s="815">
        <v>19.05</v>
      </c>
      <c r="K40" s="63"/>
      <c r="L40" s="63"/>
      <c r="M40" s="325"/>
      <c r="N40" s="63"/>
      <c r="O40" s="326"/>
      <c r="P40" s="326"/>
      <c r="Q40" s="226"/>
      <c r="R40" s="226"/>
      <c r="S40" s="226"/>
      <c r="T40" s="331"/>
      <c r="U40" s="331"/>
      <c r="V40" s="331"/>
      <c r="W40" s="65"/>
      <c r="X40" s="65"/>
      <c r="Y40" s="65"/>
      <c r="Z40" s="63">
        <v>7</v>
      </c>
      <c r="AA40" s="63"/>
      <c r="AB40" s="141">
        <f>0.29/10^3</f>
        <v>2.9E-4</v>
      </c>
      <c r="AC40" s="63" t="s">
        <v>600</v>
      </c>
      <c r="AD40" s="329">
        <f t="shared" si="9"/>
        <v>2.9E-4</v>
      </c>
      <c r="AE40" s="714">
        <f t="shared" si="3"/>
        <v>2.7663920041504832E-2</v>
      </c>
      <c r="AF40" s="227">
        <f t="shared" si="10"/>
        <v>2.9000000000000011E-4</v>
      </c>
      <c r="AG40" s="892">
        <f>AE40</f>
        <v>2.7663920041504832E-2</v>
      </c>
      <c r="AH40" s="331"/>
      <c r="AI40" s="331"/>
      <c r="AJ40" s="65"/>
      <c r="AK40" s="65"/>
      <c r="AL40" s="65"/>
      <c r="AM40" s="63"/>
      <c r="AN40" s="63"/>
      <c r="AO40" s="63"/>
      <c r="AP40" s="63"/>
      <c r="AQ40" s="65"/>
      <c r="AR40" s="65"/>
      <c r="AS40" s="226"/>
      <c r="AT40" s="226"/>
      <c r="AU40" s="226"/>
      <c r="AV40" s="65"/>
      <c r="AW40" s="65"/>
      <c r="AX40" s="65"/>
      <c r="AY40" s="65"/>
      <c r="AZ40" s="65"/>
      <c r="BA40" s="65"/>
      <c r="BB40" s="191"/>
      <c r="BC40" s="191"/>
      <c r="BD40" s="191"/>
      <c r="BE40" s="65"/>
      <c r="BF40" s="65"/>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row>
    <row r="41" spans="1:83" s="18" customFormat="1" ht="15" thickBot="1" x14ac:dyDescent="0.35">
      <c r="A41" s="63">
        <v>27</v>
      </c>
      <c r="B41" s="63" t="s">
        <v>876</v>
      </c>
      <c r="C41" s="63" t="s">
        <v>877</v>
      </c>
      <c r="D41" s="64"/>
      <c r="E41" s="63" t="s">
        <v>888</v>
      </c>
      <c r="F41" s="63" t="s">
        <v>860</v>
      </c>
      <c r="G41" s="63">
        <v>25</v>
      </c>
      <c r="H41" s="63">
        <f t="shared" si="11"/>
        <v>298.14999999999998</v>
      </c>
      <c r="I41" s="692">
        <f t="shared" si="12"/>
        <v>14</v>
      </c>
      <c r="J41" s="815">
        <v>19.05</v>
      </c>
      <c r="K41" s="63"/>
      <c r="L41" s="63"/>
      <c r="M41" s="325"/>
      <c r="N41" s="63"/>
      <c r="O41" s="326"/>
      <c r="P41" s="326"/>
      <c r="Q41" s="226"/>
      <c r="R41" s="226"/>
      <c r="S41" s="226"/>
      <c r="T41" s="331"/>
      <c r="U41" s="331"/>
      <c r="V41" s="331"/>
      <c r="W41" s="65"/>
      <c r="X41" s="65"/>
      <c r="Y41" s="65"/>
      <c r="Z41" s="63">
        <v>7</v>
      </c>
      <c r="AA41" s="63"/>
      <c r="AB41" s="141">
        <f>3.4/10^3</f>
        <v>3.3999999999999998E-3</v>
      </c>
      <c r="AC41" s="63" t="s">
        <v>600</v>
      </c>
      <c r="AD41" s="329">
        <f t="shared" si="9"/>
        <v>3.3999999999999998E-3</v>
      </c>
      <c r="AE41" s="714">
        <f t="shared" si="3"/>
        <v>2.3595696505989416E-3</v>
      </c>
      <c r="AF41" s="227">
        <f t="shared" si="10"/>
        <v>3.4000000000000007E-3</v>
      </c>
      <c r="AG41" s="892">
        <f>AE41</f>
        <v>2.3595696505989416E-3</v>
      </c>
      <c r="AH41" s="331"/>
      <c r="AI41" s="331"/>
      <c r="AJ41" s="65"/>
      <c r="AK41" s="65"/>
      <c r="AL41" s="65"/>
      <c r="AM41" s="63"/>
      <c r="AN41" s="63"/>
      <c r="AO41" s="63"/>
      <c r="AP41" s="63"/>
      <c r="AQ41" s="65"/>
      <c r="AR41" s="65"/>
      <c r="AS41" s="226"/>
      <c r="AT41" s="226"/>
      <c r="AU41" s="226"/>
      <c r="AV41" s="65"/>
      <c r="AW41" s="65"/>
      <c r="AX41" s="65"/>
      <c r="AY41" s="65"/>
      <c r="AZ41" s="65"/>
      <c r="BA41" s="65"/>
      <c r="BB41" s="191"/>
      <c r="BC41" s="191"/>
      <c r="BD41" s="191"/>
      <c r="BE41" s="65"/>
      <c r="BF41" s="65"/>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row>
    <row r="42" spans="1:83" s="18" customFormat="1" ht="15" thickBot="1" x14ac:dyDescent="0.35">
      <c r="A42" s="63">
        <v>28</v>
      </c>
      <c r="B42" s="63" t="s">
        <v>878</v>
      </c>
      <c r="C42" s="63" t="s">
        <v>879</v>
      </c>
      <c r="D42" s="64"/>
      <c r="E42" s="63" t="s">
        <v>888</v>
      </c>
      <c r="F42" s="63" t="s">
        <v>863</v>
      </c>
      <c r="G42" s="63">
        <v>25</v>
      </c>
      <c r="H42" s="63">
        <f t="shared" si="11"/>
        <v>298.14999999999998</v>
      </c>
      <c r="I42" s="692">
        <f t="shared" si="12"/>
        <v>14</v>
      </c>
      <c r="J42" s="815">
        <v>19.05</v>
      </c>
      <c r="K42" s="63"/>
      <c r="L42" s="63"/>
      <c r="M42" s="325"/>
      <c r="N42" s="63"/>
      <c r="O42" s="326"/>
      <c r="P42" s="326"/>
      <c r="Q42" s="226"/>
      <c r="R42" s="226"/>
      <c r="S42" s="226"/>
      <c r="T42" s="331"/>
      <c r="U42" s="331"/>
      <c r="V42" s="331"/>
      <c r="W42" s="65"/>
      <c r="X42" s="65"/>
      <c r="Y42" s="65"/>
      <c r="Z42" s="63">
        <v>7</v>
      </c>
      <c r="AA42" s="63"/>
      <c r="AB42" s="141">
        <v>0.6</v>
      </c>
      <c r="AC42" s="63" t="s">
        <v>600</v>
      </c>
      <c r="AD42" s="329">
        <f t="shared" si="9"/>
        <v>0.6</v>
      </c>
      <c r="AE42" s="714">
        <f t="shared" si="3"/>
        <v>1.337089468672734E-5</v>
      </c>
      <c r="AF42" s="227">
        <f t="shared" si="10"/>
        <v>0.6</v>
      </c>
      <c r="AG42" s="334">
        <f t="shared" si="13"/>
        <v>1.337089468672734E-5</v>
      </c>
      <c r="AH42" s="331"/>
      <c r="AI42" s="331"/>
      <c r="AJ42" s="65"/>
      <c r="AK42" s="65"/>
      <c r="AL42" s="65"/>
      <c r="AM42" s="63"/>
      <c r="AN42" s="63"/>
      <c r="AO42" s="63"/>
      <c r="AP42" s="63"/>
      <c r="AQ42" s="65"/>
      <c r="AR42" s="65"/>
      <c r="AS42" s="226"/>
      <c r="AT42" s="226"/>
      <c r="AU42" s="226"/>
      <c r="AV42" s="65"/>
      <c r="AW42" s="65"/>
      <c r="AX42" s="65"/>
      <c r="AY42" s="65"/>
      <c r="AZ42" s="65"/>
      <c r="BA42" s="65"/>
      <c r="BB42" s="191"/>
      <c r="BC42" s="191"/>
      <c r="BD42" s="191"/>
      <c r="BE42" s="65"/>
      <c r="BF42" s="65"/>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row>
    <row r="43" spans="1:83" s="18" customFormat="1" ht="15" thickBot="1" x14ac:dyDescent="0.35">
      <c r="A43" s="63">
        <v>29</v>
      </c>
      <c r="B43" s="63" t="s">
        <v>880</v>
      </c>
      <c r="C43" s="63" t="s">
        <v>881</v>
      </c>
      <c r="D43" s="64"/>
      <c r="E43" s="63" t="s">
        <v>888</v>
      </c>
      <c r="F43" s="63" t="s">
        <v>860</v>
      </c>
      <c r="G43" s="63">
        <v>25</v>
      </c>
      <c r="H43" s="63">
        <f t="shared" si="11"/>
        <v>298.14999999999998</v>
      </c>
      <c r="I43" s="692">
        <f t="shared" si="12"/>
        <v>14</v>
      </c>
      <c r="J43" s="815">
        <v>19.05</v>
      </c>
      <c r="K43" s="63"/>
      <c r="L43" s="63"/>
      <c r="M43" s="325"/>
      <c r="N43" s="63"/>
      <c r="O43" s="326"/>
      <c r="P43" s="326"/>
      <c r="Q43" s="226"/>
      <c r="R43" s="226"/>
      <c r="S43" s="226"/>
      <c r="T43" s="331"/>
      <c r="U43" s="331"/>
      <c r="V43" s="331"/>
      <c r="W43" s="65"/>
      <c r="X43" s="65"/>
      <c r="Y43" s="65"/>
      <c r="Z43" s="63">
        <v>7</v>
      </c>
      <c r="AA43" s="63"/>
      <c r="AB43" s="141">
        <f>0.7/10^3</f>
        <v>6.9999999999999999E-4</v>
      </c>
      <c r="AC43" s="63" t="s">
        <v>600</v>
      </c>
      <c r="AD43" s="329">
        <f t="shared" si="9"/>
        <v>6.9999999999999999E-4</v>
      </c>
      <c r="AE43" s="714">
        <f t="shared" si="3"/>
        <v>1.1460766874337718E-2</v>
      </c>
      <c r="AF43" s="227">
        <f t="shared" si="10"/>
        <v>7.000000000000001E-4</v>
      </c>
      <c r="AG43" s="892">
        <f>AE43</f>
        <v>1.1460766874337718E-2</v>
      </c>
      <c r="AH43" s="331"/>
      <c r="AI43" s="331"/>
      <c r="AJ43" s="65"/>
      <c r="AK43" s="65"/>
      <c r="AL43" s="65"/>
      <c r="AM43" s="63"/>
      <c r="AN43" s="63"/>
      <c r="AO43" s="63"/>
      <c r="AP43" s="63"/>
      <c r="AQ43" s="65"/>
      <c r="AR43" s="65"/>
      <c r="AS43" s="226"/>
      <c r="AT43" s="226"/>
      <c r="AU43" s="226"/>
      <c r="AV43" s="65"/>
      <c r="AW43" s="65"/>
      <c r="AX43" s="65"/>
      <c r="AY43" s="65"/>
      <c r="AZ43" s="65"/>
      <c r="BA43" s="65"/>
      <c r="BB43" s="191"/>
      <c r="BC43" s="191"/>
      <c r="BD43" s="191"/>
      <c r="BE43" s="65"/>
      <c r="BF43" s="65"/>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row>
    <row r="44" spans="1:83" s="18" customFormat="1" ht="15" thickBot="1" x14ac:dyDescent="0.35">
      <c r="A44" s="63">
        <v>30</v>
      </c>
      <c r="B44" s="63" t="s">
        <v>882</v>
      </c>
      <c r="C44" s="63" t="s">
        <v>883</v>
      </c>
      <c r="D44" s="64"/>
      <c r="E44" s="63" t="s">
        <v>888</v>
      </c>
      <c r="F44" s="63" t="s">
        <v>860</v>
      </c>
      <c r="G44" s="63">
        <v>25</v>
      </c>
      <c r="H44" s="63">
        <f t="shared" si="11"/>
        <v>298.14999999999998</v>
      </c>
      <c r="I44" s="692">
        <f t="shared" si="12"/>
        <v>14</v>
      </c>
      <c r="J44" s="815">
        <v>19.05</v>
      </c>
      <c r="K44" s="63"/>
      <c r="L44" s="63"/>
      <c r="M44" s="325"/>
      <c r="N44" s="63"/>
      <c r="O44" s="326"/>
      <c r="P44" s="326"/>
      <c r="Q44" s="226"/>
      <c r="R44" s="226"/>
      <c r="S44" s="226"/>
      <c r="T44" s="331"/>
      <c r="U44" s="331"/>
      <c r="V44" s="331"/>
      <c r="W44" s="65"/>
      <c r="X44" s="65"/>
      <c r="Y44" s="65"/>
      <c r="Z44" s="63">
        <v>7</v>
      </c>
      <c r="AA44" s="63"/>
      <c r="AB44" s="141">
        <f>3.5/10^3</f>
        <v>3.5000000000000001E-3</v>
      </c>
      <c r="AC44" s="63" t="s">
        <v>600</v>
      </c>
      <c r="AD44" s="329">
        <f t="shared" si="9"/>
        <v>3.5000000000000001E-3</v>
      </c>
      <c r="AE44" s="714">
        <f t="shared" si="3"/>
        <v>2.2921533748675436E-3</v>
      </c>
      <c r="AF44" s="227">
        <f t="shared" si="10"/>
        <v>3.5000000000000009E-3</v>
      </c>
      <c r="AG44" s="892">
        <f>AE44</f>
        <v>2.2921533748675436E-3</v>
      </c>
      <c r="AH44" s="331"/>
      <c r="AI44" s="331"/>
      <c r="AJ44" s="65"/>
      <c r="AK44" s="65"/>
      <c r="AL44" s="65"/>
      <c r="AM44" s="63"/>
      <c r="AN44" s="63"/>
      <c r="AO44" s="63"/>
      <c r="AP44" s="63"/>
      <c r="AQ44" s="65"/>
      <c r="AR44" s="65"/>
      <c r="AS44" s="226"/>
      <c r="AT44" s="226"/>
      <c r="AU44" s="226"/>
      <c r="AV44" s="65"/>
      <c r="AW44" s="65"/>
      <c r="AX44" s="65"/>
      <c r="AY44" s="65"/>
      <c r="AZ44" s="65"/>
      <c r="BA44" s="65"/>
      <c r="BB44" s="191"/>
      <c r="BC44" s="191"/>
      <c r="BD44" s="191"/>
      <c r="BE44" s="65"/>
      <c r="BF44" s="65"/>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row>
    <row r="45" spans="1:83" s="18" customFormat="1" ht="15" thickBot="1" x14ac:dyDescent="0.35">
      <c r="A45" s="63">
        <v>31</v>
      </c>
      <c r="B45" s="63" t="s">
        <v>884</v>
      </c>
      <c r="C45" s="63" t="s">
        <v>885</v>
      </c>
      <c r="D45" s="64" t="s">
        <v>1084</v>
      </c>
      <c r="E45" s="63" t="s">
        <v>888</v>
      </c>
      <c r="F45" s="63" t="s">
        <v>886</v>
      </c>
      <c r="G45" s="63">
        <v>25</v>
      </c>
      <c r="H45" s="63">
        <f t="shared" si="11"/>
        <v>298.14999999999998</v>
      </c>
      <c r="I45" s="692">
        <f t="shared" si="12"/>
        <v>14</v>
      </c>
      <c r="J45" s="815">
        <v>19.05</v>
      </c>
      <c r="K45" s="63"/>
      <c r="L45" s="63"/>
      <c r="M45" s="325"/>
      <c r="N45" s="63"/>
      <c r="O45" s="326"/>
      <c r="P45" s="326"/>
      <c r="Q45" s="226"/>
      <c r="R45" s="226"/>
      <c r="S45" s="226"/>
      <c r="T45" s="331"/>
      <c r="U45" s="331"/>
      <c r="V45" s="331"/>
      <c r="W45" s="65"/>
      <c r="X45" s="65"/>
      <c r="Y45" s="65"/>
      <c r="Z45" s="63">
        <v>7</v>
      </c>
      <c r="AA45" s="63"/>
      <c r="AB45" s="141">
        <f>1*10^5</f>
        <v>100000</v>
      </c>
      <c r="AC45" s="63" t="s">
        <v>600</v>
      </c>
      <c r="AD45" s="329">
        <f t="shared" si="9"/>
        <v>100000</v>
      </c>
      <c r="AE45" s="714">
        <f t="shared" si="3"/>
        <v>8.0225368120364025E-11</v>
      </c>
      <c r="AF45" s="227">
        <f t="shared" si="10"/>
        <v>100000.00000000001</v>
      </c>
      <c r="AG45" s="334">
        <f t="shared" si="13"/>
        <v>8.0225368120364025E-11</v>
      </c>
      <c r="AH45" s="331"/>
      <c r="AI45" s="331"/>
      <c r="AJ45" s="65"/>
      <c r="AK45" s="65"/>
      <c r="AL45" s="65"/>
      <c r="AM45" s="63"/>
      <c r="AN45" s="63"/>
      <c r="AO45" s="63"/>
      <c r="AP45" s="63"/>
      <c r="AQ45" s="65"/>
      <c r="AR45" s="65"/>
      <c r="AS45" s="226"/>
      <c r="AT45" s="226"/>
      <c r="AU45" s="226"/>
      <c r="AV45" s="65"/>
      <c r="AW45" s="65"/>
      <c r="AX45" s="65"/>
      <c r="AY45" s="65"/>
      <c r="AZ45" s="65"/>
      <c r="BA45" s="65"/>
      <c r="BB45" s="191"/>
      <c r="BC45" s="191"/>
      <c r="BD45" s="191"/>
      <c r="BE45" s="65"/>
      <c r="BF45" s="65"/>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row>
    <row r="46" spans="1:83" x14ac:dyDescent="0.3">
      <c r="I46" s="238"/>
    </row>
    <row r="48" spans="1:83" x14ac:dyDescent="0.3">
      <c r="AG48" s="335"/>
    </row>
    <row r="49" spans="31:41" x14ac:dyDescent="0.3">
      <c r="AG49" s="336"/>
    </row>
    <row r="50" spans="31:41" x14ac:dyDescent="0.3">
      <c r="AO50" s="31" t="s">
        <v>445</v>
      </c>
    </row>
    <row r="53" spans="31:41" x14ac:dyDescent="0.3">
      <c r="AE53" s="176">
        <f>AVERAGE(AE5:AE45)</f>
        <v>1.4232659159087978E-3</v>
      </c>
      <c r="AF53" s="31" t="s">
        <v>790</v>
      </c>
      <c r="AG53" s="176">
        <f>AVERAGE(AG5:AG45)</f>
        <v>1.9925465226188661E-3</v>
      </c>
      <c r="AH53" s="31" t="s">
        <v>790</v>
      </c>
      <c r="AK53" s="337"/>
      <c r="AL53" s="337"/>
    </row>
    <row r="54" spans="31:41" x14ac:dyDescent="0.3">
      <c r="AE54" s="176">
        <f>STDEV(AE5:AE45)</f>
        <v>5.0215453994546938E-3</v>
      </c>
      <c r="AF54" s="31" t="s">
        <v>791</v>
      </c>
      <c r="AG54" s="176">
        <f>STDEV(AG5:AG45)</f>
        <v>5.8771598247987084E-3</v>
      </c>
      <c r="AH54" s="31" t="s">
        <v>791</v>
      </c>
      <c r="AK54" s="338"/>
      <c r="AL54" s="338"/>
    </row>
    <row r="55" spans="31:41" x14ac:dyDescent="0.3">
      <c r="AE55" s="176">
        <f>MEDIAN(AE5:AE45)</f>
        <v>1.4264632242635661E-8</v>
      </c>
      <c r="AF55" s="31" t="s">
        <v>800</v>
      </c>
      <c r="AG55" s="176">
        <f>MEDIAN(AG5:AG45)</f>
        <v>8.4291008706483473E-7</v>
      </c>
      <c r="AH55" s="31" t="s">
        <v>800</v>
      </c>
      <c r="AK55" s="337"/>
      <c r="AL55" s="337"/>
    </row>
    <row r="56" spans="31:41" x14ac:dyDescent="0.3">
      <c r="AE56" s="176">
        <f>COUNT(AE5:AE45)</f>
        <v>35</v>
      </c>
      <c r="AF56" s="31" t="s">
        <v>789</v>
      </c>
      <c r="AG56" s="176">
        <f>COUNT(AG5:AG45)</f>
        <v>25</v>
      </c>
      <c r="AH56" s="31" t="s">
        <v>789</v>
      </c>
      <c r="AK56" s="72"/>
      <c r="AL56" s="72"/>
    </row>
    <row r="57" spans="31:41" x14ac:dyDescent="0.3">
      <c r="AE57" s="176">
        <f>MIN(AE5:AE45)</f>
        <v>6.4827354925613497E-13</v>
      </c>
      <c r="AF57" s="31" t="s">
        <v>803</v>
      </c>
      <c r="AG57" s="176">
        <f>MIN(AG5:AG45)</f>
        <v>6.4827354925613497E-13</v>
      </c>
      <c r="AH57" s="31" t="s">
        <v>803</v>
      </c>
      <c r="AK57" s="339"/>
      <c r="AL57" s="339"/>
    </row>
    <row r="58" spans="31:41" x14ac:dyDescent="0.3">
      <c r="AE58" s="108">
        <f>MAX(AE5:AE45)</f>
        <v>2.7663920041504832E-2</v>
      </c>
      <c r="AF58" s="31" t="s">
        <v>804</v>
      </c>
      <c r="AG58" s="340">
        <f>MAX(AG5:AG45)</f>
        <v>2.7663920041504832E-2</v>
      </c>
      <c r="AH58" s="31" t="s">
        <v>804</v>
      </c>
      <c r="AK58" s="143"/>
      <c r="AL58" s="143"/>
    </row>
    <row r="59" spans="31:41" x14ac:dyDescent="0.3">
      <c r="AF59" s="843" t="s">
        <v>1276</v>
      </c>
      <c r="AG59" s="157">
        <f>QUARTILE(AG$6:AG51,3)-QUARTILE(AG$6:AG51,1)</f>
        <v>2.3594537504619713E-4</v>
      </c>
      <c r="AH59" s="119"/>
    </row>
    <row r="60" spans="31:41" x14ac:dyDescent="0.3">
      <c r="AF60" s="843" t="s">
        <v>1277</v>
      </c>
      <c r="AG60" s="157">
        <f>MAX(AG55-2*AG59,0)</f>
        <v>0</v>
      </c>
      <c r="AH60" s="844" t="str">
        <f>IF(AG57&lt;AG60,"Outlier Flag","")</f>
        <v/>
      </c>
    </row>
    <row r="61" spans="31:41" x14ac:dyDescent="0.3">
      <c r="AF61" s="843" t="s">
        <v>1278</v>
      </c>
      <c r="AG61" s="119">
        <f>AG55+2.2*AG59</f>
        <v>5.1992273518869858E-4</v>
      </c>
      <c r="AH61" s="844" t="str">
        <f>IF(AG58&gt;AG61,"Outlier Flag","")</f>
        <v>Outlier Flag</v>
      </c>
      <c r="AI61" s="103"/>
    </row>
    <row r="63" spans="31:41" x14ac:dyDescent="0.3">
      <c r="AG63" s="31">
        <v>3.6257644709035854E-5</v>
      </c>
      <c r="AH63" s="31" t="s">
        <v>790</v>
      </c>
    </row>
    <row r="64" spans="31:41" x14ac:dyDescent="0.3">
      <c r="AG64" s="31">
        <v>7.1857492473942458E-5</v>
      </c>
      <c r="AH64" s="31" t="s">
        <v>791</v>
      </c>
    </row>
    <row r="65" spans="33:34" x14ac:dyDescent="0.3">
      <c r="AG65" s="31">
        <v>1.5453351596188635E-8</v>
      </c>
      <c r="AH65" s="31" t="s">
        <v>800</v>
      </c>
    </row>
    <row r="66" spans="33:34" x14ac:dyDescent="0.3">
      <c r="AG66" s="31">
        <v>19</v>
      </c>
      <c r="AH66" s="31" t="s">
        <v>789</v>
      </c>
    </row>
    <row r="67" spans="33:34" x14ac:dyDescent="0.3">
      <c r="AG67" s="31">
        <v>6.4827354925613497E-13</v>
      </c>
      <c r="AH67" s="31" t="s">
        <v>803</v>
      </c>
    </row>
    <row r="68" spans="33:34" x14ac:dyDescent="0.3">
      <c r="AG68" s="31">
        <v>2.3595696505989428E-4</v>
      </c>
      <c r="AH68" s="31" t="s">
        <v>804</v>
      </c>
    </row>
  </sheetData>
  <sheetProtection formatCells="0" formatColumns="0" formatRows="0" insertColumns="0" insertRows="0" insertHyperlinks="0" deleteColumns="0" deleteRows="0" sort="0"/>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2"/>
  <sheetViews>
    <sheetView workbookViewId="0">
      <selection activeCell="B1" sqref="B1"/>
    </sheetView>
  </sheetViews>
  <sheetFormatPr defaultRowHeight="14.4" x14ac:dyDescent="0.3"/>
  <cols>
    <col min="1" max="1" width="8.88671875" style="31"/>
    <col min="2" max="2" width="23.6640625" style="31" customWidth="1"/>
    <col min="3" max="3" width="17" style="31" bestFit="1" customWidth="1"/>
    <col min="4" max="4" width="23.6640625" style="31" bestFit="1" customWidth="1"/>
    <col min="5" max="5" width="8.88671875" style="31"/>
    <col min="6" max="6" width="10.109375" style="31" bestFit="1" customWidth="1"/>
    <col min="7" max="7" width="12.33203125" style="31" bestFit="1" customWidth="1"/>
    <col min="8" max="8" width="12.33203125" style="31" customWidth="1"/>
    <col min="9" max="9" width="8.88671875" style="31"/>
    <col min="10" max="10" width="9.33203125" style="31" bestFit="1" customWidth="1"/>
    <col min="11" max="12" width="8.88671875" style="31"/>
    <col min="13" max="13" width="11.33203125" style="31" bestFit="1" customWidth="1"/>
    <col min="14" max="14" width="12.6640625" style="31" customWidth="1"/>
    <col min="15" max="15" width="10.109375" style="31" customWidth="1"/>
    <col min="16" max="16" width="12.44140625" style="31" customWidth="1"/>
    <col min="17" max="17" width="8.88671875" style="31"/>
    <col min="18" max="18" width="10.109375" style="31" customWidth="1"/>
    <col min="19" max="19" width="12.44140625" style="31" customWidth="1"/>
    <col min="20" max="22" width="8.88671875" style="31"/>
    <col min="23" max="25" width="18.6640625" style="31" customWidth="1"/>
    <col min="26" max="27" width="8.88671875" style="31"/>
    <col min="28" max="28" width="11.44140625" style="31" customWidth="1"/>
    <col min="29" max="29" width="8.88671875" style="31"/>
    <col min="30" max="30" width="14.88671875" style="31" bestFit="1" customWidth="1"/>
    <col min="31" max="35" width="10.109375" style="31" customWidth="1"/>
    <col min="36" max="38" width="18.6640625" style="31" customWidth="1"/>
    <col min="39" max="40" width="10.109375" style="31" customWidth="1"/>
    <col min="41" max="41" width="11.44140625" style="31" customWidth="1"/>
    <col min="42" max="43" width="10.109375" style="31" customWidth="1"/>
    <col min="44" max="44" width="12.44140625" style="31" customWidth="1"/>
    <col min="45" max="45" width="8.88671875" style="31"/>
    <col min="46" max="46" width="10.109375" style="31" customWidth="1"/>
    <col min="47" max="47" width="12.44140625" style="31" customWidth="1"/>
    <col min="48" max="48" width="8.88671875" style="31"/>
    <col min="49" max="49" width="10.109375" style="31" customWidth="1"/>
    <col min="50" max="50" width="11.44140625" style="31" customWidth="1"/>
    <col min="51" max="53" width="18.6640625" style="31" customWidth="1"/>
    <col min="54" max="56" width="18.6640625" style="185" customWidth="1"/>
    <col min="57" max="58" width="8.88671875" style="31"/>
  </cols>
  <sheetData>
    <row r="1" spans="1:56" x14ac:dyDescent="0.3">
      <c r="A1" s="657" t="s">
        <v>1116</v>
      </c>
      <c r="B1" s="657"/>
      <c r="D1" s="32"/>
      <c r="I1" s="583"/>
      <c r="J1" s="92"/>
      <c r="K1" s="108" t="s">
        <v>626</v>
      </c>
      <c r="O1" s="86" t="s">
        <v>601</v>
      </c>
      <c r="P1" s="87"/>
      <c r="Q1" s="583" t="s">
        <v>602</v>
      </c>
      <c r="R1" s="586"/>
      <c r="S1" s="586"/>
      <c r="T1" s="118"/>
      <c r="U1" s="118"/>
      <c r="V1" s="118"/>
      <c r="W1" s="587"/>
      <c r="X1" s="587"/>
      <c r="Y1" s="587"/>
      <c r="Z1" s="108" t="s">
        <v>89</v>
      </c>
      <c r="AD1" s="87" t="s">
        <v>601</v>
      </c>
      <c r="AE1" s="583" t="s">
        <v>602</v>
      </c>
      <c r="AF1" s="586"/>
      <c r="AG1" s="156"/>
      <c r="AH1" s="156"/>
      <c r="AI1" s="156"/>
      <c r="AJ1" s="587"/>
      <c r="AK1" s="587"/>
      <c r="AL1" s="587"/>
      <c r="AM1" s="108" t="s">
        <v>627</v>
      </c>
      <c r="AQ1" s="86" t="s">
        <v>601</v>
      </c>
      <c r="AR1" s="86"/>
      <c r="AS1" s="583" t="s">
        <v>602</v>
      </c>
      <c r="AT1" s="586"/>
      <c r="AU1" s="586"/>
      <c r="AV1" s="118"/>
      <c r="AW1" s="118"/>
      <c r="AX1" s="118"/>
      <c r="AY1" s="587"/>
      <c r="AZ1" s="587"/>
      <c r="BA1" s="587"/>
    </row>
    <row r="2" spans="1:56" x14ac:dyDescent="0.3">
      <c r="D2" s="32"/>
      <c r="G2" s="584"/>
      <c r="H2" s="584"/>
      <c r="I2" s="583"/>
      <c r="J2" s="92"/>
      <c r="K2" s="108"/>
      <c r="O2" s="588" t="s">
        <v>603</v>
      </c>
      <c r="P2" s="589"/>
      <c r="Q2" s="590" t="s">
        <v>603</v>
      </c>
      <c r="R2" s="590" t="s">
        <v>603</v>
      </c>
      <c r="S2" s="590"/>
      <c r="T2" s="591" t="s">
        <v>801</v>
      </c>
      <c r="U2" s="591"/>
      <c r="V2" s="591"/>
      <c r="W2" s="592"/>
      <c r="X2" s="592"/>
      <c r="Y2" s="592"/>
      <c r="AD2" s="589"/>
      <c r="AE2" s="583"/>
      <c r="AF2" s="590"/>
      <c r="AG2" s="593" t="s">
        <v>801</v>
      </c>
      <c r="AH2" s="593"/>
      <c r="AI2" s="593"/>
      <c r="AJ2" s="592"/>
      <c r="AK2" s="592"/>
      <c r="AL2" s="592"/>
      <c r="AM2" s="108"/>
      <c r="AQ2" s="588" t="s">
        <v>604</v>
      </c>
      <c r="AR2" s="588"/>
      <c r="AS2" s="590" t="s">
        <v>604</v>
      </c>
      <c r="AT2" s="590" t="s">
        <v>604</v>
      </c>
      <c r="AU2" s="590"/>
      <c r="AV2" s="591" t="s">
        <v>801</v>
      </c>
      <c r="AW2" s="591"/>
      <c r="AX2" s="591"/>
      <c r="AY2" s="592"/>
      <c r="AZ2" s="592"/>
      <c r="BA2" s="592"/>
    </row>
    <row r="3" spans="1:56" ht="43.2" x14ac:dyDescent="0.3">
      <c r="B3" s="108" t="s">
        <v>1</v>
      </c>
      <c r="C3" s="108" t="s">
        <v>2</v>
      </c>
      <c r="D3" s="378" t="s">
        <v>930</v>
      </c>
      <c r="E3" s="108" t="s">
        <v>5</v>
      </c>
      <c r="F3" s="108" t="s">
        <v>7</v>
      </c>
      <c r="G3" s="594" t="s">
        <v>1176</v>
      </c>
      <c r="H3" s="594" t="s">
        <v>1176</v>
      </c>
      <c r="I3" s="595" t="s">
        <v>593</v>
      </c>
      <c r="J3" s="533"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row>
    <row r="4" spans="1:56" x14ac:dyDescent="0.3">
      <c r="D4" s="32"/>
      <c r="G4" s="33" t="s">
        <v>85</v>
      </c>
      <c r="H4" s="33" t="s">
        <v>522</v>
      </c>
      <c r="I4" s="595"/>
      <c r="J4" s="601" t="s">
        <v>595</v>
      </c>
      <c r="L4" s="31" t="s">
        <v>88</v>
      </c>
      <c r="O4" s="86" t="s">
        <v>596</v>
      </c>
      <c r="P4" s="87" t="s">
        <v>597</v>
      </c>
      <c r="Q4" s="583" t="s">
        <v>88</v>
      </c>
      <c r="R4" s="586" t="s">
        <v>596</v>
      </c>
      <c r="S4" s="586" t="s">
        <v>597</v>
      </c>
      <c r="T4" s="117" t="s">
        <v>88</v>
      </c>
      <c r="U4" s="117" t="s">
        <v>88</v>
      </c>
      <c r="V4" s="117" t="s">
        <v>88</v>
      </c>
      <c r="W4" s="592"/>
      <c r="X4" s="592"/>
      <c r="Y4" s="592"/>
      <c r="AA4" s="31" t="s">
        <v>88</v>
      </c>
      <c r="AD4" s="87" t="s">
        <v>596</v>
      </c>
      <c r="AE4" s="583" t="s">
        <v>88</v>
      </c>
      <c r="AF4" s="586" t="s">
        <v>596</v>
      </c>
      <c r="AG4" s="292" t="s">
        <v>88</v>
      </c>
      <c r="AH4" s="292" t="s">
        <v>88</v>
      </c>
      <c r="AI4" s="292" t="s">
        <v>88</v>
      </c>
      <c r="AJ4" s="602"/>
      <c r="AK4" s="602"/>
      <c r="AL4" s="602"/>
      <c r="AN4" s="31" t="s">
        <v>88</v>
      </c>
      <c r="AQ4" s="86" t="s">
        <v>596</v>
      </c>
      <c r="AR4" s="86" t="s">
        <v>597</v>
      </c>
      <c r="AS4" s="583" t="s">
        <v>88</v>
      </c>
      <c r="AT4" s="586" t="s">
        <v>596</v>
      </c>
      <c r="AU4" s="586" t="s">
        <v>597</v>
      </c>
      <c r="AV4" s="302" t="s">
        <v>88</v>
      </c>
      <c r="AW4" s="302" t="s">
        <v>88</v>
      </c>
      <c r="AX4" s="302" t="s">
        <v>88</v>
      </c>
      <c r="AY4" s="602"/>
      <c r="AZ4" s="602"/>
      <c r="BA4" s="648"/>
      <c r="BB4" s="319"/>
      <c r="BC4" s="192"/>
      <c r="BD4" s="603"/>
    </row>
    <row r="5" spans="1:56" ht="15" thickBot="1" x14ac:dyDescent="0.35">
      <c r="B5" s="108"/>
      <c r="C5" s="108"/>
      <c r="D5" s="378"/>
      <c r="E5" s="108"/>
      <c r="F5" s="108"/>
      <c r="G5" s="33"/>
      <c r="H5" s="33"/>
      <c r="I5" s="595"/>
      <c r="J5" s="715"/>
      <c r="O5" s="85"/>
      <c r="P5" s="85"/>
      <c r="Q5" s="583"/>
      <c r="R5" s="583"/>
      <c r="S5" s="583"/>
      <c r="T5" s="343"/>
      <c r="U5" s="343"/>
      <c r="V5" s="343"/>
      <c r="W5" s="143"/>
      <c r="X5" s="143"/>
      <c r="Y5" s="143"/>
      <c r="AD5" s="344"/>
      <c r="AE5" s="659"/>
      <c r="AF5" s="659"/>
      <c r="AG5" s="343"/>
      <c r="AH5" s="343"/>
      <c r="AI5" s="343"/>
      <c r="AJ5" s="143"/>
      <c r="AK5" s="143"/>
      <c r="AL5" s="143"/>
      <c r="AS5" s="659"/>
      <c r="AT5" s="659"/>
      <c r="AU5" s="659"/>
      <c r="AV5" s="153"/>
      <c r="AW5" s="153"/>
      <c r="AX5" s="153"/>
      <c r="AY5" s="115"/>
      <c r="AZ5" s="115"/>
      <c r="BA5" s="115"/>
      <c r="BB5" s="319"/>
      <c r="BC5" s="319"/>
      <c r="BD5" s="192"/>
    </row>
    <row r="6" spans="1:56" x14ac:dyDescent="0.3">
      <c r="A6" s="37">
        <v>1</v>
      </c>
      <c r="B6" s="37" t="s">
        <v>814</v>
      </c>
      <c r="C6" s="37" t="s">
        <v>820</v>
      </c>
      <c r="D6" s="38" t="s">
        <v>1083</v>
      </c>
      <c r="E6" s="37" t="s">
        <v>815</v>
      </c>
      <c r="F6" s="37"/>
      <c r="G6" s="37">
        <v>25.024999999999999</v>
      </c>
      <c r="H6" s="37">
        <f>G6+273.15</f>
        <v>298.17499999999995</v>
      </c>
      <c r="I6" s="716">
        <f>-LOG10(EXP(LN(10^-14)+13.36*(1/298.15-1/H6)/0.0019872))</f>
        <v>13.999178924377944</v>
      </c>
      <c r="J6" s="88">
        <v>16.79</v>
      </c>
      <c r="K6" s="37"/>
      <c r="L6" s="37"/>
      <c r="M6" s="37"/>
      <c r="N6" s="37"/>
      <c r="O6" s="37"/>
      <c r="P6" s="37"/>
      <c r="Q6" s="214"/>
      <c r="R6" s="214"/>
      <c r="S6" s="214"/>
      <c r="T6" s="345"/>
      <c r="U6" s="345"/>
      <c r="V6" s="345"/>
      <c r="W6" s="39" t="s">
        <v>1085</v>
      </c>
      <c r="X6" s="121"/>
      <c r="Y6" s="121"/>
      <c r="Z6" s="37">
        <v>7</v>
      </c>
      <c r="AA6" s="37"/>
      <c r="AB6" s="122">
        <v>5.6240000000000001E-4</v>
      </c>
      <c r="AC6" s="122" t="s">
        <v>600</v>
      </c>
      <c r="AD6" s="260">
        <f>AB6</f>
        <v>5.6240000000000001E-4</v>
      </c>
      <c r="AE6" s="215">
        <f>(LN(2)/AF6)/(60*60*24)</f>
        <v>1.4298756890312484E-2</v>
      </c>
      <c r="AF6" s="215">
        <f>EXP(LN(AD6)+$J6*(1/$H6-1/298.15)/0.0019872)</f>
        <v>5.6106533411108854E-4</v>
      </c>
      <c r="AG6" s="345">
        <f>AE6</f>
        <v>1.4298756890312484E-2</v>
      </c>
      <c r="AH6" s="345"/>
      <c r="AI6" s="345"/>
      <c r="AJ6" s="39" t="s">
        <v>1085</v>
      </c>
      <c r="AK6" s="121"/>
      <c r="AL6" s="121"/>
      <c r="AM6" s="121"/>
      <c r="AN6" s="121"/>
      <c r="AO6" s="121"/>
      <c r="AP6" s="121"/>
      <c r="AQ6" s="121"/>
      <c r="AR6" s="121"/>
      <c r="AS6" s="214"/>
      <c r="AT6" s="214"/>
      <c r="AU6" s="214"/>
      <c r="AV6" s="37"/>
      <c r="AW6" s="37"/>
      <c r="AX6" s="37"/>
      <c r="AY6" s="37" t="s">
        <v>1085</v>
      </c>
      <c r="AZ6" s="37"/>
      <c r="BA6" s="37"/>
      <c r="BB6" s="186"/>
      <c r="BC6" s="186"/>
      <c r="BD6" s="186"/>
    </row>
    <row r="7" spans="1:56" ht="15" thickBot="1" x14ac:dyDescent="0.35">
      <c r="D7" s="32"/>
      <c r="I7" s="717"/>
      <c r="J7" s="91"/>
      <c r="Q7" s="208"/>
      <c r="R7" s="208"/>
      <c r="S7" s="208"/>
      <c r="T7" s="253"/>
      <c r="U7" s="253"/>
      <c r="V7" s="253"/>
      <c r="W7" s="119"/>
      <c r="X7" s="119"/>
      <c r="Y7" s="119"/>
      <c r="AB7" s="103"/>
      <c r="AC7" s="103"/>
      <c r="AD7" s="262"/>
      <c r="AE7" s="209"/>
      <c r="AF7" s="209"/>
      <c r="AG7" s="253"/>
      <c r="AH7" s="253"/>
      <c r="AI7" s="253"/>
      <c r="AJ7" s="119"/>
      <c r="AK7" s="119"/>
      <c r="AL7" s="119"/>
      <c r="AM7" s="119"/>
      <c r="AN7" s="119"/>
      <c r="AO7" s="119"/>
      <c r="AP7" s="119"/>
      <c r="AQ7" s="119"/>
      <c r="AR7" s="119"/>
      <c r="AS7" s="208"/>
      <c r="AT7" s="208"/>
      <c r="AU7" s="208"/>
    </row>
    <row r="8" spans="1:56" x14ac:dyDescent="0.3">
      <c r="A8" s="37">
        <v>2</v>
      </c>
      <c r="B8" s="37" t="s">
        <v>816</v>
      </c>
      <c r="C8" s="37" t="s">
        <v>821</v>
      </c>
      <c r="D8" s="38" t="s">
        <v>1083</v>
      </c>
      <c r="E8" s="37" t="s">
        <v>815</v>
      </c>
      <c r="F8" s="37"/>
      <c r="G8" s="37">
        <v>24.524999999999999</v>
      </c>
      <c r="H8" s="37">
        <f>G8+273.15</f>
        <v>297.67499999999995</v>
      </c>
      <c r="I8" s="716">
        <f>-LOG10(EXP(LN(10^-14)+13.36*(1/298.15-1/H8)/0.0019872))</f>
        <v>14.015626640626618</v>
      </c>
      <c r="J8" s="88">
        <v>17.66</v>
      </c>
      <c r="K8" s="37"/>
      <c r="L8" s="37"/>
      <c r="M8" s="37"/>
      <c r="N8" s="37"/>
      <c r="O8" s="37"/>
      <c r="P8" s="37"/>
      <c r="Q8" s="214"/>
      <c r="R8" s="214"/>
      <c r="S8" s="214"/>
      <c r="T8" s="345"/>
      <c r="U8" s="345"/>
      <c r="V8" s="345"/>
      <c r="W8" s="39" t="s">
        <v>1085</v>
      </c>
      <c r="X8" s="121"/>
      <c r="Y8" s="121"/>
      <c r="Z8" s="37">
        <v>7</v>
      </c>
      <c r="AA8" s="37"/>
      <c r="AB8" s="122">
        <v>3.4989999999999999E-4</v>
      </c>
      <c r="AC8" s="122" t="s">
        <v>600</v>
      </c>
      <c r="AD8" s="260">
        <f>AB8</f>
        <v>3.4989999999999999E-4</v>
      </c>
      <c r="AE8" s="215">
        <f>(LN(2)/AF8)/(60*60*24)</f>
        <v>2.1863093038179817E-2</v>
      </c>
      <c r="AF8" s="215">
        <f>EXP(LN(AD8)+$J8*(1/$H8-1/298.15)/0.0019872)</f>
        <v>3.6694427444582237E-4</v>
      </c>
      <c r="AG8" s="345">
        <f>AE8</f>
        <v>2.1863093038179817E-2</v>
      </c>
      <c r="AH8" s="345"/>
      <c r="AI8" s="345"/>
      <c r="AJ8" s="39" t="s">
        <v>1085</v>
      </c>
      <c r="AK8" s="121"/>
      <c r="AL8" s="121"/>
      <c r="AM8" s="121"/>
      <c r="AN8" s="121"/>
      <c r="AO8" s="121"/>
      <c r="AP8" s="121"/>
      <c r="AQ8" s="121"/>
      <c r="AR8" s="121"/>
      <c r="AS8" s="214"/>
      <c r="AT8" s="214"/>
      <c r="AU8" s="214"/>
      <c r="AV8" s="37"/>
      <c r="AW8" s="37"/>
      <c r="AX8" s="37"/>
      <c r="AY8" s="37" t="s">
        <v>1085</v>
      </c>
      <c r="AZ8" s="37"/>
      <c r="BA8" s="37"/>
      <c r="BB8" s="186"/>
      <c r="BC8" s="186"/>
      <c r="BD8" s="186"/>
    </row>
    <row r="9" spans="1:56" ht="15" thickBot="1" x14ac:dyDescent="0.35">
      <c r="A9" s="60"/>
      <c r="B9" s="60"/>
      <c r="C9" s="60"/>
      <c r="D9" s="61"/>
      <c r="E9" s="60"/>
      <c r="F9" s="60"/>
      <c r="G9" s="60"/>
      <c r="H9" s="60"/>
      <c r="I9" s="718"/>
      <c r="J9" s="341"/>
      <c r="K9" s="60"/>
      <c r="L9" s="60"/>
      <c r="M9" s="60"/>
      <c r="N9" s="60"/>
      <c r="O9" s="60"/>
      <c r="P9" s="60"/>
      <c r="Q9" s="225"/>
      <c r="R9" s="225"/>
      <c r="S9" s="225"/>
      <c r="T9" s="332"/>
      <c r="U9" s="332"/>
      <c r="V9" s="332"/>
      <c r="W9" s="346"/>
      <c r="X9" s="346"/>
      <c r="Y9" s="346"/>
      <c r="Z9" s="60"/>
      <c r="AA9" s="60"/>
      <c r="AB9" s="330"/>
      <c r="AC9" s="330"/>
      <c r="AD9" s="328"/>
      <c r="AE9" s="713"/>
      <c r="AF9" s="713"/>
      <c r="AG9" s="332"/>
      <c r="AH9" s="332"/>
      <c r="AI9" s="332"/>
      <c r="AJ9" s="346"/>
      <c r="AK9" s="346"/>
      <c r="AL9" s="346"/>
      <c r="AM9" s="346"/>
      <c r="AN9" s="346"/>
      <c r="AO9" s="346"/>
      <c r="AP9" s="346"/>
      <c r="AQ9" s="346"/>
      <c r="AR9" s="346"/>
      <c r="AS9" s="225"/>
      <c r="AT9" s="225"/>
      <c r="AU9" s="225"/>
      <c r="AV9" s="60"/>
      <c r="AW9" s="60"/>
      <c r="AX9" s="60"/>
      <c r="AY9" s="60"/>
      <c r="AZ9" s="60"/>
      <c r="BA9" s="60"/>
      <c r="BB9" s="190"/>
      <c r="BC9" s="190"/>
      <c r="BD9" s="190"/>
    </row>
    <row r="10" spans="1:56" x14ac:dyDescent="0.3">
      <c r="A10" s="50">
        <v>3</v>
      </c>
      <c r="B10" s="50" t="s">
        <v>817</v>
      </c>
      <c r="C10" s="50" t="s">
        <v>822</v>
      </c>
      <c r="D10" s="38" t="s">
        <v>1083</v>
      </c>
      <c r="E10" s="50" t="s">
        <v>815</v>
      </c>
      <c r="F10" s="50"/>
      <c r="G10" s="50">
        <v>24.754999999999999</v>
      </c>
      <c r="H10" s="50">
        <f>G10+273.15</f>
        <v>297.90499999999997</v>
      </c>
      <c r="I10" s="719">
        <f>-LOG10(EXP(LN(10^-14)+13.36*(1/298.15-1/H10)/0.0019872))</f>
        <v>14.008053833911303</v>
      </c>
      <c r="J10" s="97">
        <v>17.72</v>
      </c>
      <c r="K10" s="50"/>
      <c r="L10" s="50"/>
      <c r="M10" s="50"/>
      <c r="N10" s="50"/>
      <c r="O10" s="50"/>
      <c r="P10" s="50"/>
      <c r="Q10" s="221"/>
      <c r="R10" s="221"/>
      <c r="S10" s="221"/>
      <c r="T10" s="347"/>
      <c r="U10" s="347"/>
      <c r="V10" s="347"/>
      <c r="W10" s="39" t="s">
        <v>1085</v>
      </c>
      <c r="X10" s="134"/>
      <c r="Y10" s="134"/>
      <c r="Z10" s="50">
        <v>7</v>
      </c>
      <c r="AA10" s="50"/>
      <c r="AB10" s="147">
        <v>3.9219999999999999E-4</v>
      </c>
      <c r="AC10" s="147" t="s">
        <v>600</v>
      </c>
      <c r="AD10" s="327">
        <f>AB10</f>
        <v>3.9219999999999999E-4</v>
      </c>
      <c r="AE10" s="222">
        <f>(LN(2)/AF10)/(60*60*24)</f>
        <v>1.9958226561163032E-2</v>
      </c>
      <c r="AF10" s="222">
        <f>EXP(LN(AD10)+$J10*(1/$H10-1/298.15)/0.0019872)</f>
        <v>4.0196641657769136E-4</v>
      </c>
      <c r="AG10" s="347">
        <f>AE10</f>
        <v>1.9958226561163032E-2</v>
      </c>
      <c r="AH10" s="347"/>
      <c r="AI10" s="347"/>
      <c r="AJ10" s="39" t="s">
        <v>1085</v>
      </c>
      <c r="AK10" s="134"/>
      <c r="AL10" s="134"/>
      <c r="AM10" s="134"/>
      <c r="AN10" s="134"/>
      <c r="AO10" s="134"/>
      <c r="AP10" s="134"/>
      <c r="AQ10" s="134"/>
      <c r="AR10" s="134"/>
      <c r="AS10" s="221"/>
      <c r="AT10" s="221"/>
      <c r="AU10" s="221"/>
      <c r="AV10" s="50"/>
      <c r="AW10" s="50"/>
      <c r="AX10" s="50"/>
      <c r="AY10" s="37" t="s">
        <v>1085</v>
      </c>
      <c r="AZ10" s="50"/>
      <c r="BA10" s="50"/>
      <c r="BB10" s="188"/>
      <c r="BC10" s="188"/>
      <c r="BD10" s="188"/>
    </row>
    <row r="11" spans="1:56" ht="15" thickBot="1" x14ac:dyDescent="0.35">
      <c r="D11" s="32"/>
      <c r="I11" s="717"/>
      <c r="J11" s="91"/>
      <c r="Q11" s="208"/>
      <c r="R11" s="208"/>
      <c r="S11" s="208"/>
      <c r="T11" s="253"/>
      <c r="U11" s="253"/>
      <c r="V11" s="253"/>
      <c r="W11" s="119"/>
      <c r="X11" s="119"/>
      <c r="Y11" s="119"/>
      <c r="AB11" s="103"/>
      <c r="AC11" s="103"/>
      <c r="AD11" s="262"/>
      <c r="AE11" s="209"/>
      <c r="AF11" s="209"/>
      <c r="AG11" s="253"/>
      <c r="AH11" s="253"/>
      <c r="AI11" s="253"/>
      <c r="AJ11" s="119"/>
      <c r="AK11" s="119"/>
      <c r="AL11" s="119"/>
      <c r="AM11" s="119"/>
      <c r="AN11" s="119"/>
      <c r="AO11" s="119"/>
      <c r="AP11" s="119"/>
      <c r="AQ11" s="119"/>
      <c r="AR11" s="119"/>
      <c r="AS11" s="208"/>
      <c r="AT11" s="208"/>
      <c r="AU11" s="208"/>
    </row>
    <row r="12" spans="1:56" ht="15" thickBot="1" x14ac:dyDescent="0.35">
      <c r="A12" s="63">
        <v>4</v>
      </c>
      <c r="B12" s="63" t="s">
        <v>818</v>
      </c>
      <c r="C12" s="63" t="s">
        <v>823</v>
      </c>
      <c r="D12" s="38" t="s">
        <v>1083</v>
      </c>
      <c r="E12" s="63" t="s">
        <v>815</v>
      </c>
      <c r="F12" s="63"/>
      <c r="G12" s="63">
        <v>24.54</v>
      </c>
      <c r="H12" s="63">
        <f>G12+273.15</f>
        <v>297.69</v>
      </c>
      <c r="I12" s="720">
        <f>-LOG10(EXP(LN(10^-14)+13.36*(1/298.15-1/H12)/0.0019872))</f>
        <v>14.015132405234857</v>
      </c>
      <c r="J12" s="342">
        <v>24.69</v>
      </c>
      <c r="K12" s="63"/>
      <c r="L12" s="63"/>
      <c r="M12" s="63"/>
      <c r="N12" s="63"/>
      <c r="O12" s="63"/>
      <c r="P12" s="63"/>
      <c r="Q12" s="226"/>
      <c r="R12" s="226"/>
      <c r="S12" s="226"/>
      <c r="T12" s="334"/>
      <c r="U12" s="334"/>
      <c r="V12" s="334"/>
      <c r="W12" s="39" t="s">
        <v>1085</v>
      </c>
      <c r="X12" s="140"/>
      <c r="Y12" s="140"/>
      <c r="Z12" s="63">
        <v>7</v>
      </c>
      <c r="AA12" s="63"/>
      <c r="AB12" s="141">
        <v>2.0460000000000001E-3</v>
      </c>
      <c r="AC12" s="141" t="s">
        <v>600</v>
      </c>
      <c r="AD12" s="329">
        <f>AB12</f>
        <v>2.0460000000000001E-3</v>
      </c>
      <c r="AE12" s="227">
        <f>(LN(2)/AF12)/(60*60*24)</f>
        <v>3.6765509495994774E-3</v>
      </c>
      <c r="AF12" s="227">
        <f>EXP(LN(AD12)+$J12*(1/$H12-1/298.15)/0.0019872)</f>
        <v>2.1820823162835203E-3</v>
      </c>
      <c r="AG12" s="334">
        <f>AE12</f>
        <v>3.6765509495994774E-3</v>
      </c>
      <c r="AH12" s="334"/>
      <c r="AI12" s="334"/>
      <c r="AJ12" s="39" t="s">
        <v>1085</v>
      </c>
      <c r="AK12" s="140"/>
      <c r="AL12" s="140"/>
      <c r="AM12" s="140"/>
      <c r="AN12" s="140"/>
      <c r="AO12" s="140"/>
      <c r="AP12" s="140"/>
      <c r="AQ12" s="140"/>
      <c r="AR12" s="140"/>
      <c r="AS12" s="226"/>
      <c r="AT12" s="226"/>
      <c r="AU12" s="226"/>
      <c r="AV12" s="63"/>
      <c r="AW12" s="63"/>
      <c r="AX12" s="63"/>
      <c r="AY12" s="37" t="s">
        <v>1085</v>
      </c>
      <c r="AZ12" s="63"/>
      <c r="BA12" s="63"/>
      <c r="BB12" s="191"/>
      <c r="BC12" s="191"/>
      <c r="BD12" s="191"/>
    </row>
    <row r="13" spans="1:56" x14ac:dyDescent="0.3">
      <c r="A13" s="151">
        <v>5</v>
      </c>
      <c r="B13" s="31" t="s">
        <v>819</v>
      </c>
      <c r="C13" s="31" t="s">
        <v>824</v>
      </c>
      <c r="D13" s="38" t="s">
        <v>1083</v>
      </c>
      <c r="E13" s="31" t="s">
        <v>815</v>
      </c>
      <c r="G13" s="31">
        <v>19.600000000000001</v>
      </c>
      <c r="H13" s="50">
        <f t="shared" ref="H13" si="0">G13+273.15</f>
        <v>292.75</v>
      </c>
      <c r="I13" s="719">
        <f t="shared" ref="I13" si="1">-LOG10(EXP(LN(10^-14)+13.36*(1/298.15-1/H13)/0.0019872))</f>
        <v>14.18063888061166</v>
      </c>
      <c r="J13" s="31">
        <v>14.7</v>
      </c>
      <c r="Q13" s="208"/>
      <c r="R13" s="208"/>
      <c r="S13" s="208"/>
      <c r="T13" s="347"/>
      <c r="U13" s="347"/>
      <c r="V13" s="347"/>
      <c r="W13" s="39" t="s">
        <v>1085</v>
      </c>
      <c r="X13" s="134"/>
      <c r="Y13" s="134"/>
      <c r="Z13" s="151">
        <v>7</v>
      </c>
      <c r="AB13" s="103">
        <v>8.4370000000000001E-3</v>
      </c>
      <c r="AC13" s="147" t="s">
        <v>600</v>
      </c>
      <c r="AD13" s="327">
        <f>AB13</f>
        <v>8.4370000000000001E-3</v>
      </c>
      <c r="AE13" s="222">
        <f>(LN(2)/AF13)/(60*60*24)</f>
        <v>6.0168172016578645E-4</v>
      </c>
      <c r="AF13" s="222">
        <f>EXP(LN(AD13)+$J13*(1/$H13-1/298.15)/0.0019872)</f>
        <v>1.3333522597006748E-2</v>
      </c>
      <c r="AG13" s="347">
        <f>AE13</f>
        <v>6.0168172016578645E-4</v>
      </c>
      <c r="AH13" s="347"/>
      <c r="AI13" s="347"/>
      <c r="AJ13" s="39" t="s">
        <v>1085</v>
      </c>
      <c r="AK13" s="134"/>
      <c r="AL13" s="134"/>
      <c r="AM13" s="134"/>
      <c r="AN13" s="134"/>
      <c r="AO13" s="134"/>
      <c r="AP13" s="134"/>
      <c r="AQ13" s="134"/>
      <c r="AR13" s="134"/>
      <c r="AS13" s="208"/>
      <c r="AT13" s="208"/>
      <c r="AU13" s="208"/>
      <c r="AY13" s="37" t="s">
        <v>1085</v>
      </c>
    </row>
    <row r="14" spans="1:56" ht="15" thickBot="1" x14ac:dyDescent="0.35">
      <c r="A14" s="60"/>
      <c r="B14" s="60"/>
      <c r="C14" s="60"/>
      <c r="D14" s="61"/>
      <c r="E14" s="60"/>
      <c r="F14" s="60"/>
      <c r="G14" s="60"/>
      <c r="H14" s="60"/>
      <c r="I14" s="718"/>
      <c r="J14" s="60"/>
      <c r="K14" s="60"/>
      <c r="L14" s="60"/>
      <c r="M14" s="60"/>
      <c r="N14" s="60"/>
      <c r="O14" s="60"/>
      <c r="P14" s="60"/>
      <c r="Q14" s="225"/>
      <c r="R14" s="225"/>
      <c r="S14" s="225"/>
      <c r="T14" s="60"/>
      <c r="U14" s="60"/>
      <c r="V14" s="60"/>
      <c r="W14" s="60"/>
      <c r="X14" s="60"/>
      <c r="Y14" s="60"/>
      <c r="Z14" s="60"/>
      <c r="AA14" s="60"/>
      <c r="AB14" s="60"/>
      <c r="AC14" s="60"/>
      <c r="AD14" s="328"/>
      <c r="AE14" s="713"/>
      <c r="AF14" s="713"/>
      <c r="AG14" s="332"/>
      <c r="AH14" s="59"/>
      <c r="AI14" s="59"/>
      <c r="AJ14" s="138"/>
      <c r="AK14" s="138"/>
      <c r="AL14" s="138"/>
      <c r="AM14" s="138"/>
      <c r="AN14" s="138"/>
      <c r="AO14" s="138"/>
      <c r="AP14" s="138"/>
      <c r="AQ14" s="138"/>
      <c r="AR14" s="138"/>
      <c r="AS14" s="225"/>
      <c r="AT14" s="225"/>
      <c r="AU14" s="225"/>
      <c r="AV14" s="60"/>
      <c r="AW14" s="60"/>
      <c r="AX14" s="60"/>
      <c r="AY14" s="60"/>
      <c r="AZ14" s="60"/>
      <c r="BA14" s="60"/>
      <c r="BB14" s="190"/>
      <c r="BC14" s="190"/>
      <c r="BD14" s="190"/>
    </row>
    <row r="15" spans="1:56" x14ac:dyDescent="0.3">
      <c r="A15" s="151"/>
      <c r="D15" s="32"/>
      <c r="H15" s="50"/>
      <c r="I15" s="719"/>
      <c r="J15" s="321"/>
      <c r="Q15" s="208"/>
      <c r="R15" s="208"/>
      <c r="S15" s="208"/>
      <c r="AB15" s="103"/>
      <c r="AC15" s="122"/>
      <c r="AD15" s="327"/>
      <c r="AE15" s="222"/>
      <c r="AF15" s="222"/>
      <c r="AG15" s="253"/>
      <c r="AH15" s="333"/>
      <c r="AI15" s="29"/>
      <c r="AJ15" s="40"/>
      <c r="AK15" s="40"/>
      <c r="AL15" s="40"/>
      <c r="AM15" s="40"/>
      <c r="AN15" s="40"/>
      <c r="AO15" s="40"/>
      <c r="AP15" s="40"/>
      <c r="AQ15" s="40"/>
      <c r="AR15" s="40"/>
      <c r="AS15" s="208"/>
      <c r="AT15" s="208"/>
      <c r="AU15" s="208"/>
    </row>
    <row r="16" spans="1:56" x14ac:dyDescent="0.3">
      <c r="D16" s="32"/>
      <c r="H16" s="50"/>
      <c r="I16" s="719"/>
      <c r="J16" s="321"/>
      <c r="Q16" s="208"/>
      <c r="R16" s="208"/>
      <c r="S16" s="208"/>
      <c r="AB16" s="103"/>
      <c r="AC16" s="147"/>
      <c r="AD16" s="327"/>
      <c r="AE16" s="222"/>
      <c r="AF16" s="222"/>
      <c r="AG16" s="253"/>
      <c r="AH16" s="29"/>
      <c r="AI16" s="29"/>
      <c r="AJ16" s="40"/>
      <c r="AK16" s="40"/>
      <c r="AL16" s="40"/>
      <c r="AM16" s="40"/>
      <c r="AN16" s="40"/>
      <c r="AO16" s="40"/>
      <c r="AP16" s="40"/>
      <c r="AQ16" s="40"/>
      <c r="AR16" s="40"/>
      <c r="AS16" s="208"/>
      <c r="AT16" s="208"/>
      <c r="AU16" s="208"/>
    </row>
    <row r="17" spans="1:56" ht="15" thickBot="1" x14ac:dyDescent="0.35">
      <c r="A17" s="60"/>
      <c r="B17" s="60"/>
      <c r="C17" s="60"/>
      <c r="D17" s="61"/>
      <c r="E17" s="60"/>
      <c r="F17" s="60"/>
      <c r="G17" s="60"/>
      <c r="H17" s="60"/>
      <c r="I17" s="718"/>
      <c r="J17" s="322"/>
      <c r="K17" s="60"/>
      <c r="L17" s="60"/>
      <c r="M17" s="60"/>
      <c r="N17" s="60"/>
      <c r="O17" s="60"/>
      <c r="P17" s="60"/>
      <c r="Q17" s="225"/>
      <c r="R17" s="225"/>
      <c r="S17" s="225"/>
      <c r="T17" s="60"/>
      <c r="U17" s="60"/>
      <c r="V17" s="60"/>
      <c r="W17" s="60"/>
      <c r="X17" s="60"/>
      <c r="Y17" s="60"/>
      <c r="Z17" s="60"/>
      <c r="AA17" s="60"/>
      <c r="AB17" s="60"/>
      <c r="AC17" s="60"/>
      <c r="AD17" s="328"/>
      <c r="AE17" s="713"/>
      <c r="AF17" s="713"/>
      <c r="AG17" s="332"/>
      <c r="AH17" s="59"/>
      <c r="AI17" s="59"/>
      <c r="AJ17" s="138"/>
      <c r="AK17" s="138"/>
      <c r="AL17" s="138"/>
      <c r="AM17" s="138"/>
      <c r="AN17" s="138"/>
      <c r="AO17" s="138"/>
      <c r="AP17" s="138"/>
      <c r="AQ17" s="138"/>
      <c r="AR17" s="138"/>
      <c r="AS17" s="225"/>
      <c r="AT17" s="225"/>
      <c r="AU17" s="225"/>
      <c r="AV17" s="60"/>
      <c r="AW17" s="60"/>
      <c r="AX17" s="60"/>
      <c r="AY17" s="60"/>
      <c r="AZ17" s="60"/>
      <c r="BA17" s="60"/>
      <c r="BB17" s="190"/>
      <c r="BC17" s="190"/>
      <c r="BD17" s="190"/>
    </row>
    <row r="18" spans="1:56" ht="15" thickBot="1" x14ac:dyDescent="0.35">
      <c r="A18" s="63"/>
      <c r="B18" s="63"/>
      <c r="C18" s="63"/>
      <c r="D18" s="908"/>
      <c r="E18" s="63"/>
      <c r="F18" s="63"/>
      <c r="G18" s="63"/>
      <c r="H18" s="63"/>
      <c r="I18" s="720"/>
      <c r="J18" s="323"/>
      <c r="K18" s="63"/>
      <c r="L18" s="63"/>
      <c r="M18" s="63"/>
      <c r="N18" s="63"/>
      <c r="O18" s="63"/>
      <c r="P18" s="63"/>
      <c r="Q18" s="226"/>
      <c r="R18" s="226"/>
      <c r="S18" s="226"/>
      <c r="T18" s="63"/>
      <c r="U18" s="63"/>
      <c r="V18" s="63"/>
      <c r="W18" s="63"/>
      <c r="X18" s="63"/>
      <c r="Y18" s="63"/>
      <c r="Z18" s="63"/>
      <c r="AA18" s="63"/>
      <c r="AB18" s="141"/>
      <c r="AC18" s="63"/>
      <c r="AD18" s="329"/>
      <c r="AE18" s="227"/>
      <c r="AF18" s="227"/>
      <c r="AG18" s="334"/>
      <c r="AH18" s="331"/>
      <c r="AI18" s="331"/>
      <c r="AJ18" s="65"/>
      <c r="AK18" s="65"/>
      <c r="AL18" s="65"/>
      <c r="AM18" s="65"/>
      <c r="AN18" s="65"/>
      <c r="AO18" s="65"/>
      <c r="AP18" s="65"/>
      <c r="AQ18" s="65"/>
      <c r="AR18" s="65"/>
      <c r="AS18" s="226"/>
      <c r="AT18" s="226"/>
      <c r="AU18" s="226"/>
      <c r="AV18" s="63"/>
      <c r="AW18" s="63"/>
      <c r="AX18" s="63"/>
      <c r="AY18" s="63"/>
      <c r="AZ18" s="63"/>
      <c r="BA18" s="63"/>
      <c r="BB18" s="191"/>
      <c r="BC18" s="191"/>
      <c r="BD18" s="191"/>
    </row>
    <row r="19" spans="1:56" ht="15" thickBot="1" x14ac:dyDescent="0.35">
      <c r="A19" s="63"/>
      <c r="B19" s="63"/>
      <c r="C19" s="63"/>
      <c r="D19" s="908"/>
      <c r="E19" s="63"/>
      <c r="F19" s="63"/>
      <c r="G19" s="63"/>
      <c r="H19" s="63"/>
      <c r="I19" s="720"/>
      <c r="J19" s="323"/>
      <c r="K19" s="63"/>
      <c r="L19" s="63"/>
      <c r="M19" s="63"/>
      <c r="N19" s="63"/>
      <c r="O19" s="63"/>
      <c r="P19" s="63"/>
      <c r="Q19" s="226"/>
      <c r="R19" s="226"/>
      <c r="S19" s="226"/>
      <c r="T19" s="63"/>
      <c r="U19" s="63"/>
      <c r="V19" s="63"/>
      <c r="W19" s="63"/>
      <c r="X19" s="63"/>
      <c r="Y19" s="63"/>
      <c r="Z19" s="63"/>
      <c r="AA19" s="63"/>
      <c r="AB19" s="141"/>
      <c r="AC19" s="63"/>
      <c r="AD19" s="329"/>
      <c r="AE19" s="227"/>
      <c r="AF19" s="227"/>
      <c r="AG19" s="334"/>
      <c r="AH19" s="331"/>
      <c r="AI19" s="331"/>
      <c r="AJ19" s="65"/>
      <c r="AK19" s="65"/>
      <c r="AL19" s="65"/>
      <c r="AM19" s="65"/>
      <c r="AN19" s="65"/>
      <c r="AO19" s="65"/>
      <c r="AP19" s="65"/>
      <c r="AQ19" s="65"/>
      <c r="AR19" s="65"/>
      <c r="AS19" s="226"/>
      <c r="AT19" s="226"/>
      <c r="AU19" s="226"/>
      <c r="AV19" s="63"/>
      <c r="AW19" s="63"/>
      <c r="AX19" s="63"/>
      <c r="AY19" s="63"/>
      <c r="AZ19" s="63"/>
      <c r="BA19" s="63"/>
      <c r="BB19" s="191"/>
      <c r="BC19" s="191"/>
      <c r="BD19" s="191"/>
    </row>
    <row r="20" spans="1:56" ht="15" thickBot="1" x14ac:dyDescent="0.35">
      <c r="A20" s="63"/>
      <c r="B20" s="63"/>
      <c r="C20" s="63"/>
      <c r="D20" s="908"/>
      <c r="E20" s="63"/>
      <c r="F20" s="63"/>
      <c r="G20" s="63"/>
      <c r="H20" s="63"/>
      <c r="I20" s="720"/>
      <c r="J20" s="323"/>
      <c r="K20" s="63"/>
      <c r="L20" s="63"/>
      <c r="M20" s="63"/>
      <c r="N20" s="63"/>
      <c r="O20" s="63"/>
      <c r="P20" s="63"/>
      <c r="Q20" s="226"/>
      <c r="R20" s="226"/>
      <c r="S20" s="226"/>
      <c r="T20" s="63"/>
      <c r="U20" s="63"/>
      <c r="V20" s="63"/>
      <c r="W20" s="63"/>
      <c r="X20" s="63"/>
      <c r="Y20" s="63"/>
      <c r="Z20" s="63"/>
      <c r="AA20" s="63"/>
      <c r="AB20" s="141"/>
      <c r="AC20" s="63"/>
      <c r="AD20" s="329"/>
      <c r="AE20" s="227"/>
      <c r="AF20" s="227"/>
      <c r="AG20" s="334"/>
      <c r="AH20" s="331"/>
      <c r="AI20" s="331"/>
      <c r="AJ20" s="65"/>
      <c r="AK20" s="65"/>
      <c r="AL20" s="65"/>
      <c r="AM20" s="65"/>
      <c r="AN20" s="65"/>
      <c r="AO20" s="65"/>
      <c r="AP20" s="65"/>
      <c r="AQ20" s="65"/>
      <c r="AR20" s="65"/>
      <c r="AS20" s="226"/>
      <c r="AT20" s="226"/>
      <c r="AU20" s="226"/>
      <c r="AV20" s="63"/>
      <c r="AW20" s="63"/>
      <c r="AX20" s="63"/>
      <c r="AY20" s="63"/>
      <c r="AZ20" s="63"/>
      <c r="BA20" s="63"/>
      <c r="BB20" s="191"/>
      <c r="BC20" s="191"/>
      <c r="BD20" s="191"/>
    </row>
    <row r="21" spans="1:56" ht="15" thickBot="1" x14ac:dyDescent="0.35">
      <c r="A21" s="63"/>
      <c r="B21" s="63"/>
      <c r="C21" s="63"/>
      <c r="D21" s="908"/>
      <c r="E21" s="63"/>
      <c r="F21" s="63"/>
      <c r="G21" s="63"/>
      <c r="H21" s="63"/>
      <c r="I21" s="720"/>
      <c r="J21" s="323"/>
      <c r="K21" s="63"/>
      <c r="L21" s="63"/>
      <c r="M21" s="63"/>
      <c r="N21" s="63"/>
      <c r="O21" s="63"/>
      <c r="P21" s="63"/>
      <c r="Q21" s="226"/>
      <c r="R21" s="226"/>
      <c r="S21" s="226"/>
      <c r="T21" s="63"/>
      <c r="U21" s="63"/>
      <c r="V21" s="63"/>
      <c r="W21" s="63"/>
      <c r="X21" s="63"/>
      <c r="Y21" s="63"/>
      <c r="Z21" s="63"/>
      <c r="AA21" s="63"/>
      <c r="AB21" s="141"/>
      <c r="AC21" s="63"/>
      <c r="AD21" s="329"/>
      <c r="AE21" s="227"/>
      <c r="AF21" s="227"/>
      <c r="AG21" s="334"/>
      <c r="AH21" s="331"/>
      <c r="AI21" s="331"/>
      <c r="AJ21" s="65"/>
      <c r="AK21" s="65"/>
      <c r="AL21" s="65"/>
      <c r="AM21" s="65"/>
      <c r="AN21" s="65"/>
      <c r="AO21" s="65"/>
      <c r="AP21" s="65"/>
      <c r="AQ21" s="65"/>
      <c r="AR21" s="65"/>
      <c r="AS21" s="226"/>
      <c r="AT21" s="226"/>
      <c r="AU21" s="226"/>
      <c r="AV21" s="63"/>
      <c r="AW21" s="63"/>
      <c r="AX21" s="63"/>
      <c r="AY21" s="63"/>
      <c r="AZ21" s="63"/>
      <c r="BA21" s="63"/>
      <c r="BB21" s="191"/>
      <c r="BC21" s="191"/>
      <c r="BD21" s="191"/>
    </row>
    <row r="24" spans="1:56" x14ac:dyDescent="0.3">
      <c r="AE24" s="176">
        <f>AVERAGE(AE6:AE14)</f>
        <v>1.2079661831884119E-2</v>
      </c>
      <c r="AF24" s="31" t="s">
        <v>790</v>
      </c>
      <c r="AG24" s="176">
        <f>AVERAGE(AG6:AG14)</f>
        <v>1.2079661831884119E-2</v>
      </c>
      <c r="AH24" s="31" t="s">
        <v>790</v>
      </c>
    </row>
    <row r="25" spans="1:56" x14ac:dyDescent="0.3">
      <c r="AE25" s="176">
        <f>STDEV(AE6:AE14)</f>
        <v>9.5533762511620917E-3</v>
      </c>
      <c r="AF25" s="31" t="s">
        <v>791</v>
      </c>
      <c r="AG25" s="176">
        <f>STDEV(AG6:AG14)</f>
        <v>9.5533762511620917E-3</v>
      </c>
      <c r="AH25" s="31" t="s">
        <v>791</v>
      </c>
    </row>
    <row r="26" spans="1:56" x14ac:dyDescent="0.3">
      <c r="AE26" s="176">
        <f>MEDIAN(AE6:AE13)</f>
        <v>1.4298756890312484E-2</v>
      </c>
      <c r="AF26" s="31" t="s">
        <v>800</v>
      </c>
      <c r="AG26" s="176">
        <f>MEDIAN(AG6:AG13)</f>
        <v>1.4298756890312484E-2</v>
      </c>
      <c r="AH26" s="31" t="s">
        <v>800</v>
      </c>
    </row>
    <row r="27" spans="1:56" x14ac:dyDescent="0.3">
      <c r="AE27" s="176">
        <f>COUNT(AE6:AE14)</f>
        <v>5</v>
      </c>
      <c r="AF27" s="31" t="s">
        <v>789</v>
      </c>
      <c r="AG27" s="176">
        <f>COUNT(AG6:AG14)</f>
        <v>5</v>
      </c>
      <c r="AH27" s="31" t="s">
        <v>789</v>
      </c>
    </row>
    <row r="28" spans="1:56" x14ac:dyDescent="0.3">
      <c r="AE28" s="176">
        <f>MIN(AE6:AE14)</f>
        <v>6.0168172016578645E-4</v>
      </c>
      <c r="AF28" s="31" t="s">
        <v>803</v>
      </c>
      <c r="AG28" s="176">
        <f>MIN(AG6:AG14)</f>
        <v>6.0168172016578645E-4</v>
      </c>
      <c r="AH28" s="31" t="s">
        <v>803</v>
      </c>
    </row>
    <row r="29" spans="1:56" x14ac:dyDescent="0.3">
      <c r="AE29" s="176">
        <f>MAX(AE6:AE14)</f>
        <v>2.1863093038179817E-2</v>
      </c>
      <c r="AF29" s="31" t="s">
        <v>804</v>
      </c>
      <c r="AG29" s="176">
        <f>MAX(AG6:AG14)</f>
        <v>2.1863093038179817E-2</v>
      </c>
      <c r="AH29" s="31" t="s">
        <v>804</v>
      </c>
    </row>
    <row r="30" spans="1:56" x14ac:dyDescent="0.3">
      <c r="AF30" s="843" t="s">
        <v>1276</v>
      </c>
      <c r="AG30" s="157">
        <f>QUARTILE(AG$6:AG22,3)-QUARTILE(AG$6:AG22,1)</f>
        <v>1.6281675611563556E-2</v>
      </c>
      <c r="AH30" s="119"/>
    </row>
    <row r="31" spans="1:56" x14ac:dyDescent="0.3">
      <c r="AF31" s="843" t="s">
        <v>1277</v>
      </c>
      <c r="AG31" s="157">
        <f>MAX(AG26-2*AG30,0)</f>
        <v>0</v>
      </c>
      <c r="AH31" s="844" t="str">
        <f>IF(AG28&lt;AG31,"Outlier Flag","")</f>
        <v/>
      </c>
    </row>
    <row r="32" spans="1:56" x14ac:dyDescent="0.3">
      <c r="AF32" s="843" t="s">
        <v>1278</v>
      </c>
      <c r="AG32" s="157">
        <f>AG26+2.2*AG30</f>
        <v>5.0118443235752312E-2</v>
      </c>
      <c r="AH32" s="844" t="str">
        <f>IF(AG29&gt;AG32,"Outlier Flag","")</f>
        <v/>
      </c>
    </row>
  </sheetData>
  <sheetProtection formatCells="0" formatColumns="0" formatRows="0" insertColumns="0" insertRows="0" insertHyperlinks="0" deleteColumns="0" deleteRows="0" sort="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7"/>
  <sheetViews>
    <sheetView zoomScaleNormal="100" workbookViewId="0">
      <selection sqref="A1:B1"/>
    </sheetView>
  </sheetViews>
  <sheetFormatPr defaultRowHeight="14.4" x14ac:dyDescent="0.3"/>
  <cols>
    <col min="1" max="1" width="3.6640625" style="31" customWidth="1"/>
    <col min="2" max="2" width="34.5546875" style="31" bestFit="1" customWidth="1"/>
    <col min="3" max="3" width="50.6640625" style="31" customWidth="1"/>
    <col min="4" max="4" width="42.33203125" style="40" customWidth="1"/>
    <col min="5" max="5" width="47.6640625" style="31" customWidth="1"/>
    <col min="6" max="6" width="27.44140625" style="31" customWidth="1"/>
    <col min="7" max="8" width="12.33203125" style="31" customWidth="1"/>
    <col min="9" max="9" width="8.88671875" style="31" customWidth="1"/>
    <col min="10" max="10" width="9.88671875" style="31" bestFit="1" customWidth="1"/>
    <col min="11" max="12" width="10.33203125" style="31" customWidth="1"/>
    <col min="13" max="13" width="11.5546875" style="31" customWidth="1"/>
    <col min="14" max="14" width="12.109375" style="31" customWidth="1"/>
    <col min="15" max="15" width="10.44140625" style="31" customWidth="1"/>
    <col min="16" max="16" width="13.44140625" style="31" bestFit="1" customWidth="1"/>
    <col min="17" max="17" width="10.33203125" style="31" customWidth="1"/>
    <col min="18" max="18" width="10.6640625" style="31" customWidth="1"/>
    <col min="19" max="19" width="13.44140625" style="31" bestFit="1" customWidth="1"/>
    <col min="20" max="22" width="10.109375" style="129" customWidth="1"/>
    <col min="23" max="25" width="16" style="146" customWidth="1"/>
    <col min="26" max="27" width="10.33203125" style="31" customWidth="1"/>
    <col min="28" max="28" width="11.5546875" style="31" customWidth="1"/>
    <col min="29" max="29" width="9.33203125" style="31" customWidth="1"/>
    <col min="30" max="30" width="15.33203125" style="31" customWidth="1"/>
    <col min="31" max="31" width="10.33203125" style="31" customWidth="1"/>
    <col min="32" max="32" width="10.44140625" style="31" customWidth="1"/>
    <col min="33" max="35" width="10.109375" style="175" customWidth="1"/>
    <col min="36" max="38" width="15.33203125" style="157" customWidth="1"/>
    <col min="39" max="40" width="10.109375" style="31" customWidth="1"/>
    <col min="41" max="41" width="11.5546875" style="31" customWidth="1"/>
    <col min="42" max="42" width="12.6640625" style="31" customWidth="1"/>
    <col min="43" max="43" width="10.6640625" style="31" customWidth="1"/>
    <col min="44" max="44" width="13.44140625" style="31" bestFit="1" customWidth="1"/>
    <col min="45" max="45" width="10.109375" style="31" customWidth="1"/>
    <col min="46" max="46" width="10.33203125" style="31" customWidth="1"/>
    <col min="47" max="47" width="13.44140625" style="31" bestFit="1" customWidth="1"/>
    <col min="48" max="50" width="10.33203125" style="129" customWidth="1"/>
    <col min="51" max="53" width="15.88671875" style="31" customWidth="1"/>
    <col min="54" max="54" width="37.88671875" style="185" customWidth="1"/>
    <col min="55" max="55" width="23.5546875" style="185" customWidth="1"/>
    <col min="56" max="56" width="14.5546875" style="185" customWidth="1"/>
    <col min="57" max="58" width="8.88671875" style="31"/>
  </cols>
  <sheetData>
    <row r="1" spans="1:58" x14ac:dyDescent="0.3">
      <c r="A1" s="899" t="s">
        <v>14</v>
      </c>
      <c r="B1" s="899"/>
      <c r="D1" s="32"/>
      <c r="K1" s="108" t="s">
        <v>626</v>
      </c>
      <c r="O1" s="86" t="s">
        <v>601</v>
      </c>
      <c r="P1" s="87"/>
      <c r="Q1" s="583" t="s">
        <v>602</v>
      </c>
      <c r="R1" s="586"/>
      <c r="S1" s="586"/>
      <c r="T1" s="118"/>
      <c r="U1" s="118"/>
      <c r="V1" s="118"/>
      <c r="W1" s="587"/>
      <c r="X1" s="587"/>
      <c r="Y1" s="587"/>
      <c r="Z1" s="108" t="s">
        <v>89</v>
      </c>
      <c r="AD1" s="87" t="s">
        <v>601</v>
      </c>
      <c r="AE1" s="583" t="s">
        <v>602</v>
      </c>
      <c r="AF1" s="586"/>
      <c r="AG1" s="156"/>
      <c r="AH1" s="156"/>
      <c r="AI1" s="156"/>
      <c r="AJ1" s="587"/>
      <c r="AK1" s="587"/>
      <c r="AL1" s="587"/>
      <c r="AM1" s="108" t="s">
        <v>627</v>
      </c>
      <c r="AQ1" s="86" t="s">
        <v>601</v>
      </c>
      <c r="AR1" s="86"/>
      <c r="AS1" s="583" t="s">
        <v>602</v>
      </c>
      <c r="AT1" s="586"/>
      <c r="AU1" s="586"/>
      <c r="AV1" s="118"/>
      <c r="AW1" s="118"/>
      <c r="AX1" s="118"/>
      <c r="AY1" s="587"/>
      <c r="AZ1" s="587"/>
      <c r="BA1" s="587"/>
    </row>
    <row r="2" spans="1:58" s="4" customFormat="1" x14ac:dyDescent="0.3">
      <c r="A2" s="31"/>
      <c r="B2" s="31"/>
      <c r="C2" s="31"/>
      <c r="D2" s="32"/>
      <c r="E2" s="31"/>
      <c r="F2" s="31"/>
      <c r="G2" s="584"/>
      <c r="H2" s="584"/>
      <c r="I2" s="583"/>
      <c r="J2" s="92"/>
      <c r="K2" s="108"/>
      <c r="L2" s="31"/>
      <c r="M2" s="31"/>
      <c r="N2" s="31"/>
      <c r="O2" s="588" t="s">
        <v>603</v>
      </c>
      <c r="P2" s="589"/>
      <c r="Q2" s="590" t="s">
        <v>603</v>
      </c>
      <c r="R2" s="590" t="s">
        <v>603</v>
      </c>
      <c r="S2" s="590"/>
      <c r="T2" s="591" t="s">
        <v>801</v>
      </c>
      <c r="U2" s="591"/>
      <c r="V2" s="591"/>
      <c r="W2" s="592"/>
      <c r="X2" s="592"/>
      <c r="Y2" s="592"/>
      <c r="Z2" s="31"/>
      <c r="AA2" s="31"/>
      <c r="AB2" s="31"/>
      <c r="AC2" s="31"/>
      <c r="AD2" s="589"/>
      <c r="AE2" s="583"/>
      <c r="AF2" s="590"/>
      <c r="AG2" s="593" t="s">
        <v>801</v>
      </c>
      <c r="AH2" s="593"/>
      <c r="AI2" s="593"/>
      <c r="AJ2" s="592"/>
      <c r="AK2" s="592"/>
      <c r="AL2" s="592"/>
      <c r="AM2" s="108"/>
      <c r="AN2" s="31"/>
      <c r="AO2" s="31"/>
      <c r="AP2" s="31"/>
      <c r="AQ2" s="588" t="s">
        <v>604</v>
      </c>
      <c r="AR2" s="588"/>
      <c r="AS2" s="590" t="s">
        <v>604</v>
      </c>
      <c r="AT2" s="590" t="s">
        <v>604</v>
      </c>
      <c r="AU2" s="590"/>
      <c r="AV2" s="591" t="s">
        <v>801</v>
      </c>
      <c r="AW2" s="591"/>
      <c r="AX2" s="591"/>
      <c r="AY2" s="592"/>
      <c r="AZ2" s="592"/>
      <c r="BA2" s="592"/>
      <c r="BB2" s="185"/>
      <c r="BC2" s="185"/>
      <c r="BD2" s="185"/>
      <c r="BE2" s="115"/>
      <c r="BF2" s="115"/>
    </row>
    <row r="3" spans="1:58" s="4" customFormat="1" ht="43.2" x14ac:dyDescent="0.3">
      <c r="A3" s="31"/>
      <c r="B3" s="108" t="s">
        <v>1</v>
      </c>
      <c r="C3" s="108" t="s">
        <v>2</v>
      </c>
      <c r="D3" s="378" t="s">
        <v>930</v>
      </c>
      <c r="E3" s="108" t="s">
        <v>5</v>
      </c>
      <c r="F3" s="108" t="s">
        <v>7</v>
      </c>
      <c r="G3" s="594" t="s">
        <v>1176</v>
      </c>
      <c r="H3" s="594" t="s">
        <v>1176</v>
      </c>
      <c r="I3" s="595" t="s">
        <v>593</v>
      </c>
      <c r="J3" s="533"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c r="BE3" s="115"/>
      <c r="BF3" s="115"/>
    </row>
    <row r="4" spans="1:58" s="4" customFormat="1" x14ac:dyDescent="0.3">
      <c r="A4" s="31"/>
      <c r="B4" s="31"/>
      <c r="C4" s="31"/>
      <c r="D4" s="32"/>
      <c r="E4" s="31"/>
      <c r="F4" s="31"/>
      <c r="G4" s="33" t="s">
        <v>85</v>
      </c>
      <c r="H4" s="33" t="s">
        <v>522</v>
      </c>
      <c r="I4" s="595"/>
      <c r="J4" s="601" t="s">
        <v>595</v>
      </c>
      <c r="K4" s="31"/>
      <c r="L4" s="31" t="s">
        <v>88</v>
      </c>
      <c r="M4" s="31"/>
      <c r="N4" s="31"/>
      <c r="O4" s="86" t="s">
        <v>596</v>
      </c>
      <c r="P4" s="87" t="s">
        <v>597</v>
      </c>
      <c r="Q4" s="583" t="s">
        <v>88</v>
      </c>
      <c r="R4" s="586" t="s">
        <v>596</v>
      </c>
      <c r="S4" s="586" t="s">
        <v>597</v>
      </c>
      <c r="T4" s="117" t="s">
        <v>88</v>
      </c>
      <c r="U4" s="117" t="s">
        <v>88</v>
      </c>
      <c r="V4" s="117" t="s">
        <v>88</v>
      </c>
      <c r="W4" s="592"/>
      <c r="X4" s="592"/>
      <c r="Y4" s="592"/>
      <c r="Z4" s="31"/>
      <c r="AA4" s="31" t="s">
        <v>88</v>
      </c>
      <c r="AB4" s="31"/>
      <c r="AC4" s="31"/>
      <c r="AD4" s="87" t="s">
        <v>596</v>
      </c>
      <c r="AE4" s="583" t="s">
        <v>88</v>
      </c>
      <c r="AF4" s="586" t="s">
        <v>596</v>
      </c>
      <c r="AG4" s="292" t="s">
        <v>88</v>
      </c>
      <c r="AH4" s="292" t="s">
        <v>88</v>
      </c>
      <c r="AI4" s="292" t="s">
        <v>88</v>
      </c>
      <c r="AJ4" s="602"/>
      <c r="AK4" s="602"/>
      <c r="AL4" s="602"/>
      <c r="AM4" s="31"/>
      <c r="AN4" s="31" t="s">
        <v>88</v>
      </c>
      <c r="AO4" s="31"/>
      <c r="AP4" s="31"/>
      <c r="AQ4" s="86" t="s">
        <v>596</v>
      </c>
      <c r="AR4" s="86" t="s">
        <v>597</v>
      </c>
      <c r="AS4" s="583" t="s">
        <v>88</v>
      </c>
      <c r="AT4" s="586" t="s">
        <v>596</v>
      </c>
      <c r="AU4" s="586" t="s">
        <v>597</v>
      </c>
      <c r="AV4" s="302" t="s">
        <v>88</v>
      </c>
      <c r="AW4" s="302" t="s">
        <v>88</v>
      </c>
      <c r="AX4" s="302" t="s">
        <v>88</v>
      </c>
      <c r="AY4" s="602"/>
      <c r="AZ4" s="602"/>
      <c r="BA4" s="648"/>
      <c r="BB4" s="319"/>
      <c r="BC4" s="192"/>
      <c r="BD4" s="603"/>
      <c r="BE4" s="115"/>
      <c r="BF4" s="115"/>
    </row>
    <row r="5" spans="1:58" s="4" customFormat="1" x14ac:dyDescent="0.3">
      <c r="A5" s="115"/>
      <c r="B5" s="108"/>
      <c r="C5" s="108"/>
      <c r="D5" s="378"/>
      <c r="E5" s="108"/>
      <c r="F5" s="108"/>
      <c r="G5" s="350"/>
      <c r="H5" s="350"/>
      <c r="I5" s="721"/>
      <c r="J5" s="379"/>
      <c r="K5" s="115"/>
      <c r="L5" s="115"/>
      <c r="M5" s="115"/>
      <c r="N5" s="115"/>
      <c r="O5" s="344"/>
      <c r="P5" s="344"/>
      <c r="Q5" s="659"/>
      <c r="R5" s="659"/>
      <c r="S5" s="659"/>
      <c r="T5" s="343"/>
      <c r="U5" s="343"/>
      <c r="V5" s="343"/>
      <c r="W5" s="153"/>
      <c r="X5" s="153"/>
      <c r="Y5" s="153"/>
      <c r="Z5" s="115"/>
      <c r="AA5" s="115"/>
      <c r="AB5" s="115"/>
      <c r="AC5" s="115"/>
      <c r="AD5" s="344"/>
      <c r="AE5" s="659"/>
      <c r="AF5" s="659"/>
      <c r="AG5" s="413"/>
      <c r="AH5" s="413"/>
      <c r="AI5" s="413"/>
      <c r="AJ5" s="174"/>
      <c r="AK5" s="174"/>
      <c r="AL5" s="174"/>
      <c r="AM5" s="115"/>
      <c r="AN5" s="115"/>
      <c r="AO5" s="115"/>
      <c r="AP5" s="115"/>
      <c r="AQ5" s="344"/>
      <c r="AR5" s="344"/>
      <c r="AS5" s="659"/>
      <c r="AT5" s="659"/>
      <c r="AU5" s="659"/>
      <c r="AV5" s="343"/>
      <c r="AW5" s="343"/>
      <c r="AX5" s="343"/>
      <c r="AY5" s="115"/>
      <c r="AZ5" s="115"/>
      <c r="BA5" s="115"/>
      <c r="BB5" s="319"/>
      <c r="BC5" s="319"/>
      <c r="BD5" s="192"/>
      <c r="BE5" s="115"/>
      <c r="BF5" s="115"/>
    </row>
    <row r="6" spans="1:58" s="4" customFormat="1" ht="20.25" customHeight="1" x14ac:dyDescent="0.3">
      <c r="A6" s="348">
        <v>1</v>
      </c>
      <c r="B6" s="34" t="s">
        <v>43</v>
      </c>
      <c r="C6" s="115" t="s">
        <v>154</v>
      </c>
      <c r="D6" s="314" t="s">
        <v>889</v>
      </c>
      <c r="E6" s="349" t="s">
        <v>155</v>
      </c>
      <c r="F6" s="115"/>
      <c r="G6" s="350">
        <v>30</v>
      </c>
      <c r="H6" s="350">
        <f t="shared" ref="H6:H34" si="0">G6+273.15</f>
        <v>303.14999999999998</v>
      </c>
      <c r="I6" s="724">
        <f t="shared" ref="I6:I34" si="1">-LOG10(EXP(LN(10^-14)+13.36*(1/298.15-1/H6)/0.0019872))</f>
        <v>13.838479812893434</v>
      </c>
      <c r="J6" s="379">
        <v>14.34</v>
      </c>
      <c r="K6" s="350"/>
      <c r="L6" s="350"/>
      <c r="M6" s="350"/>
      <c r="N6" s="350"/>
      <c r="O6" s="290"/>
      <c r="P6" s="344"/>
      <c r="Q6" s="668"/>
      <c r="R6" s="668"/>
      <c r="S6" s="668"/>
      <c r="T6" s="343"/>
      <c r="U6" s="343"/>
      <c r="V6" s="343"/>
      <c r="W6" s="153"/>
      <c r="X6" s="153"/>
      <c r="Y6" s="153"/>
      <c r="Z6" s="350"/>
      <c r="AA6" s="350"/>
      <c r="AB6" s="350"/>
      <c r="AC6" s="350"/>
      <c r="AD6" s="344"/>
      <c r="AE6" s="668"/>
      <c r="AF6" s="668"/>
      <c r="AG6" s="413"/>
      <c r="AH6" s="413"/>
      <c r="AI6" s="413"/>
      <c r="AJ6" s="174"/>
      <c r="AK6" s="174"/>
      <c r="AL6" s="174"/>
      <c r="AM6" s="350">
        <v>8</v>
      </c>
      <c r="AN6" s="350"/>
      <c r="AO6" s="395">
        <v>1.1E-4</v>
      </c>
      <c r="AP6" s="395" t="s">
        <v>600</v>
      </c>
      <c r="AQ6" s="386">
        <f>AO6*10^(9-AM6)</f>
        <v>1.1000000000000001E-3</v>
      </c>
      <c r="AR6" s="386">
        <f>AQ6*10^(I6-9)</f>
        <v>75.83549014137941</v>
      </c>
      <c r="AS6" s="682">
        <f>(LN(2)/AT6)/(60*60*24)</f>
        <v>1.5769119535738171E-2</v>
      </c>
      <c r="AT6" s="670">
        <f>AU6*10^(9-14)</f>
        <v>5.0874982549625649E-4</v>
      </c>
      <c r="AU6" s="670">
        <f>EXP(LN(AR6)+$J6*(1/$H6-1/298.15)/0.0019872)</f>
        <v>50.874982549625642</v>
      </c>
      <c r="AV6" s="404">
        <f>AS6</f>
        <v>1.5769119535738171E-2</v>
      </c>
      <c r="AW6" s="343"/>
      <c r="AX6" s="343"/>
      <c r="AY6" s="115"/>
      <c r="AZ6" s="115"/>
      <c r="BA6" s="115"/>
      <c r="BB6" s="426" t="s">
        <v>1055</v>
      </c>
      <c r="BC6" s="426" t="s">
        <v>1056</v>
      </c>
      <c r="BD6" s="192"/>
      <c r="BE6" s="115"/>
      <c r="BF6" s="115"/>
    </row>
    <row r="7" spans="1:58" s="4" customFormat="1" x14ac:dyDescent="0.3">
      <c r="A7" s="348"/>
      <c r="B7" s="34"/>
      <c r="C7" s="115"/>
      <c r="D7" s="314"/>
      <c r="E7" s="351"/>
      <c r="F7" s="115"/>
      <c r="G7" s="350"/>
      <c r="H7" s="350"/>
      <c r="I7" s="724"/>
      <c r="J7" s="379"/>
      <c r="K7" s="350"/>
      <c r="L7" s="350"/>
      <c r="M7" s="350"/>
      <c r="N7" s="350"/>
      <c r="O7" s="290"/>
      <c r="P7" s="344"/>
      <c r="Q7" s="668"/>
      <c r="R7" s="668"/>
      <c r="S7" s="668"/>
      <c r="T7" s="343"/>
      <c r="U7" s="343"/>
      <c r="V7" s="343"/>
      <c r="W7" s="153"/>
      <c r="X7" s="153"/>
      <c r="Y7" s="153"/>
      <c r="Z7" s="350"/>
      <c r="AA7" s="350"/>
      <c r="AB7" s="350"/>
      <c r="AC7" s="350"/>
      <c r="AD7" s="344"/>
      <c r="AE7" s="668"/>
      <c r="AF7" s="668"/>
      <c r="AG7" s="413"/>
      <c r="AH7" s="413"/>
      <c r="AI7" s="413"/>
      <c r="AJ7" s="174"/>
      <c r="AK7" s="174"/>
      <c r="AL7" s="174"/>
      <c r="AM7" s="350"/>
      <c r="AN7" s="350"/>
      <c r="AO7" s="395"/>
      <c r="AP7" s="395"/>
      <c r="AQ7" s="386"/>
      <c r="AR7" s="386"/>
      <c r="AS7" s="736"/>
      <c r="AT7" s="670"/>
      <c r="AU7" s="670"/>
      <c r="AV7" s="343"/>
      <c r="AW7" s="343"/>
      <c r="AX7" s="343"/>
      <c r="AY7" s="115"/>
      <c r="AZ7" s="115"/>
      <c r="BA7" s="115"/>
      <c r="BB7" s="426" t="s">
        <v>1057</v>
      </c>
      <c r="BC7" s="426" t="s">
        <v>1058</v>
      </c>
      <c r="BD7" s="192"/>
      <c r="BE7" s="115"/>
      <c r="BF7" s="115"/>
    </row>
    <row r="8" spans="1:58" s="20" customFormat="1" ht="15" thickBot="1" x14ac:dyDescent="0.35">
      <c r="A8" s="352"/>
      <c r="B8" s="353"/>
      <c r="C8" s="354"/>
      <c r="D8" s="355"/>
      <c r="E8" s="356"/>
      <c r="F8" s="354"/>
      <c r="G8" s="357"/>
      <c r="H8" s="357"/>
      <c r="I8" s="725"/>
      <c r="J8" s="380"/>
      <c r="K8" s="357"/>
      <c r="L8" s="357"/>
      <c r="M8" s="357"/>
      <c r="N8" s="357"/>
      <c r="O8" s="381"/>
      <c r="P8" s="382"/>
      <c r="Q8" s="728"/>
      <c r="R8" s="728"/>
      <c r="S8" s="728"/>
      <c r="T8" s="399"/>
      <c r="U8" s="399"/>
      <c r="V8" s="399"/>
      <c r="W8" s="400"/>
      <c r="X8" s="400"/>
      <c r="Y8" s="400"/>
      <c r="Z8" s="357"/>
      <c r="AA8" s="357"/>
      <c r="AB8" s="357"/>
      <c r="AC8" s="357"/>
      <c r="AD8" s="382"/>
      <c r="AE8" s="728"/>
      <c r="AF8" s="728"/>
      <c r="AG8" s="414"/>
      <c r="AH8" s="414"/>
      <c r="AI8" s="414"/>
      <c r="AJ8" s="415"/>
      <c r="AK8" s="415"/>
      <c r="AL8" s="415"/>
      <c r="AM8" s="357"/>
      <c r="AN8" s="357"/>
      <c r="AO8" s="416"/>
      <c r="AP8" s="416"/>
      <c r="AQ8" s="387"/>
      <c r="AR8" s="387"/>
      <c r="AS8" s="737"/>
      <c r="AT8" s="732"/>
      <c r="AU8" s="732"/>
      <c r="AV8" s="399"/>
      <c r="AW8" s="399"/>
      <c r="AX8" s="399"/>
      <c r="AY8" s="354"/>
      <c r="AZ8" s="354"/>
      <c r="BA8" s="354"/>
      <c r="BB8" s="427"/>
      <c r="BC8" s="427"/>
      <c r="BD8" s="428"/>
      <c r="BE8" s="354"/>
      <c r="BF8" s="354"/>
    </row>
    <row r="9" spans="1:58" s="19" customFormat="1" ht="18.75" customHeight="1" x14ac:dyDescent="0.3">
      <c r="A9" s="358">
        <v>2</v>
      </c>
      <c r="B9" s="359" t="s">
        <v>44</v>
      </c>
      <c r="C9" s="360" t="s">
        <v>157</v>
      </c>
      <c r="D9" s="361" t="s">
        <v>890</v>
      </c>
      <c r="E9" s="362" t="s">
        <v>156</v>
      </c>
      <c r="F9" s="362" t="s">
        <v>50</v>
      </c>
      <c r="G9" s="363">
        <v>40</v>
      </c>
      <c r="H9" s="363">
        <f t="shared" si="0"/>
        <v>313.14999999999998</v>
      </c>
      <c r="I9" s="726">
        <f t="shared" si="1"/>
        <v>13.530913191237214</v>
      </c>
      <c r="J9" s="383">
        <v>14.34</v>
      </c>
      <c r="K9" s="363">
        <v>2</v>
      </c>
      <c r="L9" s="363">
        <v>1280</v>
      </c>
      <c r="M9" s="363"/>
      <c r="N9" s="363" t="s">
        <v>605</v>
      </c>
      <c r="O9" s="384">
        <f>(LN(2)/L9/24/3600)*10^(K9-5)</f>
        <v>6.2676068844034397E-12</v>
      </c>
      <c r="P9" s="385">
        <f>O9*10^5</f>
        <v>6.2676068844034394E-7</v>
      </c>
      <c r="Q9" s="729">
        <f>(LN(2)/R9)/(24*60*60)</f>
        <v>4080429.1433134391</v>
      </c>
      <c r="R9" s="730">
        <f>S9*10^-5</f>
        <v>1.9661012433417351E-12</v>
      </c>
      <c r="S9" s="730">
        <f>EXP(LN(P9)+$J9*(1/$H9-1/298.15)/0.0019872)</f>
        <v>1.9661012433417349E-7</v>
      </c>
      <c r="T9" s="401">
        <f>AVERAGE(Q9:Q10)</f>
        <v>2040231.7554559654</v>
      </c>
      <c r="U9" s="401">
        <f>MEDIAN(Q9:Q10)</f>
        <v>2040231.7554559654</v>
      </c>
      <c r="V9" s="401">
        <f>STDEV(Q9:Q10)</f>
        <v>2885274.8158262009</v>
      </c>
      <c r="W9" s="402"/>
      <c r="X9" s="402"/>
      <c r="Y9" s="402" t="s">
        <v>1103</v>
      </c>
      <c r="Z9" s="363"/>
      <c r="AA9" s="363"/>
      <c r="AB9" s="363"/>
      <c r="AC9" s="363"/>
      <c r="AD9" s="403"/>
      <c r="AE9" s="735"/>
      <c r="AF9" s="735"/>
      <c r="AG9" s="401"/>
      <c r="AH9" s="401"/>
      <c r="AI9" s="401"/>
      <c r="AJ9" s="417"/>
      <c r="AK9" s="417"/>
      <c r="AL9" s="417"/>
      <c r="AM9" s="363">
        <v>9</v>
      </c>
      <c r="AN9" s="363" t="s">
        <v>1054</v>
      </c>
      <c r="AO9" s="363"/>
      <c r="AP9" s="363" t="s">
        <v>605</v>
      </c>
      <c r="AQ9" s="385"/>
      <c r="AR9" s="403"/>
      <c r="AS9" s="738"/>
      <c r="AT9" s="730"/>
      <c r="AU9" s="670"/>
      <c r="AV9" s="404"/>
      <c r="AW9" s="404"/>
      <c r="AX9" s="404"/>
      <c r="AY9" s="360"/>
      <c r="AZ9" s="360"/>
      <c r="BA9" s="360"/>
      <c r="BB9" s="429" t="s">
        <v>1059</v>
      </c>
      <c r="BC9" s="429" t="s">
        <v>1060</v>
      </c>
      <c r="BD9" s="430"/>
      <c r="BE9" s="360"/>
      <c r="BF9" s="360"/>
    </row>
    <row r="10" spans="1:58" s="4" customFormat="1" x14ac:dyDescent="0.3">
      <c r="A10" s="348"/>
      <c r="B10" s="34"/>
      <c r="C10" s="115"/>
      <c r="D10" s="314"/>
      <c r="E10" s="351"/>
      <c r="F10" s="351"/>
      <c r="G10" s="350">
        <v>55</v>
      </c>
      <c r="H10" s="350">
        <f t="shared" si="0"/>
        <v>328.15</v>
      </c>
      <c r="I10" s="724">
        <f t="shared" si="1"/>
        <v>13.104711051872215</v>
      </c>
      <c r="J10" s="379">
        <v>14.34</v>
      </c>
      <c r="K10" s="350">
        <v>6</v>
      </c>
      <c r="L10" s="350">
        <v>37.6</v>
      </c>
      <c r="M10" s="350"/>
      <c r="N10" s="350" t="s">
        <v>605</v>
      </c>
      <c r="O10" s="386">
        <f>(LN(2)/L10/24/3600)*10^(K10-5)</f>
        <v>2.1336534074564898E-6</v>
      </c>
      <c r="P10" s="386">
        <f t="shared" ref="P10:P29" si="2">O10*10^5</f>
        <v>0.21336534074564897</v>
      </c>
      <c r="Q10" s="729">
        <f t="shared" ref="Q10:Q29" si="3">(LN(2)/R10)/(24*60*60)</f>
        <v>34.367598491765641</v>
      </c>
      <c r="R10" s="670">
        <f t="shared" ref="R10:R29" si="4">S10*10^-5</f>
        <v>2.334331511105897E-7</v>
      </c>
      <c r="S10" s="670">
        <f t="shared" ref="S10:S29" si="5">EXP(LN(P10)+$J10*(1/$H10-1/298.15)/0.0019872)</f>
        <v>2.3343315111058967E-2</v>
      </c>
      <c r="T10" s="772"/>
      <c r="U10" s="772"/>
      <c r="V10" s="343"/>
      <c r="W10" s="153"/>
      <c r="X10" s="153"/>
      <c r="Y10" s="402" t="s">
        <v>1103</v>
      </c>
      <c r="Z10" s="350"/>
      <c r="AA10" s="350"/>
      <c r="AB10" s="350"/>
      <c r="AC10" s="350"/>
      <c r="AD10" s="344"/>
      <c r="AE10" s="668"/>
      <c r="AF10" s="668"/>
      <c r="AG10" s="413"/>
      <c r="AH10" s="413"/>
      <c r="AI10" s="413"/>
      <c r="AJ10" s="174"/>
      <c r="AK10" s="174"/>
      <c r="AL10" s="174"/>
      <c r="AM10" s="350"/>
      <c r="AN10" s="350"/>
      <c r="AO10" s="350"/>
      <c r="AP10" s="350"/>
      <c r="AQ10" s="386"/>
      <c r="AR10" s="386"/>
      <c r="AS10" s="736"/>
      <c r="AT10" s="670"/>
      <c r="AU10" s="670"/>
      <c r="AV10" s="343"/>
      <c r="AW10" s="343"/>
      <c r="AX10" s="343"/>
      <c r="AY10" s="115"/>
      <c r="AZ10" s="115"/>
      <c r="BA10" s="115"/>
      <c r="BB10" s="431"/>
      <c r="BC10" s="431"/>
      <c r="BD10" s="192"/>
      <c r="BE10" s="115"/>
      <c r="BF10" s="115"/>
    </row>
    <row r="11" spans="1:58" s="20" customFormat="1" ht="21" customHeight="1" thickBot="1" x14ac:dyDescent="0.35">
      <c r="A11" s="352"/>
      <c r="B11" s="353"/>
      <c r="C11" s="354"/>
      <c r="D11" s="355"/>
      <c r="E11" s="356"/>
      <c r="F11" s="356"/>
      <c r="G11" s="357"/>
      <c r="H11" s="357"/>
      <c r="I11" s="725"/>
      <c r="J11" s="380"/>
      <c r="K11" s="357"/>
      <c r="L11" s="357"/>
      <c r="M11" s="357"/>
      <c r="N11" s="357"/>
      <c r="O11" s="387"/>
      <c r="P11" s="387"/>
      <c r="Q11" s="731"/>
      <c r="R11" s="732"/>
      <c r="S11" s="732"/>
      <c r="T11" s="399"/>
      <c r="U11" s="399"/>
      <c r="V11" s="399"/>
      <c r="W11" s="400"/>
      <c r="X11" s="400"/>
      <c r="Y11" s="400"/>
      <c r="Z11" s="357"/>
      <c r="AA11" s="357"/>
      <c r="AB11" s="357"/>
      <c r="AC11" s="357"/>
      <c r="AD11" s="382"/>
      <c r="AE11" s="728"/>
      <c r="AF11" s="728"/>
      <c r="AG11" s="414"/>
      <c r="AH11" s="414"/>
      <c r="AI11" s="414"/>
      <c r="AJ11" s="415"/>
      <c r="AK11" s="415"/>
      <c r="AL11" s="415"/>
      <c r="AM11" s="357"/>
      <c r="AN11" s="357"/>
      <c r="AO11" s="357"/>
      <c r="AP11" s="357"/>
      <c r="AQ11" s="387"/>
      <c r="AR11" s="387"/>
      <c r="AS11" s="737"/>
      <c r="AT11" s="732"/>
      <c r="AU11" s="732"/>
      <c r="AV11" s="399"/>
      <c r="AW11" s="399"/>
      <c r="AX11" s="399"/>
      <c r="AY11" s="354"/>
      <c r="AZ11" s="354"/>
      <c r="BA11" s="354"/>
      <c r="BB11" s="432"/>
      <c r="BC11" s="432"/>
      <c r="BD11" s="428"/>
      <c r="BE11" s="354"/>
      <c r="BF11" s="354"/>
    </row>
    <row r="12" spans="1:58" s="19" customFormat="1" ht="24" customHeight="1" x14ac:dyDescent="0.3">
      <c r="A12" s="358">
        <v>3</v>
      </c>
      <c r="B12" s="359" t="s">
        <v>45</v>
      </c>
      <c r="C12" s="360" t="s">
        <v>159</v>
      </c>
      <c r="D12" s="361" t="s">
        <v>891</v>
      </c>
      <c r="E12" s="362" t="s">
        <v>158</v>
      </c>
      <c r="F12" s="364" t="s">
        <v>196</v>
      </c>
      <c r="G12" s="363">
        <v>25</v>
      </c>
      <c r="H12" s="363">
        <f t="shared" si="0"/>
        <v>298.14999999999998</v>
      </c>
      <c r="I12" s="726">
        <f t="shared" si="1"/>
        <v>14</v>
      </c>
      <c r="J12" s="383">
        <v>14.34</v>
      </c>
      <c r="K12" s="363"/>
      <c r="L12" s="363"/>
      <c r="M12" s="363"/>
      <c r="N12" s="363"/>
      <c r="O12" s="385"/>
      <c r="P12" s="385"/>
      <c r="Q12" s="729"/>
      <c r="R12" s="730"/>
      <c r="S12" s="730"/>
      <c r="T12" s="404"/>
      <c r="U12" s="404"/>
      <c r="V12" s="404"/>
      <c r="W12" s="402"/>
      <c r="X12" s="402"/>
      <c r="Y12" s="402"/>
      <c r="Z12" s="363">
        <v>7</v>
      </c>
      <c r="AA12" s="405">
        <v>540</v>
      </c>
      <c r="AB12" s="363"/>
      <c r="AC12" s="363" t="s">
        <v>605</v>
      </c>
      <c r="AD12" s="385">
        <f>LN(2)/AA12/24/3600</f>
        <v>1.4856549651919267E-8</v>
      </c>
      <c r="AE12" s="729">
        <f>(LN(2)/AF12)/(24*60*60)</f>
        <v>539.99999999999932</v>
      </c>
      <c r="AF12" s="730">
        <f>EXP(LN(AD12)+$J12*(1/$H12-1/298.15)/0.0019872)</f>
        <v>1.4856549651919286E-8</v>
      </c>
      <c r="AG12" s="404">
        <f>AE12</f>
        <v>539.99999999999932</v>
      </c>
      <c r="AH12" s="401"/>
      <c r="AI12" s="401"/>
      <c r="AJ12" s="417"/>
      <c r="AK12" s="417"/>
      <c r="AL12" s="417"/>
      <c r="AM12" s="363"/>
      <c r="AN12" s="363"/>
      <c r="AO12" s="363"/>
      <c r="AP12" s="363"/>
      <c r="AQ12" s="385"/>
      <c r="AR12" s="418"/>
      <c r="AS12" s="738"/>
      <c r="AT12" s="730"/>
      <c r="AU12" s="670"/>
      <c r="AV12" s="404"/>
      <c r="AW12" s="404"/>
      <c r="AX12" s="404"/>
      <c r="AY12" s="360"/>
      <c r="AZ12" s="360"/>
      <c r="BA12" s="360"/>
      <c r="BB12" s="429" t="s">
        <v>1061</v>
      </c>
      <c r="BC12" s="429" t="s">
        <v>1062</v>
      </c>
      <c r="BD12" s="430"/>
      <c r="BE12" s="360"/>
      <c r="BF12" s="360"/>
    </row>
    <row r="13" spans="1:58" s="4" customFormat="1" ht="16.5" customHeight="1" thickBot="1" x14ac:dyDescent="0.35">
      <c r="A13" s="348"/>
      <c r="B13" s="34"/>
      <c r="C13" s="115"/>
      <c r="D13" s="314"/>
      <c r="E13" s="351"/>
      <c r="F13" s="365"/>
      <c r="G13" s="350"/>
      <c r="H13" s="350"/>
      <c r="I13" s="724"/>
      <c r="J13" s="379"/>
      <c r="K13" s="350"/>
      <c r="L13" s="350"/>
      <c r="M13" s="350"/>
      <c r="N13" s="350"/>
      <c r="O13" s="386"/>
      <c r="P13" s="386"/>
      <c r="Q13" s="729"/>
      <c r="R13" s="670"/>
      <c r="S13" s="670"/>
      <c r="T13" s="343"/>
      <c r="U13" s="343"/>
      <c r="V13" s="343"/>
      <c r="W13" s="153"/>
      <c r="X13" s="153"/>
      <c r="Y13" s="153"/>
      <c r="Z13" s="350"/>
      <c r="AA13" s="406"/>
      <c r="AB13" s="350"/>
      <c r="AC13" s="350"/>
      <c r="AD13" s="386"/>
      <c r="AE13" s="675"/>
      <c r="AF13" s="670"/>
      <c r="AG13" s="413"/>
      <c r="AH13" s="413"/>
      <c r="AI13" s="413"/>
      <c r="AJ13" s="174"/>
      <c r="AK13" s="174"/>
      <c r="AL13" s="174"/>
      <c r="AM13" s="350"/>
      <c r="AN13" s="350"/>
      <c r="AO13" s="350"/>
      <c r="AP13" s="350"/>
      <c r="AQ13" s="386"/>
      <c r="AR13" s="419"/>
      <c r="AS13" s="736"/>
      <c r="AT13" s="670"/>
      <c r="AU13" s="670"/>
      <c r="AV13" s="343"/>
      <c r="AW13" s="343"/>
      <c r="AX13" s="343"/>
      <c r="AY13" s="115"/>
      <c r="AZ13" s="115"/>
      <c r="BA13" s="115"/>
      <c r="BB13" s="426"/>
      <c r="BC13" s="426"/>
      <c r="BD13" s="192"/>
      <c r="BE13" s="115"/>
      <c r="BF13" s="115"/>
    </row>
    <row r="14" spans="1:58" s="12" customFormat="1" ht="20.25" customHeight="1" x14ac:dyDescent="0.3">
      <c r="A14" s="366">
        <v>4</v>
      </c>
      <c r="B14" s="367" t="s">
        <v>37</v>
      </c>
      <c r="C14" s="368" t="s">
        <v>91</v>
      </c>
      <c r="D14" s="369" t="s">
        <v>892</v>
      </c>
      <c r="E14" s="56" t="s">
        <v>31</v>
      </c>
      <c r="F14" s="56"/>
      <c r="G14" s="370">
        <v>50</v>
      </c>
      <c r="H14" s="370">
        <f t="shared" si="0"/>
        <v>323.14999999999998</v>
      </c>
      <c r="I14" s="727">
        <f t="shared" si="1"/>
        <v>13.242382102408241</v>
      </c>
      <c r="J14" s="388">
        <v>14.34</v>
      </c>
      <c r="K14" s="370">
        <v>4</v>
      </c>
      <c r="L14" s="370">
        <v>231</v>
      </c>
      <c r="M14" s="370"/>
      <c r="N14" s="370" t="s">
        <v>605</v>
      </c>
      <c r="O14" s="389">
        <f>(LN(2)/L14/24/3600)*10^(K14-5)</f>
        <v>3.4729596588902178E-9</v>
      </c>
      <c r="P14" s="389">
        <f t="shared" si="2"/>
        <v>3.4729596588902177E-4</v>
      </c>
      <c r="Q14" s="681">
        <f t="shared" si="3"/>
        <v>15024.625144542284</v>
      </c>
      <c r="R14" s="673">
        <f t="shared" si="4"/>
        <v>5.3395919930492255E-10</v>
      </c>
      <c r="S14" s="673">
        <f t="shared" si="5"/>
        <v>5.3395919930492249E-5</v>
      </c>
      <c r="T14" s="407">
        <f>Q14</f>
        <v>15024.625144542284</v>
      </c>
      <c r="U14" s="407"/>
      <c r="V14" s="407"/>
      <c r="W14" s="408"/>
      <c r="X14" s="408"/>
      <c r="Y14" s="408"/>
      <c r="Z14" s="370">
        <v>7</v>
      </c>
      <c r="AA14" s="370">
        <v>78.8</v>
      </c>
      <c r="AB14" s="370"/>
      <c r="AC14" s="370" t="s">
        <v>605</v>
      </c>
      <c r="AD14" s="389">
        <f>LN(2)/AA14/24/3600</f>
        <v>1.0180884279234015E-7</v>
      </c>
      <c r="AE14" s="681">
        <f>(LN(2)/AF14)/(24*60*60)</f>
        <v>512.52833826404139</v>
      </c>
      <c r="AF14" s="673">
        <f t="shared" ref="AF14:AF34" si="6">EXP(LN(AD14)+$J14*(1/$H14-1/298.15)/0.0019872)</f>
        <v>1.5652864852720397E-8</v>
      </c>
      <c r="AG14" s="407">
        <f>AE14</f>
        <v>512.52833826404139</v>
      </c>
      <c r="AH14" s="420"/>
      <c r="AI14" s="420"/>
      <c r="AJ14" s="294"/>
      <c r="AK14" s="294"/>
      <c r="AL14" s="294"/>
      <c r="AM14" s="370">
        <v>9</v>
      </c>
      <c r="AN14" s="370">
        <v>1.6</v>
      </c>
      <c r="AO14" s="370"/>
      <c r="AP14" s="370" t="s">
        <v>605</v>
      </c>
      <c r="AQ14" s="389">
        <f>(LN(2)/AN14/24/3600)*10^(9-AM14)</f>
        <v>5.0140855075227515E-6</v>
      </c>
      <c r="AR14" s="389">
        <f>AQ14*10^(I14-9)</f>
        <v>8.7614066554075873E-2</v>
      </c>
      <c r="AS14" s="681">
        <f>(LN(2)/AT14)/(60*60*24)</f>
        <v>59.556551897676449</v>
      </c>
      <c r="AT14" s="673">
        <f>AU14*10^(9-14)</f>
        <v>1.3470452127282065E-7</v>
      </c>
      <c r="AU14" s="673">
        <f t="shared" ref="AU14:AU32" si="7">EXP(LN(AR14)+$J14*(1/$H14-1/298.15)/0.0019872)</f>
        <v>1.3470452127282064E-2</v>
      </c>
      <c r="AV14" s="891">
        <f>AS14</f>
        <v>59.556551897676449</v>
      </c>
      <c r="AW14" s="849"/>
      <c r="AX14" s="407"/>
      <c r="AY14" s="56"/>
      <c r="AZ14" s="56"/>
      <c r="BA14" s="56"/>
      <c r="BB14" s="433" t="s">
        <v>37</v>
      </c>
      <c r="BC14" s="433" t="s">
        <v>1063</v>
      </c>
      <c r="BD14" s="315"/>
      <c r="BE14" s="56"/>
      <c r="BF14" s="56"/>
    </row>
    <row r="15" spans="1:58" s="4" customFormat="1" ht="15" thickBot="1" x14ac:dyDescent="0.35">
      <c r="A15" s="348"/>
      <c r="B15" s="34"/>
      <c r="C15" s="351"/>
      <c r="D15" s="371"/>
      <c r="E15" s="115"/>
      <c r="F15" s="115"/>
      <c r="G15" s="350"/>
      <c r="H15" s="350"/>
      <c r="I15" s="724"/>
      <c r="J15" s="379"/>
      <c r="K15" s="350"/>
      <c r="L15" s="350"/>
      <c r="M15" s="350"/>
      <c r="N15" s="350"/>
      <c r="O15" s="386"/>
      <c r="P15" s="386"/>
      <c r="Q15" s="729"/>
      <c r="R15" s="670"/>
      <c r="S15" s="670"/>
      <c r="T15" s="343"/>
      <c r="U15" s="343"/>
      <c r="V15" s="343"/>
      <c r="W15" s="153"/>
      <c r="X15" s="153"/>
      <c r="Y15" s="153"/>
      <c r="Z15" s="350"/>
      <c r="AA15" s="350"/>
      <c r="AB15" s="350"/>
      <c r="AC15" s="350"/>
      <c r="AD15" s="386"/>
      <c r="AE15" s="675"/>
      <c r="AF15" s="670"/>
      <c r="AG15" s="413"/>
      <c r="AH15" s="413"/>
      <c r="AI15" s="413"/>
      <c r="AJ15" s="174"/>
      <c r="AK15" s="174"/>
      <c r="AL15" s="174"/>
      <c r="AM15" s="350"/>
      <c r="AN15" s="350"/>
      <c r="AO15" s="350"/>
      <c r="AP15" s="350"/>
      <c r="AQ15" s="386"/>
      <c r="AR15" s="386"/>
      <c r="AS15" s="674"/>
      <c r="AT15" s="670"/>
      <c r="AU15" s="732"/>
      <c r="AV15" s="343"/>
      <c r="AW15" s="343"/>
      <c r="AX15" s="343"/>
      <c r="AY15" s="115"/>
      <c r="AZ15" s="115"/>
      <c r="BA15" s="115"/>
      <c r="BB15" s="426"/>
      <c r="BC15" s="426"/>
      <c r="BD15" s="192"/>
      <c r="BE15" s="115"/>
      <c r="BF15" s="115"/>
    </row>
    <row r="16" spans="1:58" s="12" customFormat="1" x14ac:dyDescent="0.3">
      <c r="A16" s="366">
        <v>5</v>
      </c>
      <c r="B16" s="367" t="s">
        <v>38</v>
      </c>
      <c r="C16" s="56" t="s">
        <v>93</v>
      </c>
      <c r="D16" s="316" t="s">
        <v>893</v>
      </c>
      <c r="E16" s="56" t="s">
        <v>32</v>
      </c>
      <c r="F16" s="56" t="s">
        <v>92</v>
      </c>
      <c r="G16" s="370">
        <v>25</v>
      </c>
      <c r="H16" s="370">
        <f t="shared" si="0"/>
        <v>298.14999999999998</v>
      </c>
      <c r="I16" s="727">
        <f t="shared" si="1"/>
        <v>14</v>
      </c>
      <c r="J16" s="388">
        <v>14.34</v>
      </c>
      <c r="K16" s="370">
        <v>5</v>
      </c>
      <c r="L16" s="370">
        <v>10.5</v>
      </c>
      <c r="M16" s="370"/>
      <c r="N16" s="370" t="s">
        <v>605</v>
      </c>
      <c r="O16" s="389">
        <f>(LN(2)/L16/24/3600)*10^(K16-5)</f>
        <v>7.6405112495584806E-7</v>
      </c>
      <c r="P16" s="389">
        <f t="shared" si="2"/>
        <v>7.6405112495584807E-2</v>
      </c>
      <c r="Q16" s="681">
        <f t="shared" si="3"/>
        <v>10.499999999999996</v>
      </c>
      <c r="R16" s="673">
        <f t="shared" si="4"/>
        <v>7.6405112495584816E-7</v>
      </c>
      <c r="S16" s="673">
        <f t="shared" si="5"/>
        <v>7.6405112495584807E-2</v>
      </c>
      <c r="T16" s="407">
        <f>Q16</f>
        <v>10.499999999999996</v>
      </c>
      <c r="U16" s="407"/>
      <c r="V16" s="407"/>
      <c r="W16" s="408"/>
      <c r="X16" s="408"/>
      <c r="Y16" s="408"/>
      <c r="Z16" s="370">
        <v>7</v>
      </c>
      <c r="AA16" s="370">
        <v>32</v>
      </c>
      <c r="AB16" s="370"/>
      <c r="AC16" s="370" t="s">
        <v>605</v>
      </c>
      <c r="AD16" s="389">
        <f>LN(2)/AA16/24/3600</f>
        <v>2.5070427537613762E-7</v>
      </c>
      <c r="AE16" s="681">
        <f>(LN(2)/AF16)/(24*60*60)</f>
        <v>31.999999999999989</v>
      </c>
      <c r="AF16" s="673">
        <f t="shared" si="6"/>
        <v>2.5070427537613772E-7</v>
      </c>
      <c r="AG16" s="407">
        <f>AE16</f>
        <v>31.999999999999989</v>
      </c>
      <c r="AH16" s="420"/>
      <c r="AI16" s="420"/>
      <c r="AJ16" s="294"/>
      <c r="AK16" s="294"/>
      <c r="AL16" s="294"/>
      <c r="AM16" s="370">
        <v>9</v>
      </c>
      <c r="AN16" s="370">
        <v>0.54</v>
      </c>
      <c r="AO16" s="370"/>
      <c r="AP16" s="370" t="s">
        <v>605</v>
      </c>
      <c r="AQ16" s="389">
        <f>(LN(2)/AN16/24/3600)*10^(9-AM16)</f>
        <v>1.4856549651919263E-5</v>
      </c>
      <c r="AR16" s="389">
        <f t="shared" ref="AR16:AR32" si="8">AQ16*10^(I16-9)</f>
        <v>1.4856549651919264</v>
      </c>
      <c r="AS16" s="681">
        <f>(LN(2)/AT16)/(60*60*24)</f>
        <v>0.54</v>
      </c>
      <c r="AT16" s="673">
        <f t="shared" ref="AT16:AT32" si="9">AU16*10^(9-14)</f>
        <v>1.4856549651919265E-5</v>
      </c>
      <c r="AU16" s="670">
        <f t="shared" si="7"/>
        <v>1.4856549651919264</v>
      </c>
      <c r="AV16" s="407">
        <f>AS16</f>
        <v>0.54</v>
      </c>
      <c r="AW16" s="407"/>
      <c r="AX16" s="407"/>
      <c r="AY16" s="56"/>
      <c r="AZ16" s="56"/>
      <c r="BA16" s="56"/>
      <c r="BB16" s="433" t="s">
        <v>1064</v>
      </c>
      <c r="BC16" s="433" t="s">
        <v>1065</v>
      </c>
      <c r="BD16" s="315"/>
      <c r="BE16" s="56"/>
      <c r="BF16" s="56"/>
    </row>
    <row r="17" spans="1:58" s="4" customFormat="1" ht="15" thickBot="1" x14ac:dyDescent="0.35">
      <c r="A17" s="348"/>
      <c r="B17" s="34"/>
      <c r="C17" s="115"/>
      <c r="D17" s="314"/>
      <c r="E17" s="115"/>
      <c r="F17" s="115"/>
      <c r="G17" s="350"/>
      <c r="H17" s="350"/>
      <c r="I17" s="724"/>
      <c r="J17" s="379"/>
      <c r="K17" s="350"/>
      <c r="L17" s="350"/>
      <c r="M17" s="350"/>
      <c r="N17" s="350"/>
      <c r="O17" s="386"/>
      <c r="P17" s="386"/>
      <c r="Q17" s="729"/>
      <c r="R17" s="670"/>
      <c r="S17" s="670"/>
      <c r="T17" s="343"/>
      <c r="U17" s="343"/>
      <c r="V17" s="343"/>
      <c r="W17" s="153"/>
      <c r="X17" s="153"/>
      <c r="Y17" s="153"/>
      <c r="Z17" s="350"/>
      <c r="AA17" s="350"/>
      <c r="AB17" s="350"/>
      <c r="AC17" s="350"/>
      <c r="AD17" s="386"/>
      <c r="AE17" s="675"/>
      <c r="AF17" s="670"/>
      <c r="AG17" s="413"/>
      <c r="AH17" s="413"/>
      <c r="AI17" s="413"/>
      <c r="AJ17" s="174"/>
      <c r="AK17" s="174"/>
      <c r="AL17" s="174"/>
      <c r="AM17" s="350"/>
      <c r="AN17" s="350"/>
      <c r="AO17" s="350"/>
      <c r="AP17" s="350"/>
      <c r="AQ17" s="386"/>
      <c r="AR17" s="386"/>
      <c r="AS17" s="674"/>
      <c r="AT17" s="670"/>
      <c r="AU17" s="732"/>
      <c r="AV17" s="343"/>
      <c r="AW17" s="343"/>
      <c r="AX17" s="343"/>
      <c r="AY17" s="115"/>
      <c r="AZ17" s="115"/>
      <c r="BA17" s="115"/>
      <c r="BB17" s="426"/>
      <c r="BC17" s="426"/>
      <c r="BD17" s="192"/>
      <c r="BE17" s="115"/>
      <c r="BF17" s="115"/>
    </row>
    <row r="18" spans="1:58" s="12" customFormat="1" x14ac:dyDescent="0.3">
      <c r="A18" s="366">
        <v>6</v>
      </c>
      <c r="B18" s="367" t="s">
        <v>39</v>
      </c>
      <c r="C18" s="56" t="s">
        <v>94</v>
      </c>
      <c r="D18" s="316" t="s">
        <v>894</v>
      </c>
      <c r="E18" s="56" t="s">
        <v>33</v>
      </c>
      <c r="F18" s="372" t="s">
        <v>193</v>
      </c>
      <c r="G18" s="373">
        <v>25</v>
      </c>
      <c r="H18" s="370">
        <f t="shared" si="0"/>
        <v>298.14999999999998</v>
      </c>
      <c r="I18" s="727">
        <f t="shared" si="1"/>
        <v>14</v>
      </c>
      <c r="J18" s="388">
        <v>14.34</v>
      </c>
      <c r="K18" s="370">
        <v>5</v>
      </c>
      <c r="L18" s="390" t="s">
        <v>95</v>
      </c>
      <c r="M18" s="390"/>
      <c r="N18" s="390"/>
      <c r="O18" s="389"/>
      <c r="P18" s="389"/>
      <c r="Q18" s="681"/>
      <c r="R18" s="673"/>
      <c r="S18" s="673"/>
      <c r="T18" s="407">
        <f>AVERAGE(Q18:Q23)</f>
        <v>154.6263119084401</v>
      </c>
      <c r="U18" s="407">
        <f>MEDIAN(Q19:Q23)</f>
        <v>45.43178538108296</v>
      </c>
      <c r="V18" s="407">
        <f>STDEV(Q19:Q22)</f>
        <v>240.07079657664607</v>
      </c>
      <c r="W18" s="408"/>
      <c r="X18" s="408"/>
      <c r="Y18" s="408"/>
      <c r="Z18" s="370">
        <v>7</v>
      </c>
      <c r="AA18" s="390" t="s">
        <v>95</v>
      </c>
      <c r="AB18" s="390"/>
      <c r="AC18" s="390"/>
      <c r="AD18" s="389"/>
      <c r="AE18" s="679"/>
      <c r="AF18" s="673"/>
      <c r="AG18" s="421">
        <f>AVERAGE(AE19:AE20)</f>
        <v>523.68500127647781</v>
      </c>
      <c r="AH18" s="421">
        <f>MEDIAN(AE19:AE20)</f>
        <v>523.68500127647781</v>
      </c>
      <c r="AI18" s="407">
        <f>STDEV(AE19:AE20)</f>
        <v>365.31257455919416</v>
      </c>
      <c r="AJ18" s="408"/>
      <c r="AK18" s="408"/>
      <c r="AL18" s="408"/>
      <c r="AM18" s="370">
        <v>9</v>
      </c>
      <c r="AN18" s="370">
        <v>7.3</v>
      </c>
      <c r="AO18" s="370"/>
      <c r="AP18" s="370" t="s">
        <v>605</v>
      </c>
      <c r="AQ18" s="389">
        <f>(LN(2)/AN18/24/3600)*10^(9-AM18)</f>
        <v>1.098977645484439E-6</v>
      </c>
      <c r="AR18" s="389">
        <f t="shared" si="8"/>
        <v>0.1098977645484439</v>
      </c>
      <c r="AS18" s="681">
        <f>(LN(2)/AT18)/(60*60*24)</f>
        <v>7.2999999999999989</v>
      </c>
      <c r="AT18" s="673">
        <f t="shared" si="9"/>
        <v>1.098977645484439E-6</v>
      </c>
      <c r="AU18" s="670">
        <f t="shared" si="7"/>
        <v>0.1098977645484439</v>
      </c>
      <c r="AV18" s="407">
        <f>AS18</f>
        <v>7.2999999999999989</v>
      </c>
      <c r="AW18" s="407"/>
      <c r="AX18" s="407"/>
      <c r="AY18" s="56"/>
      <c r="AZ18" s="56"/>
      <c r="BA18" s="56"/>
      <c r="BB18" s="433" t="s">
        <v>1066</v>
      </c>
      <c r="BC18" s="433" t="s">
        <v>1067</v>
      </c>
      <c r="BD18" s="315"/>
      <c r="BE18" s="56"/>
      <c r="BF18" s="56"/>
    </row>
    <row r="19" spans="1:58" s="4" customFormat="1" x14ac:dyDescent="0.3">
      <c r="A19" s="348"/>
      <c r="B19" s="34"/>
      <c r="C19" s="115"/>
      <c r="D19" s="314"/>
      <c r="E19" s="115"/>
      <c r="F19" s="374" t="s">
        <v>193</v>
      </c>
      <c r="G19" s="375">
        <v>25</v>
      </c>
      <c r="H19" s="350">
        <f t="shared" si="0"/>
        <v>298.14999999999998</v>
      </c>
      <c r="I19" s="724">
        <f t="shared" si="1"/>
        <v>14</v>
      </c>
      <c r="J19" s="379">
        <v>14.34</v>
      </c>
      <c r="K19" s="350">
        <v>5</v>
      </c>
      <c r="L19" s="391">
        <v>514</v>
      </c>
      <c r="M19" s="391"/>
      <c r="N19" s="391" t="s">
        <v>605</v>
      </c>
      <c r="O19" s="384">
        <f>(LN(2)/L19/24/3600)*10^(K19-5)</f>
        <v>1.5608048272444364E-8</v>
      </c>
      <c r="P19" s="386">
        <f t="shared" si="2"/>
        <v>1.5608048272444364E-3</v>
      </c>
      <c r="Q19" s="729">
        <f t="shared" si="3"/>
        <v>514</v>
      </c>
      <c r="R19" s="670">
        <f t="shared" si="4"/>
        <v>1.5608048272444364E-8</v>
      </c>
      <c r="S19" s="670">
        <f t="shared" si="5"/>
        <v>1.5608048272444362E-3</v>
      </c>
      <c r="T19" s="343"/>
      <c r="U19" s="343"/>
      <c r="V19" s="343"/>
      <c r="W19" s="153"/>
      <c r="X19" s="153"/>
      <c r="Y19" s="153"/>
      <c r="Z19" s="350">
        <v>7</v>
      </c>
      <c r="AA19" s="391">
        <v>782</v>
      </c>
      <c r="AB19" s="391"/>
      <c r="AC19" s="391" t="s">
        <v>605</v>
      </c>
      <c r="AD19" s="385">
        <f>LN(2)/AA19/24/3600</f>
        <v>1.0258998480864967E-8</v>
      </c>
      <c r="AE19" s="729">
        <f t="shared" ref="AE19:AE20" si="10">(LN(2)/AF19)/(24*60*60)</f>
        <v>782.00000000000023</v>
      </c>
      <c r="AF19" s="670">
        <f t="shared" si="6"/>
        <v>1.0258998480864964E-8</v>
      </c>
      <c r="AG19" s="413"/>
      <c r="AH19" s="413"/>
      <c r="AI19" s="413"/>
      <c r="AJ19" s="174"/>
      <c r="AK19" s="174"/>
      <c r="AL19" s="174"/>
      <c r="AM19" s="350">
        <v>9</v>
      </c>
      <c r="AN19" s="391" t="s">
        <v>95</v>
      </c>
      <c r="AO19" s="391"/>
      <c r="AP19" s="391"/>
      <c r="AQ19" s="386"/>
      <c r="AR19" s="386"/>
      <c r="AS19" s="674"/>
      <c r="AT19" s="670"/>
      <c r="AU19" s="670"/>
      <c r="AV19" s="343"/>
      <c r="AW19" s="343"/>
      <c r="AX19" s="343"/>
      <c r="AY19" s="115"/>
      <c r="AZ19" s="115"/>
      <c r="BA19" s="115"/>
      <c r="BB19" s="426"/>
      <c r="BC19" s="426"/>
      <c r="BD19" s="192"/>
      <c r="BE19" s="115"/>
      <c r="BF19" s="115"/>
    </row>
    <row r="20" spans="1:58" s="4" customFormat="1" x14ac:dyDescent="0.3">
      <c r="A20" s="348"/>
      <c r="B20" s="34"/>
      <c r="C20" s="115"/>
      <c r="D20" s="314"/>
      <c r="E20" s="115"/>
      <c r="F20" s="115" t="s">
        <v>96</v>
      </c>
      <c r="G20" s="350">
        <v>50</v>
      </c>
      <c r="H20" s="350">
        <f t="shared" si="0"/>
        <v>323.14999999999998</v>
      </c>
      <c r="I20" s="724">
        <f t="shared" si="1"/>
        <v>13.242382102408241</v>
      </c>
      <c r="J20" s="379">
        <v>14.34</v>
      </c>
      <c r="K20" s="350">
        <v>5</v>
      </c>
      <c r="L20" s="391">
        <v>6.4</v>
      </c>
      <c r="M20" s="391"/>
      <c r="N20" s="391" t="s">
        <v>605</v>
      </c>
      <c r="O20" s="384">
        <f>(LN(2)/L20/24/3600)*10^(K20-5)</f>
        <v>1.2535213768806879E-6</v>
      </c>
      <c r="P20" s="386">
        <f t="shared" si="2"/>
        <v>0.1253521376880688</v>
      </c>
      <c r="Q20" s="729">
        <f t="shared" si="3"/>
        <v>41.62666706713015</v>
      </c>
      <c r="R20" s="670">
        <f t="shared" si="4"/>
        <v>1.9272589849912041E-7</v>
      </c>
      <c r="S20" s="670">
        <f t="shared" si="5"/>
        <v>1.927258984991204E-2</v>
      </c>
      <c r="T20" s="343"/>
      <c r="U20" s="343"/>
      <c r="V20" s="343"/>
      <c r="W20" s="153"/>
      <c r="X20" s="153"/>
      <c r="Y20" s="153"/>
      <c r="Z20" s="350">
        <v>7</v>
      </c>
      <c r="AA20" s="391">
        <v>40.799999999999997</v>
      </c>
      <c r="AB20" s="391"/>
      <c r="AC20" s="391" t="s">
        <v>605</v>
      </c>
      <c r="AD20" s="385">
        <f>LN(2)/AA20/24/3600</f>
        <v>1.9663080421657856E-7</v>
      </c>
      <c r="AE20" s="729">
        <f t="shared" si="10"/>
        <v>265.37000255295533</v>
      </c>
      <c r="AF20" s="670">
        <f t="shared" si="6"/>
        <v>3.0231513490058035E-8</v>
      </c>
      <c r="AG20" s="413"/>
      <c r="AH20" s="413"/>
      <c r="AI20" s="413"/>
      <c r="AJ20" s="174"/>
      <c r="AK20" s="174"/>
      <c r="AL20" s="174"/>
      <c r="AM20" s="350">
        <v>9</v>
      </c>
      <c r="AN20" s="350" t="s">
        <v>97</v>
      </c>
      <c r="AO20" s="350"/>
      <c r="AP20" s="350"/>
      <c r="AQ20" s="386"/>
      <c r="AR20" s="386"/>
      <c r="AS20" s="674"/>
      <c r="AT20" s="670"/>
      <c r="AU20" s="670"/>
      <c r="AV20" s="343"/>
      <c r="AW20" s="343"/>
      <c r="AX20" s="343"/>
      <c r="AY20" s="115"/>
      <c r="AZ20" s="115"/>
      <c r="BA20" s="115"/>
      <c r="BB20" s="426"/>
      <c r="BC20" s="426"/>
      <c r="BD20" s="192"/>
      <c r="BE20" s="115"/>
      <c r="BF20" s="115"/>
    </row>
    <row r="21" spans="1:58" s="4" customFormat="1" x14ac:dyDescent="0.3">
      <c r="A21" s="348"/>
      <c r="B21" s="34"/>
      <c r="C21" s="115"/>
      <c r="D21" s="314"/>
      <c r="E21" s="115"/>
      <c r="F21" s="115" t="s">
        <v>96</v>
      </c>
      <c r="G21" s="350">
        <v>20</v>
      </c>
      <c r="H21" s="350">
        <f t="shared" si="0"/>
        <v>293.14999999999998</v>
      </c>
      <c r="I21" s="724">
        <f t="shared" si="1"/>
        <v>14.167030000755094</v>
      </c>
      <c r="J21" s="379">
        <v>14.34</v>
      </c>
      <c r="K21" s="350">
        <v>5</v>
      </c>
      <c r="L21" s="391">
        <v>74.400000000000006</v>
      </c>
      <c r="M21" s="391"/>
      <c r="N21" s="391" t="s">
        <v>605</v>
      </c>
      <c r="O21" s="384">
        <f>(LN(2)/L21/24/3600)*10^(K21-5)</f>
        <v>1.0782979586070434E-7</v>
      </c>
      <c r="P21" s="386">
        <f t="shared" si="2"/>
        <v>1.0782979586070433E-2</v>
      </c>
      <c r="Q21" s="729">
        <f t="shared" si="3"/>
        <v>49.236903695035771</v>
      </c>
      <c r="R21" s="670">
        <f t="shared" si="4"/>
        <v>1.6293747595759687E-7</v>
      </c>
      <c r="S21" s="670">
        <f t="shared" si="5"/>
        <v>1.6293747595759685E-2</v>
      </c>
      <c r="T21" s="343"/>
      <c r="U21" s="343"/>
      <c r="V21" s="343"/>
      <c r="W21" s="153"/>
      <c r="X21" s="153"/>
      <c r="Y21" s="153"/>
      <c r="Z21" s="350"/>
      <c r="AA21" s="391"/>
      <c r="AB21" s="391"/>
      <c r="AC21" s="391"/>
      <c r="AD21" s="386"/>
      <c r="AE21" s="675"/>
      <c r="AF21" s="670"/>
      <c r="AG21" s="413"/>
      <c r="AH21" s="413"/>
      <c r="AI21" s="413"/>
      <c r="AJ21" s="174"/>
      <c r="AK21" s="174"/>
      <c r="AL21" s="174"/>
      <c r="AM21" s="350"/>
      <c r="AN21" s="350"/>
      <c r="AO21" s="350"/>
      <c r="AP21" s="350"/>
      <c r="AQ21" s="386"/>
      <c r="AR21" s="386"/>
      <c r="AS21" s="674"/>
      <c r="AT21" s="670"/>
      <c r="AU21" s="670"/>
      <c r="AV21" s="343"/>
      <c r="AW21" s="343"/>
      <c r="AX21" s="343"/>
      <c r="AY21" s="115"/>
      <c r="AZ21" s="115"/>
      <c r="BA21" s="115"/>
      <c r="BB21" s="426"/>
      <c r="BC21" s="426"/>
      <c r="BD21" s="192"/>
      <c r="BE21" s="115"/>
      <c r="BF21" s="115"/>
    </row>
    <row r="22" spans="1:58" s="4" customFormat="1" x14ac:dyDescent="0.3">
      <c r="A22" s="348"/>
      <c r="B22" s="34"/>
      <c r="C22" s="115"/>
      <c r="D22" s="314"/>
      <c r="E22" s="115"/>
      <c r="F22" s="115" t="s">
        <v>96</v>
      </c>
      <c r="G22" s="350">
        <v>44</v>
      </c>
      <c r="H22" s="350">
        <f t="shared" si="0"/>
        <v>317.14999999999998</v>
      </c>
      <c r="I22" s="724">
        <f t="shared" si="1"/>
        <v>13.413317326371905</v>
      </c>
      <c r="J22" s="379">
        <v>14.34</v>
      </c>
      <c r="K22" s="350">
        <v>5</v>
      </c>
      <c r="L22" s="391">
        <v>3.2</v>
      </c>
      <c r="M22" s="391"/>
      <c r="N22" s="391" t="s">
        <v>605</v>
      </c>
      <c r="O22" s="384">
        <f>(LN(2)/L22/24/3600)*10^(K22-5)</f>
        <v>2.5070427537613758E-6</v>
      </c>
      <c r="P22" s="386">
        <f t="shared" si="2"/>
        <v>0.2507042753761376</v>
      </c>
      <c r="Q22" s="729">
        <f t="shared" si="3"/>
        <v>13.641676871594564</v>
      </c>
      <c r="R22" s="670">
        <f t="shared" si="4"/>
        <v>5.8809022435807454E-7</v>
      </c>
      <c r="S22" s="670">
        <f t="shared" si="5"/>
        <v>5.8809022435807448E-2</v>
      </c>
      <c r="T22" s="343"/>
      <c r="U22" s="343"/>
      <c r="V22" s="343"/>
      <c r="W22" s="153"/>
      <c r="X22" s="153"/>
      <c r="Y22" s="153"/>
      <c r="Z22" s="350"/>
      <c r="AA22" s="391"/>
      <c r="AB22" s="391"/>
      <c r="AC22" s="391"/>
      <c r="AD22" s="386"/>
      <c r="AE22" s="675"/>
      <c r="AF22" s="670"/>
      <c r="AG22" s="413"/>
      <c r="AH22" s="413"/>
      <c r="AI22" s="413"/>
      <c r="AJ22" s="174"/>
      <c r="AK22" s="174"/>
      <c r="AL22" s="174"/>
      <c r="AM22" s="350"/>
      <c r="AN22" s="350"/>
      <c r="AO22" s="350"/>
      <c r="AP22" s="350"/>
      <c r="AQ22" s="386"/>
      <c r="AR22" s="386"/>
      <c r="AS22" s="674"/>
      <c r="AT22" s="670"/>
      <c r="AU22" s="670"/>
      <c r="AV22" s="343"/>
      <c r="AW22" s="343"/>
      <c r="AX22" s="343"/>
      <c r="AY22" s="115"/>
      <c r="AZ22" s="115"/>
      <c r="BA22" s="115"/>
      <c r="BB22" s="426"/>
      <c r="BC22" s="426"/>
      <c r="BD22" s="192"/>
      <c r="BE22" s="115"/>
      <c r="BF22" s="115"/>
    </row>
    <row r="23" spans="1:58" s="4" customFormat="1" ht="15" thickBot="1" x14ac:dyDescent="0.35">
      <c r="A23" s="348"/>
      <c r="B23" s="34"/>
      <c r="C23" s="115"/>
      <c r="D23" s="314"/>
      <c r="E23" s="115"/>
      <c r="F23" s="115"/>
      <c r="G23" s="350"/>
      <c r="H23" s="350"/>
      <c r="I23" s="724"/>
      <c r="J23" s="379"/>
      <c r="K23" s="350"/>
      <c r="L23" s="391"/>
      <c r="M23" s="391"/>
      <c r="N23" s="391"/>
      <c r="O23" s="386"/>
      <c r="P23" s="386"/>
      <c r="Q23" s="729"/>
      <c r="R23" s="670"/>
      <c r="S23" s="670"/>
      <c r="T23" s="343"/>
      <c r="U23" s="343"/>
      <c r="V23" s="343"/>
      <c r="W23" s="153"/>
      <c r="X23" s="153"/>
      <c r="Y23" s="153"/>
      <c r="Z23" s="350"/>
      <c r="AA23" s="391"/>
      <c r="AB23" s="391"/>
      <c r="AC23" s="391"/>
      <c r="AD23" s="386"/>
      <c r="AE23" s="675"/>
      <c r="AF23" s="670"/>
      <c r="AG23" s="413"/>
      <c r="AH23" s="413"/>
      <c r="AI23" s="413"/>
      <c r="AJ23" s="174"/>
      <c r="AK23" s="174"/>
      <c r="AL23" s="174"/>
      <c r="AM23" s="350"/>
      <c r="AN23" s="350"/>
      <c r="AO23" s="350"/>
      <c r="AP23" s="350"/>
      <c r="AQ23" s="386"/>
      <c r="AR23" s="386"/>
      <c r="AS23" s="674"/>
      <c r="AT23" s="670"/>
      <c r="AU23" s="670"/>
      <c r="AV23" s="343"/>
      <c r="AW23" s="343"/>
      <c r="AX23" s="343"/>
      <c r="AY23" s="115"/>
      <c r="AZ23" s="115"/>
      <c r="BA23" s="115"/>
      <c r="BB23" s="426"/>
      <c r="BC23" s="426"/>
      <c r="BD23" s="192"/>
      <c r="BE23" s="115"/>
      <c r="BF23" s="115"/>
    </row>
    <row r="24" spans="1:58" s="12" customFormat="1" x14ac:dyDescent="0.3">
      <c r="A24" s="366">
        <v>7</v>
      </c>
      <c r="B24" s="367" t="s">
        <v>40</v>
      </c>
      <c r="C24" s="56" t="s">
        <v>101</v>
      </c>
      <c r="D24" s="316" t="s">
        <v>895</v>
      </c>
      <c r="E24" s="56" t="s">
        <v>34</v>
      </c>
      <c r="F24" s="56" t="s">
        <v>102</v>
      </c>
      <c r="G24" s="370">
        <v>25</v>
      </c>
      <c r="H24" s="370">
        <f t="shared" si="0"/>
        <v>298.14999999999998</v>
      </c>
      <c r="I24" s="727">
        <f t="shared" si="1"/>
        <v>14</v>
      </c>
      <c r="J24" s="388">
        <v>14.34</v>
      </c>
      <c r="K24" s="370">
        <v>5</v>
      </c>
      <c r="L24" s="370">
        <v>363</v>
      </c>
      <c r="M24" s="370"/>
      <c r="N24" s="370" t="s">
        <v>605</v>
      </c>
      <c r="O24" s="389">
        <f>(LN(2)/L24/24/3600)*10^(K24-5)</f>
        <v>2.2100652374755936E-8</v>
      </c>
      <c r="P24" s="389">
        <f t="shared" si="2"/>
        <v>2.2100652374755936E-3</v>
      </c>
      <c r="Q24" s="681">
        <f t="shared" si="3"/>
        <v>362.99999999999977</v>
      </c>
      <c r="R24" s="673">
        <f t="shared" si="4"/>
        <v>2.2100652374755945E-8</v>
      </c>
      <c r="S24" s="673">
        <f t="shared" si="5"/>
        <v>2.2100652374755945E-3</v>
      </c>
      <c r="T24" s="407">
        <f>Q24</f>
        <v>362.99999999999977</v>
      </c>
      <c r="U24" s="407"/>
      <c r="V24" s="407"/>
      <c r="W24" s="408"/>
      <c r="X24" s="408"/>
      <c r="Y24" s="408"/>
      <c r="Z24" s="370">
        <v>7</v>
      </c>
      <c r="AA24" s="370">
        <v>31.7</v>
      </c>
      <c r="AB24" s="370"/>
      <c r="AC24" s="370" t="s">
        <v>605</v>
      </c>
      <c r="AD24" s="389">
        <f>LN(2)/AA24/24/3600</f>
        <v>2.5307687104215785E-7</v>
      </c>
      <c r="AE24" s="681">
        <f>(LN(2)/AF24)/(24*60*60)</f>
        <v>31.699999999999985</v>
      </c>
      <c r="AF24" s="673">
        <f t="shared" si="6"/>
        <v>2.5307687104215796E-7</v>
      </c>
      <c r="AG24" s="407">
        <f>AE24</f>
        <v>31.699999999999985</v>
      </c>
      <c r="AH24" s="420"/>
      <c r="AI24" s="420"/>
      <c r="AJ24" s="294"/>
      <c r="AK24" s="294"/>
      <c r="AL24" s="294"/>
      <c r="AM24" s="370">
        <v>9</v>
      </c>
      <c r="AN24" s="370">
        <v>0.52</v>
      </c>
      <c r="AO24" s="370"/>
      <c r="AP24" s="370" t="s">
        <v>605</v>
      </c>
      <c r="AQ24" s="389">
        <f>(LN(2)/AN24/24/3600)*10^(9-AM24)</f>
        <v>1.5427955407762314E-5</v>
      </c>
      <c r="AR24" s="389">
        <f t="shared" si="8"/>
        <v>1.5427955407762313</v>
      </c>
      <c r="AS24" s="681">
        <f>(LN(2)/AT24)/(60*60*24)</f>
        <v>0.52000000000000013</v>
      </c>
      <c r="AT24" s="673">
        <f t="shared" si="9"/>
        <v>1.5427955407762314E-5</v>
      </c>
      <c r="AU24" s="673">
        <f t="shared" si="7"/>
        <v>1.5427955407762313</v>
      </c>
      <c r="AV24" s="407">
        <f>AS24</f>
        <v>0.52000000000000013</v>
      </c>
      <c r="AW24" s="407"/>
      <c r="AX24" s="407"/>
      <c r="AY24" s="56"/>
      <c r="AZ24" s="56"/>
      <c r="BA24" s="56"/>
      <c r="BB24" s="433" t="s">
        <v>1068</v>
      </c>
      <c r="BC24" s="433" t="s">
        <v>1069</v>
      </c>
      <c r="BD24" s="315"/>
      <c r="BE24" s="56"/>
      <c r="BF24" s="56"/>
    </row>
    <row r="25" spans="1:58" s="4" customFormat="1" ht="15" thickBot="1" x14ac:dyDescent="0.35">
      <c r="A25" s="348"/>
      <c r="B25" s="34"/>
      <c r="C25" s="115"/>
      <c r="D25" s="314"/>
      <c r="E25" s="115"/>
      <c r="F25" s="115"/>
      <c r="G25" s="350"/>
      <c r="H25" s="350"/>
      <c r="I25" s="724"/>
      <c r="J25" s="379"/>
      <c r="K25" s="350"/>
      <c r="L25" s="350"/>
      <c r="M25" s="350"/>
      <c r="N25" s="350"/>
      <c r="O25" s="386"/>
      <c r="P25" s="386"/>
      <c r="Q25" s="729"/>
      <c r="R25" s="670"/>
      <c r="S25" s="670"/>
      <c r="T25" s="343"/>
      <c r="U25" s="343"/>
      <c r="V25" s="343"/>
      <c r="W25" s="153"/>
      <c r="X25" s="153"/>
      <c r="Y25" s="153"/>
      <c r="Z25" s="350"/>
      <c r="AA25" s="350"/>
      <c r="AB25" s="350"/>
      <c r="AC25" s="350"/>
      <c r="AD25" s="386"/>
      <c r="AE25" s="675"/>
      <c r="AF25" s="670"/>
      <c r="AG25" s="413"/>
      <c r="AH25" s="413"/>
      <c r="AI25" s="413"/>
      <c r="AJ25" s="174"/>
      <c r="AK25" s="174"/>
      <c r="AL25" s="174"/>
      <c r="AM25" s="350"/>
      <c r="AN25" s="350"/>
      <c r="AO25" s="350"/>
      <c r="AP25" s="350"/>
      <c r="AQ25" s="386"/>
      <c r="AR25" s="386"/>
      <c r="AS25" s="674"/>
      <c r="AT25" s="670"/>
      <c r="AU25" s="732"/>
      <c r="AV25" s="343"/>
      <c r="AW25" s="343"/>
      <c r="AX25" s="343"/>
      <c r="AY25" s="115"/>
      <c r="AZ25" s="115"/>
      <c r="BA25" s="115"/>
      <c r="BB25" s="426"/>
      <c r="BC25" s="426"/>
      <c r="BD25" s="192"/>
      <c r="BE25" s="115"/>
      <c r="BF25" s="115"/>
    </row>
    <row r="26" spans="1:58" s="12" customFormat="1" x14ac:dyDescent="0.3">
      <c r="A26" s="366">
        <v>8</v>
      </c>
      <c r="B26" s="367" t="s">
        <v>41</v>
      </c>
      <c r="C26" s="56" t="s">
        <v>103</v>
      </c>
      <c r="D26" s="316" t="s">
        <v>896</v>
      </c>
      <c r="E26" s="56" t="s">
        <v>35</v>
      </c>
      <c r="F26" s="56" t="s">
        <v>104</v>
      </c>
      <c r="G26" s="370">
        <v>25</v>
      </c>
      <c r="H26" s="370">
        <f t="shared" si="0"/>
        <v>298.14999999999998</v>
      </c>
      <c r="I26" s="727">
        <f t="shared" si="1"/>
        <v>14</v>
      </c>
      <c r="J26" s="392"/>
      <c r="K26" s="370">
        <v>5</v>
      </c>
      <c r="L26" s="370" t="s">
        <v>1258</v>
      </c>
      <c r="M26" s="370"/>
      <c r="N26" s="370"/>
      <c r="O26" s="389"/>
      <c r="P26" s="389"/>
      <c r="Q26" s="681"/>
      <c r="R26" s="673"/>
      <c r="S26" s="673"/>
      <c r="T26" s="407"/>
      <c r="U26" s="407"/>
      <c r="V26" s="407"/>
      <c r="W26" s="408"/>
      <c r="X26" s="408"/>
      <c r="Y26" s="408"/>
      <c r="Z26" s="370">
        <v>7</v>
      </c>
      <c r="AA26" s="370">
        <v>454</v>
      </c>
      <c r="AB26" s="370">
        <v>1.5299999999999999E-3</v>
      </c>
      <c r="AC26" s="370" t="s">
        <v>599</v>
      </c>
      <c r="AD26" s="389">
        <f>AB26/24/3600</f>
        <v>1.7708333333333331E-8</v>
      </c>
      <c r="AE26" s="681">
        <f>(LN(2)/AF26)/(24*60*60)</f>
        <v>453.03737291499749</v>
      </c>
      <c r="AF26" s="673">
        <f t="shared" si="6"/>
        <v>1.7708333333333312E-8</v>
      </c>
      <c r="AG26" s="407">
        <f>AE26</f>
        <v>453.03737291499749</v>
      </c>
      <c r="AH26" s="420"/>
      <c r="AI26" s="420"/>
      <c r="AJ26" s="294"/>
      <c r="AK26" s="294"/>
      <c r="AL26" s="294"/>
      <c r="AM26" s="370">
        <v>9</v>
      </c>
      <c r="AN26" s="370">
        <v>3.2</v>
      </c>
      <c r="AO26" s="370">
        <v>0.215</v>
      </c>
      <c r="AP26" s="370" t="s">
        <v>599</v>
      </c>
      <c r="AQ26" s="389">
        <f>(AO26/24/3600)*10^(9-AM26)</f>
        <v>2.4884259259259261E-6</v>
      </c>
      <c r="AR26" s="389">
        <f t="shared" si="8"/>
        <v>0.24884259259259262</v>
      </c>
      <c r="AS26" s="681">
        <f>(LN(2)/AT26)/(60*60*24)</f>
        <v>3.2239403746974191</v>
      </c>
      <c r="AT26" s="673">
        <f t="shared" si="9"/>
        <v>2.4884259259259265E-6</v>
      </c>
      <c r="AU26" s="670">
        <f t="shared" si="7"/>
        <v>0.24884259259259262</v>
      </c>
      <c r="AV26" s="407">
        <f>AS26</f>
        <v>3.2239403746974191</v>
      </c>
      <c r="AW26" s="407"/>
      <c r="AX26" s="407"/>
      <c r="AY26" s="56"/>
      <c r="AZ26" s="56"/>
      <c r="BA26" s="56"/>
      <c r="BB26" s="433" t="s">
        <v>1070</v>
      </c>
      <c r="BC26" s="433" t="s">
        <v>1071</v>
      </c>
      <c r="BD26" s="315"/>
      <c r="BE26" s="56"/>
      <c r="BF26" s="56"/>
    </row>
    <row r="27" spans="1:58" s="4" customFormat="1" ht="15" thickBot="1" x14ac:dyDescent="0.35">
      <c r="A27" s="348"/>
      <c r="B27" s="34"/>
      <c r="C27" s="115"/>
      <c r="D27" s="314"/>
      <c r="E27" s="115"/>
      <c r="F27" s="115"/>
      <c r="G27" s="350"/>
      <c r="H27" s="350"/>
      <c r="I27" s="724"/>
      <c r="J27" s="379"/>
      <c r="K27" s="350"/>
      <c r="L27" s="350"/>
      <c r="M27" s="350"/>
      <c r="N27" s="350"/>
      <c r="O27" s="386"/>
      <c r="P27" s="386"/>
      <c r="Q27" s="729"/>
      <c r="R27" s="670"/>
      <c r="S27" s="670"/>
      <c r="T27" s="343"/>
      <c r="U27" s="343"/>
      <c r="V27" s="343"/>
      <c r="W27" s="153"/>
      <c r="X27" s="153"/>
      <c r="Y27" s="153"/>
      <c r="Z27" s="350"/>
      <c r="AA27" s="350"/>
      <c r="AB27" s="350"/>
      <c r="AC27" s="350"/>
      <c r="AD27" s="386"/>
      <c r="AE27" s="675"/>
      <c r="AF27" s="670"/>
      <c r="AG27" s="413"/>
      <c r="AH27" s="413"/>
      <c r="AI27" s="413"/>
      <c r="AJ27" s="174"/>
      <c r="AK27" s="174"/>
      <c r="AL27" s="174"/>
      <c r="AM27" s="350"/>
      <c r="AN27" s="350"/>
      <c r="AO27" s="350"/>
      <c r="AP27" s="350"/>
      <c r="AQ27" s="386"/>
      <c r="AR27" s="386"/>
      <c r="AS27" s="674"/>
      <c r="AT27" s="670"/>
      <c r="AU27" s="670"/>
      <c r="AV27" s="343"/>
      <c r="AW27" s="343"/>
      <c r="AX27" s="343"/>
      <c r="AY27" s="115"/>
      <c r="AZ27" s="115"/>
      <c r="BA27" s="115"/>
      <c r="BB27" s="426"/>
      <c r="BC27" s="426"/>
      <c r="BD27" s="192"/>
      <c r="BE27" s="115"/>
      <c r="BF27" s="115"/>
    </row>
    <row r="28" spans="1:58" s="12" customFormat="1" x14ac:dyDescent="0.3">
      <c r="A28" s="366">
        <v>9</v>
      </c>
      <c r="B28" s="367" t="s">
        <v>42</v>
      </c>
      <c r="C28" s="56" t="s">
        <v>98</v>
      </c>
      <c r="D28" s="316" t="s">
        <v>897</v>
      </c>
      <c r="E28" s="56" t="s">
        <v>36</v>
      </c>
      <c r="F28" s="56" t="s">
        <v>99</v>
      </c>
      <c r="G28" s="370">
        <v>25</v>
      </c>
      <c r="H28" s="370">
        <f t="shared" si="0"/>
        <v>298.14999999999998</v>
      </c>
      <c r="I28" s="727">
        <f t="shared" si="1"/>
        <v>14</v>
      </c>
      <c r="J28" s="392"/>
      <c r="K28" s="370">
        <v>5</v>
      </c>
      <c r="L28" s="370">
        <v>875</v>
      </c>
      <c r="M28" s="393">
        <f>1/(1/(0.000792)*24*60*60)</f>
        <v>9.166666666666666E-9</v>
      </c>
      <c r="N28" s="393" t="s">
        <v>600</v>
      </c>
      <c r="O28" s="389">
        <f>M28*10^(K28-5)</f>
        <v>9.166666666666666E-9</v>
      </c>
      <c r="P28" s="389">
        <f t="shared" si="2"/>
        <v>9.1666666666666665E-4</v>
      </c>
      <c r="Q28" s="681">
        <f t="shared" si="3"/>
        <v>875.18583404033495</v>
      </c>
      <c r="R28" s="673">
        <f t="shared" si="4"/>
        <v>9.166666666666666E-9</v>
      </c>
      <c r="S28" s="673">
        <f t="shared" si="5"/>
        <v>9.1666666666666654E-4</v>
      </c>
      <c r="T28" s="407">
        <f>AVERAGE(Q28:Q29)</f>
        <v>848.71224119569854</v>
      </c>
      <c r="U28" s="407">
        <f>MEDIAN(Q28:Q29)</f>
        <v>848.71224119569854</v>
      </c>
      <c r="V28" s="407">
        <f>STDEV(Q28:Q29)</f>
        <v>37.439314045628144</v>
      </c>
      <c r="W28" s="408"/>
      <c r="X28" s="408"/>
      <c r="Y28" s="408"/>
      <c r="Z28" s="370">
        <v>7</v>
      </c>
      <c r="AA28" s="370">
        <v>34</v>
      </c>
      <c r="AB28" s="393">
        <f>1/(1/(0.0204)*24*60*60)</f>
        <v>2.3611111111111108E-7</v>
      </c>
      <c r="AC28" s="393" t="s">
        <v>600</v>
      </c>
      <c r="AD28" s="389">
        <f>AB28</f>
        <v>2.3611111111111108E-7</v>
      </c>
      <c r="AE28" s="681">
        <f>(LN(2)/AF28)/(24*60*60)</f>
        <v>33.977802968624751</v>
      </c>
      <c r="AF28" s="673">
        <f t="shared" si="6"/>
        <v>2.3611111111111124E-7</v>
      </c>
      <c r="AG28" s="421">
        <f>AVERAGE(AE28:AE29)</f>
        <v>34.492618165119062</v>
      </c>
      <c r="AH28" s="421">
        <f>MEDIAN(AE28:AE29)</f>
        <v>34.492618165119062</v>
      </c>
      <c r="AI28" s="407">
        <f>STDEV(AE28:AE29)</f>
        <v>0.72805863299802454</v>
      </c>
      <c r="AJ28" s="408"/>
      <c r="AK28" s="408"/>
      <c r="AL28" s="408"/>
      <c r="AM28" s="370">
        <v>9</v>
      </c>
      <c r="AN28" s="370">
        <v>0.28999999999999998</v>
      </c>
      <c r="AO28" s="393">
        <f>1/(1/(2.39)*24*60*60)</f>
        <v>2.7662037037037039E-5</v>
      </c>
      <c r="AP28" s="393" t="s">
        <v>600</v>
      </c>
      <c r="AQ28" s="389">
        <f>AO28</f>
        <v>2.7662037037037039E-5</v>
      </c>
      <c r="AR28" s="389">
        <f t="shared" si="8"/>
        <v>2.7662037037037037</v>
      </c>
      <c r="AS28" s="681">
        <f>(LN(2)/AT28)/(60*60*24)</f>
        <v>0.29001974082006077</v>
      </c>
      <c r="AT28" s="673">
        <f t="shared" si="9"/>
        <v>2.7662037037037039E-5</v>
      </c>
      <c r="AU28" s="673">
        <f t="shared" si="7"/>
        <v>2.7662037037037037</v>
      </c>
      <c r="AV28" s="407">
        <f>AVERAGE(AS28:AS29)</f>
        <v>0.33648699211167271</v>
      </c>
      <c r="AW28" s="407">
        <f>MEDIAN(AS28:AS29)</f>
        <v>0.33648699211167271</v>
      </c>
      <c r="AX28" s="434">
        <f>STDEV(AS28:AS29)</f>
        <v>6.5714616982796611E-2</v>
      </c>
      <c r="AY28" s="56"/>
      <c r="AZ28" s="56"/>
      <c r="BA28" s="56"/>
      <c r="BB28" s="433" t="s">
        <v>1072</v>
      </c>
      <c r="BC28" s="433" t="s">
        <v>1073</v>
      </c>
      <c r="BD28" s="315"/>
      <c r="BE28" s="56"/>
      <c r="BF28" s="56"/>
    </row>
    <row r="29" spans="1:58" s="4" customFormat="1" x14ac:dyDescent="0.3">
      <c r="A29" s="348"/>
      <c r="B29" s="34"/>
      <c r="C29" s="115"/>
      <c r="D29" s="314"/>
      <c r="E29" s="115"/>
      <c r="F29" s="115" t="s">
        <v>100</v>
      </c>
      <c r="G29" s="350">
        <v>25</v>
      </c>
      <c r="H29" s="350">
        <f t="shared" si="0"/>
        <v>298.14999999999998</v>
      </c>
      <c r="I29" s="724">
        <f t="shared" si="1"/>
        <v>14</v>
      </c>
      <c r="J29" s="394"/>
      <c r="K29" s="350">
        <v>5</v>
      </c>
      <c r="L29" s="350">
        <v>822</v>
      </c>
      <c r="M29" s="395">
        <f>1/(1/(0.000843)*24*60*60)</f>
        <v>9.7569444444444439E-9</v>
      </c>
      <c r="N29" s="395" t="s">
        <v>600</v>
      </c>
      <c r="O29" s="386">
        <f>M29*10^(K29-5)</f>
        <v>9.7569444444444439E-9</v>
      </c>
      <c r="P29" s="386">
        <f t="shared" si="2"/>
        <v>9.756944444444444E-4</v>
      </c>
      <c r="Q29" s="729">
        <f t="shared" si="3"/>
        <v>822.23864835106212</v>
      </c>
      <c r="R29" s="670">
        <f t="shared" si="4"/>
        <v>9.7569444444444422E-9</v>
      </c>
      <c r="S29" s="670">
        <f t="shared" si="5"/>
        <v>9.7569444444444418E-4</v>
      </c>
      <c r="T29" s="343"/>
      <c r="U29" s="343"/>
      <c r="V29" s="343"/>
      <c r="W29" s="153"/>
      <c r="X29" s="153"/>
      <c r="Y29" s="153"/>
      <c r="Z29" s="350">
        <v>7</v>
      </c>
      <c r="AA29" s="350">
        <v>35</v>
      </c>
      <c r="AB29" s="395">
        <f>1/(1/(0.0198)*24*60*60)</f>
        <v>2.2916666666666669E-7</v>
      </c>
      <c r="AC29" s="395" t="s">
        <v>600</v>
      </c>
      <c r="AD29" s="386">
        <f>AB29</f>
        <v>2.2916666666666669E-7</v>
      </c>
      <c r="AE29" s="729">
        <f>(LN(2)/AF29)/(24*60*60)</f>
        <v>35.007433361613373</v>
      </c>
      <c r="AF29" s="670">
        <f t="shared" si="6"/>
        <v>2.2916666666666685E-7</v>
      </c>
      <c r="AG29" s="413"/>
      <c r="AH29" s="413"/>
      <c r="AI29" s="413"/>
      <c r="AJ29" s="174"/>
      <c r="AK29" s="174"/>
      <c r="AL29" s="174"/>
      <c r="AM29" s="350">
        <v>9</v>
      </c>
      <c r="AN29" s="350">
        <v>0.38</v>
      </c>
      <c r="AO29" s="395">
        <f>1/(1/(1.81)*24*60*60)</f>
        <v>2.0949074074074073E-5</v>
      </c>
      <c r="AP29" s="395" t="s">
        <v>600</v>
      </c>
      <c r="AQ29" s="386">
        <f>AO29</f>
        <v>2.0949074074074073E-5</v>
      </c>
      <c r="AR29" s="386">
        <f t="shared" si="8"/>
        <v>2.0949074074074074</v>
      </c>
      <c r="AS29" s="682">
        <f>(LN(2)/AT29)/(60*60*24)</f>
        <v>0.38295424340328466</v>
      </c>
      <c r="AT29" s="670">
        <f t="shared" si="9"/>
        <v>2.0949074074074076E-5</v>
      </c>
      <c r="AU29" s="670">
        <f t="shared" si="7"/>
        <v>2.0949074074074074</v>
      </c>
      <c r="AV29" s="343"/>
      <c r="AW29" s="343"/>
      <c r="AX29" s="343"/>
      <c r="AY29" s="115"/>
      <c r="AZ29" s="115"/>
      <c r="BA29" s="115"/>
      <c r="BB29" s="426"/>
      <c r="BC29" s="426"/>
      <c r="BD29" s="192"/>
      <c r="BE29" s="115"/>
      <c r="BF29" s="115"/>
    </row>
    <row r="30" spans="1:58" s="4" customFormat="1" ht="15" thickBot="1" x14ac:dyDescent="0.35">
      <c r="A30" s="348"/>
      <c r="B30" s="34"/>
      <c r="C30" s="115"/>
      <c r="D30" s="314"/>
      <c r="E30" s="115"/>
      <c r="F30" s="115"/>
      <c r="G30" s="350"/>
      <c r="H30" s="350"/>
      <c r="I30" s="724"/>
      <c r="J30" s="379"/>
      <c r="K30" s="350"/>
      <c r="L30" s="350"/>
      <c r="M30" s="395"/>
      <c r="N30" s="395"/>
      <c r="O30" s="386"/>
      <c r="P30" s="386"/>
      <c r="Q30" s="724"/>
      <c r="R30" s="670"/>
      <c r="S30" s="670"/>
      <c r="T30" s="343"/>
      <c r="U30" s="343"/>
      <c r="V30" s="343"/>
      <c r="W30" s="153"/>
      <c r="X30" s="153"/>
      <c r="Y30" s="153"/>
      <c r="Z30" s="350"/>
      <c r="AA30" s="350"/>
      <c r="AB30" s="395"/>
      <c r="AC30" s="395"/>
      <c r="AD30" s="386"/>
      <c r="AE30" s="675"/>
      <c r="AF30" s="670"/>
      <c r="AG30" s="413"/>
      <c r="AH30" s="413"/>
      <c r="AI30" s="413"/>
      <c r="AJ30" s="415"/>
      <c r="AK30" s="415"/>
      <c r="AL30" s="174"/>
      <c r="AM30" s="350"/>
      <c r="AN30" s="350"/>
      <c r="AO30" s="395"/>
      <c r="AP30" s="395"/>
      <c r="AQ30" s="386"/>
      <c r="AR30" s="386"/>
      <c r="AS30" s="674"/>
      <c r="AT30" s="670"/>
      <c r="AU30" s="670"/>
      <c r="AV30" s="343"/>
      <c r="AW30" s="343"/>
      <c r="AX30" s="343"/>
      <c r="AY30" s="115"/>
      <c r="AZ30" s="115"/>
      <c r="BA30" s="115"/>
      <c r="BB30" s="426"/>
      <c r="BC30" s="426"/>
      <c r="BD30" s="192"/>
      <c r="BE30" s="115"/>
      <c r="BF30" s="115"/>
    </row>
    <row r="31" spans="1:58" s="12" customFormat="1" x14ac:dyDescent="0.3">
      <c r="A31" s="366">
        <v>10</v>
      </c>
      <c r="B31" s="367" t="s">
        <v>105</v>
      </c>
      <c r="C31" s="56" t="s">
        <v>107</v>
      </c>
      <c r="D31" s="316" t="s">
        <v>1076</v>
      </c>
      <c r="E31" s="56" t="s">
        <v>106</v>
      </c>
      <c r="F31" s="56" t="s">
        <v>108</v>
      </c>
      <c r="G31" s="370">
        <v>25</v>
      </c>
      <c r="H31" s="370">
        <f>25+273.15</f>
        <v>298.14999999999998</v>
      </c>
      <c r="I31" s="727">
        <f t="shared" si="1"/>
        <v>14</v>
      </c>
      <c r="J31" s="388">
        <v>14.34</v>
      </c>
      <c r="K31" s="370"/>
      <c r="L31" s="368"/>
      <c r="M31" s="370"/>
      <c r="N31" s="370"/>
      <c r="O31" s="396"/>
      <c r="P31" s="396"/>
      <c r="Q31" s="684"/>
      <c r="R31" s="684"/>
      <c r="S31" s="673"/>
      <c r="T31" s="407"/>
      <c r="U31" s="407"/>
      <c r="V31" s="407"/>
      <c r="W31" s="408"/>
      <c r="X31" s="408"/>
      <c r="Y31" s="408"/>
      <c r="Z31" s="370">
        <v>7</v>
      </c>
      <c r="AA31" s="409">
        <v>90.94</v>
      </c>
      <c r="AB31" s="409">
        <v>8.0000000000000002E-3</v>
      </c>
      <c r="AC31" s="409" t="s">
        <v>599</v>
      </c>
      <c r="AD31" s="389">
        <f>AB31/60/60/24</f>
        <v>9.2592592592592604E-8</v>
      </c>
      <c r="AE31" s="681">
        <f>(LN(2)/AF31)/(24*60*60)</f>
        <v>86.643397569993041</v>
      </c>
      <c r="AF31" s="673">
        <f t="shared" si="6"/>
        <v>9.2592592592592723E-8</v>
      </c>
      <c r="AG31" s="421">
        <f>AVERAGE(AE31:AE34)</f>
        <v>55.124542980610954</v>
      </c>
      <c r="AH31" s="421">
        <f>MEDIAN(AE31:AE34)</f>
        <v>48.589118559294945</v>
      </c>
      <c r="AI31" s="407">
        <f>STDEV(AE31:AE34)</f>
        <v>21.76394248783561</v>
      </c>
      <c r="AJ31" s="422" t="s">
        <v>1074</v>
      </c>
      <c r="AK31" s="40" t="s">
        <v>1104</v>
      </c>
      <c r="AL31" s="408" t="s">
        <v>1105</v>
      </c>
      <c r="AM31" s="370">
        <v>9</v>
      </c>
      <c r="AN31" s="370">
        <v>4.1500000000000004</v>
      </c>
      <c r="AO31" s="370">
        <v>0.16700000000000001</v>
      </c>
      <c r="AP31" s="370" t="s">
        <v>599</v>
      </c>
      <c r="AQ31" s="389">
        <f>(AO31/24/3600)*10^(9-AM31)</f>
        <v>1.9328703703703703E-6</v>
      </c>
      <c r="AR31" s="389">
        <f>AQ31*10^(I31-9)</f>
        <v>0.19328703703703703</v>
      </c>
      <c r="AS31" s="681">
        <f>(LN(2)/AT31)/(60*60*24)</f>
        <v>4.1505819195206302</v>
      </c>
      <c r="AT31" s="673">
        <f t="shared" ref="AT31" si="11">AU31*10^(9-14)</f>
        <v>1.9328703703703707E-6</v>
      </c>
      <c r="AU31" s="673">
        <f t="shared" si="7"/>
        <v>0.19328703703703706</v>
      </c>
      <c r="AV31" s="407">
        <f>AVERAGE(AS31:AS33)</f>
        <v>8.2183647740083057</v>
      </c>
      <c r="AW31" s="407">
        <f>MEDIAN(AS31:AS33)</f>
        <v>8.2183647740083039</v>
      </c>
      <c r="AX31" s="407">
        <f>STDEV(AS31:AS32)</f>
        <v>5.7527136816052096</v>
      </c>
      <c r="AY31" s="56"/>
      <c r="AZ31" s="56"/>
      <c r="BA31" s="56"/>
      <c r="BB31" s="433" t="s">
        <v>1074</v>
      </c>
      <c r="BC31" s="433" t="s">
        <v>1075</v>
      </c>
      <c r="BD31" s="315"/>
      <c r="BE31" s="56"/>
      <c r="BF31" s="56"/>
    </row>
    <row r="32" spans="1:58" s="4" customFormat="1" x14ac:dyDescent="0.3">
      <c r="A32" s="115"/>
      <c r="B32" s="115"/>
      <c r="C32" s="115"/>
      <c r="D32" s="314"/>
      <c r="E32" s="115" t="s">
        <v>110</v>
      </c>
      <c r="F32" s="115"/>
      <c r="G32" s="350">
        <v>50</v>
      </c>
      <c r="H32" s="350">
        <f t="shared" si="0"/>
        <v>323.14999999999998</v>
      </c>
      <c r="I32" s="724">
        <f t="shared" si="1"/>
        <v>13.242382102408241</v>
      </c>
      <c r="J32" s="379">
        <v>14.34</v>
      </c>
      <c r="K32" s="350">
        <v>4</v>
      </c>
      <c r="L32" s="115" t="s">
        <v>700</v>
      </c>
      <c r="M32" s="115"/>
      <c r="N32" s="115"/>
      <c r="O32" s="386"/>
      <c r="P32" s="386"/>
      <c r="Q32" s="724"/>
      <c r="R32" s="670"/>
      <c r="S32" s="670"/>
      <c r="T32" s="343"/>
      <c r="U32" s="343"/>
      <c r="V32" s="343"/>
      <c r="W32" s="153"/>
      <c r="X32" s="153"/>
      <c r="Y32" s="153"/>
      <c r="Z32" s="350">
        <v>7</v>
      </c>
      <c r="AA32" s="350">
        <v>7.62</v>
      </c>
      <c r="AB32" s="350">
        <v>9.0999999999999998E-2</v>
      </c>
      <c r="AC32" s="350" t="s">
        <v>599</v>
      </c>
      <c r="AD32" s="386">
        <f>AB32/24/3600</f>
        <v>1.0532407407407408E-6</v>
      </c>
      <c r="AE32" s="729">
        <f t="shared" ref="AE32:AE34" si="12">(LN(2)/AF32)/(24*60*60)</f>
        <v>49.542250882020546</v>
      </c>
      <c r="AF32" s="670">
        <f t="shared" si="6"/>
        <v>1.6193323212425689E-7</v>
      </c>
      <c r="AG32" s="413"/>
      <c r="AH32" s="413"/>
      <c r="AI32" s="413"/>
      <c r="AJ32" s="174"/>
      <c r="AK32" s="174"/>
      <c r="AL32" s="174"/>
      <c r="AM32" s="350">
        <v>9</v>
      </c>
      <c r="AN32" s="350">
        <v>0.33</v>
      </c>
      <c r="AO32" s="350">
        <v>2.1</v>
      </c>
      <c r="AP32" s="350" t="s">
        <v>599</v>
      </c>
      <c r="AQ32" s="386">
        <f>(AO32/24/3600)*10^(9-AM32)</f>
        <v>2.4305555555555558E-5</v>
      </c>
      <c r="AR32" s="386">
        <f t="shared" si="8"/>
        <v>0.42470527454772777</v>
      </c>
      <c r="AS32" s="682">
        <f>(LN(2)/AT32)/(60*60*24)</f>
        <v>12.28614762849598</v>
      </c>
      <c r="AT32" s="670">
        <f t="shared" si="9"/>
        <v>6.5297415061408393E-7</v>
      </c>
      <c r="AU32" s="670">
        <f t="shared" si="7"/>
        <v>6.529741506140839E-2</v>
      </c>
      <c r="AV32" s="343"/>
      <c r="AW32" s="343"/>
      <c r="AX32" s="343"/>
      <c r="AY32" s="115"/>
      <c r="AZ32" s="115"/>
      <c r="BA32" s="115"/>
      <c r="BB32" s="192"/>
      <c r="BC32" s="192"/>
      <c r="BD32" s="192"/>
      <c r="BE32" s="115"/>
      <c r="BF32" s="115"/>
    </row>
    <row r="33" spans="1:58" s="4" customFormat="1" x14ac:dyDescent="0.3">
      <c r="A33" s="115"/>
      <c r="B33" s="115"/>
      <c r="C33" s="115"/>
      <c r="D33" s="314"/>
      <c r="E33" s="115"/>
      <c r="F33" s="115"/>
      <c r="G33" s="350">
        <v>55</v>
      </c>
      <c r="H33" s="350">
        <f t="shared" si="0"/>
        <v>328.15</v>
      </c>
      <c r="I33" s="724">
        <f t="shared" si="1"/>
        <v>13.104711051872215</v>
      </c>
      <c r="J33" s="379">
        <v>14.34</v>
      </c>
      <c r="K33" s="115"/>
      <c r="L33" s="283"/>
      <c r="M33" s="283"/>
      <c r="N33" s="283"/>
      <c r="O33" s="344"/>
      <c r="P33" s="386"/>
      <c r="Q33" s="668"/>
      <c r="R33" s="668"/>
      <c r="S33" s="668"/>
      <c r="T33" s="343"/>
      <c r="U33" s="343"/>
      <c r="V33" s="343"/>
      <c r="W33" s="153"/>
      <c r="X33" s="153"/>
      <c r="Y33" s="153"/>
      <c r="Z33" s="350">
        <v>7</v>
      </c>
      <c r="AA33" s="350">
        <v>5.21</v>
      </c>
      <c r="AB33" s="350">
        <v>0.13300000000000001</v>
      </c>
      <c r="AC33" s="350" t="s">
        <v>599</v>
      </c>
      <c r="AD33" s="386">
        <f>AB33/24/3600</f>
        <v>1.5393518518518519E-6</v>
      </c>
      <c r="AE33" s="729">
        <f t="shared" si="12"/>
        <v>47.635986236569337</v>
      </c>
      <c r="AF33" s="670">
        <f t="shared" si="6"/>
        <v>1.6841336657112471E-7</v>
      </c>
      <c r="AG33" s="413"/>
      <c r="AH33" s="413"/>
      <c r="AI33" s="413"/>
      <c r="AJ33" s="174"/>
      <c r="AK33" s="174"/>
      <c r="AL33" s="174"/>
      <c r="AM33" s="115"/>
      <c r="AN33" s="115"/>
      <c r="AO33" s="115"/>
      <c r="AP33" s="115"/>
      <c r="AQ33" s="344"/>
      <c r="AR33" s="344"/>
      <c r="AS33" s="668"/>
      <c r="AT33" s="668"/>
      <c r="AU33" s="670"/>
      <c r="AV33" s="343"/>
      <c r="AW33" s="343"/>
      <c r="AX33" s="343"/>
      <c r="AY33" s="115"/>
      <c r="AZ33" s="115"/>
      <c r="BA33" s="115"/>
      <c r="BB33" s="192"/>
      <c r="BC33" s="192"/>
      <c r="BD33" s="192"/>
      <c r="BE33" s="115"/>
      <c r="BF33" s="115"/>
    </row>
    <row r="34" spans="1:58" s="4" customFormat="1" x14ac:dyDescent="0.3">
      <c r="A34" s="115"/>
      <c r="B34" s="115"/>
      <c r="C34" s="115"/>
      <c r="D34" s="314"/>
      <c r="E34" s="115"/>
      <c r="F34" s="115"/>
      <c r="G34" s="350">
        <v>65</v>
      </c>
      <c r="H34" s="350">
        <f t="shared" si="0"/>
        <v>338.15</v>
      </c>
      <c r="I34" s="724">
        <f t="shared" si="1"/>
        <v>12.8415828544408</v>
      </c>
      <c r="J34" s="379">
        <v>14.34</v>
      </c>
      <c r="K34" s="115"/>
      <c r="L34" s="115"/>
      <c r="M34" s="115"/>
      <c r="N34" s="115"/>
      <c r="O34" s="386"/>
      <c r="P34" s="386"/>
      <c r="Q34" s="724"/>
      <c r="R34" s="670"/>
      <c r="S34" s="668"/>
      <c r="T34" s="343"/>
      <c r="U34" s="343"/>
      <c r="V34" s="343"/>
      <c r="W34" s="153"/>
      <c r="X34" s="153"/>
      <c r="Y34" s="153"/>
      <c r="Z34" s="350">
        <v>7</v>
      </c>
      <c r="AA34" s="350">
        <v>2.09</v>
      </c>
      <c r="AB34" s="350">
        <v>0.33100000000000002</v>
      </c>
      <c r="AC34" s="350" t="s">
        <v>599</v>
      </c>
      <c r="AD34" s="386">
        <f>AB34/24/3600</f>
        <v>3.8310185185185187E-6</v>
      </c>
      <c r="AE34" s="729">
        <f t="shared" si="12"/>
        <v>36.67653723386087</v>
      </c>
      <c r="AF34" s="670">
        <f t="shared" si="6"/>
        <v>2.1873757494831765E-7</v>
      </c>
      <c r="AG34" s="413"/>
      <c r="AH34" s="413"/>
      <c r="AI34" s="413"/>
      <c r="AJ34" s="174"/>
      <c r="AK34" s="174"/>
      <c r="AL34" s="174"/>
      <c r="AM34" s="115"/>
      <c r="AN34" s="115"/>
      <c r="AO34" s="115"/>
      <c r="AP34" s="115"/>
      <c r="AQ34" s="386"/>
      <c r="AR34" s="386"/>
      <c r="AS34" s="724"/>
      <c r="AT34" s="670"/>
      <c r="AU34" s="670"/>
      <c r="AV34" s="343"/>
      <c r="AW34" s="343"/>
      <c r="AX34" s="343"/>
      <c r="AY34" s="115"/>
      <c r="AZ34" s="115"/>
      <c r="BA34" s="115"/>
      <c r="BB34" s="192"/>
      <c r="BC34" s="192"/>
      <c r="BD34" s="192"/>
      <c r="BE34" s="115"/>
      <c r="BF34" s="115"/>
    </row>
    <row r="35" spans="1:58" s="4" customFormat="1" ht="15" thickBot="1" x14ac:dyDescent="0.35">
      <c r="A35" s="115"/>
      <c r="B35" s="115"/>
      <c r="C35" s="115"/>
      <c r="D35" s="314"/>
      <c r="E35" s="115"/>
      <c r="F35" s="115"/>
      <c r="G35" s="115"/>
      <c r="H35" s="115"/>
      <c r="I35" s="236"/>
      <c r="J35" s="115"/>
      <c r="K35" s="115"/>
      <c r="L35" s="115"/>
      <c r="M35" s="115"/>
      <c r="N35" s="115"/>
      <c r="O35" s="344"/>
      <c r="P35" s="386"/>
      <c r="Q35" s="668"/>
      <c r="R35" s="668"/>
      <c r="S35" s="668"/>
      <c r="T35" s="343"/>
      <c r="U35" s="343"/>
      <c r="V35" s="343"/>
      <c r="W35" s="153"/>
      <c r="X35" s="153"/>
      <c r="Y35" s="153"/>
      <c r="Z35" s="115"/>
      <c r="AA35" s="115"/>
      <c r="AB35" s="115"/>
      <c r="AC35" s="115"/>
      <c r="AD35" s="344"/>
      <c r="AE35" s="668"/>
      <c r="AF35" s="668"/>
      <c r="AG35" s="413"/>
      <c r="AH35" s="413"/>
      <c r="AI35" s="413"/>
      <c r="AJ35" s="174"/>
      <c r="AK35" s="174"/>
      <c r="AL35" s="174"/>
      <c r="AM35" s="115"/>
      <c r="AN35" s="115"/>
      <c r="AO35" s="115"/>
      <c r="AP35" s="115"/>
      <c r="AQ35" s="344"/>
      <c r="AR35" s="344"/>
      <c r="AS35" s="668"/>
      <c r="AT35" s="668"/>
      <c r="AU35" s="670"/>
      <c r="AV35" s="343"/>
      <c r="AW35" s="343"/>
      <c r="AX35" s="343"/>
      <c r="AY35" s="115"/>
      <c r="AZ35" s="115"/>
      <c r="BA35" s="115"/>
      <c r="BB35" s="192"/>
      <c r="BC35" s="192"/>
      <c r="BD35" s="192"/>
      <c r="BE35" s="115"/>
      <c r="BF35" s="115"/>
    </row>
    <row r="36" spans="1:58" s="8" customFormat="1" x14ac:dyDescent="0.3">
      <c r="A36" s="376">
        <v>11</v>
      </c>
      <c r="B36" s="73" t="s">
        <v>148</v>
      </c>
      <c r="C36" s="37" t="s">
        <v>145</v>
      </c>
      <c r="D36" s="38" t="s">
        <v>912</v>
      </c>
      <c r="E36" s="913" t="s">
        <v>75</v>
      </c>
      <c r="F36" s="73" t="s">
        <v>195</v>
      </c>
      <c r="G36" s="372">
        <v>25</v>
      </c>
      <c r="H36" s="37">
        <f>G36+273.15</f>
        <v>298.14999999999998</v>
      </c>
      <c r="I36" s="218">
        <f>-LOG10(EXP(LN(10^-14)+13.36*(1/298.15-1/H36)/0.0019872))</f>
        <v>14</v>
      </c>
      <c r="J36" s="816">
        <v>14.34</v>
      </c>
      <c r="K36" s="37"/>
      <c r="L36" s="37"/>
      <c r="M36" s="37"/>
      <c r="N36" s="37"/>
      <c r="O36" s="249"/>
      <c r="P36" s="249"/>
      <c r="Q36" s="733"/>
      <c r="R36" s="215"/>
      <c r="S36" s="215"/>
      <c r="T36" s="410"/>
      <c r="U36" s="410"/>
      <c r="V36" s="410"/>
      <c r="W36" s="408"/>
      <c r="X36" s="408"/>
      <c r="Y36" s="408"/>
      <c r="Z36" s="39"/>
      <c r="AA36" s="39"/>
      <c r="AB36" s="37"/>
      <c r="AC36" s="37"/>
      <c r="AD36" s="249"/>
      <c r="AE36" s="214"/>
      <c r="AF36" s="215"/>
      <c r="AG36" s="423"/>
      <c r="AH36" s="423"/>
      <c r="AI36" s="423"/>
      <c r="AJ36" s="408"/>
      <c r="AK36" s="408"/>
      <c r="AL36" s="408"/>
      <c r="AM36" s="37">
        <v>9</v>
      </c>
      <c r="AN36" s="37">
        <v>141</v>
      </c>
      <c r="AO36" s="37"/>
      <c r="AP36" s="37" t="s">
        <v>605</v>
      </c>
      <c r="AQ36" s="249">
        <f>(LN(2)/AN36)/(60*60*24)*10^(9-AM36)</f>
        <v>5.6897424198839746E-8</v>
      </c>
      <c r="AR36" s="249">
        <f>AQ36*10^($I36-9)</f>
        <v>5.689742419883975E-3</v>
      </c>
      <c r="AS36" s="681">
        <f>(LN(2)/AT36)/(60*60*24)</f>
        <v>141</v>
      </c>
      <c r="AT36" s="215">
        <f>AU36*10^(9-14)</f>
        <v>5.6897424198839746E-8</v>
      </c>
      <c r="AU36" s="215">
        <f>EXP(LN(AR36)+$J36*(1/$H36-1/298.15)/0.0019872)</f>
        <v>5.6897424198839742E-3</v>
      </c>
      <c r="AV36" s="882">
        <f>AS36</f>
        <v>141</v>
      </c>
      <c r="AW36" s="472"/>
      <c r="AX36" s="410"/>
      <c r="AY36" s="159" t="s">
        <v>1012</v>
      </c>
      <c r="AZ36" s="159" t="s">
        <v>1014</v>
      </c>
      <c r="BA36" s="37"/>
      <c r="BB36" s="186" t="s">
        <v>149</v>
      </c>
      <c r="BC36" s="186" t="s">
        <v>150</v>
      </c>
      <c r="BD36" s="435" t="s">
        <v>1013</v>
      </c>
      <c r="BE36" s="37"/>
      <c r="BF36" s="37"/>
    </row>
    <row r="37" spans="1:58" s="16" customFormat="1" ht="15" thickBot="1" x14ac:dyDescent="0.35">
      <c r="A37" s="60"/>
      <c r="B37" s="60"/>
      <c r="C37" s="60"/>
      <c r="D37" s="61"/>
      <c r="E37" s="60"/>
      <c r="F37" s="60"/>
      <c r="G37" s="60"/>
      <c r="H37" s="60"/>
      <c r="I37" s="710"/>
      <c r="J37" s="397"/>
      <c r="K37" s="60"/>
      <c r="L37" s="60"/>
      <c r="M37" s="60"/>
      <c r="N37" s="60"/>
      <c r="O37" s="398"/>
      <c r="P37" s="398"/>
      <c r="Q37" s="734"/>
      <c r="R37" s="713"/>
      <c r="S37" s="713"/>
      <c r="T37" s="411"/>
      <c r="U37" s="411"/>
      <c r="V37" s="411"/>
      <c r="W37" s="400"/>
      <c r="X37" s="400"/>
      <c r="Y37" s="400"/>
      <c r="Z37" s="138"/>
      <c r="AA37" s="138"/>
      <c r="AB37" s="60"/>
      <c r="AC37" s="60"/>
      <c r="AD37" s="398"/>
      <c r="AE37" s="225"/>
      <c r="AF37" s="713"/>
      <c r="AG37" s="424"/>
      <c r="AH37" s="424"/>
      <c r="AI37" s="424"/>
      <c r="AJ37" s="400"/>
      <c r="AK37" s="400"/>
      <c r="AL37" s="400"/>
      <c r="AM37" s="60"/>
      <c r="AN37" s="60"/>
      <c r="AO37" s="60"/>
      <c r="AP37" s="60"/>
      <c r="AQ37" s="398"/>
      <c r="AR37" s="398"/>
      <c r="AS37" s="225"/>
      <c r="AT37" s="713"/>
      <c r="AU37" s="713"/>
      <c r="AV37" s="411"/>
      <c r="AW37" s="411"/>
      <c r="AX37" s="411"/>
      <c r="AY37" s="169"/>
      <c r="AZ37" s="169"/>
      <c r="BA37" s="60"/>
      <c r="BB37" s="190"/>
      <c r="BC37" s="190"/>
      <c r="BD37" s="436"/>
      <c r="BE37" s="60"/>
      <c r="BF37" s="60"/>
    </row>
    <row r="38" spans="1:58" x14ac:dyDescent="0.3">
      <c r="I38" s="604"/>
      <c r="J38" s="92"/>
      <c r="O38" s="250"/>
      <c r="P38" s="250"/>
      <c r="Q38" s="722"/>
      <c r="R38" s="586"/>
      <c r="S38" s="586"/>
      <c r="T38" s="412"/>
      <c r="U38" s="412"/>
      <c r="V38" s="412"/>
      <c r="W38" s="402"/>
      <c r="X38" s="402"/>
      <c r="Y38" s="402"/>
      <c r="AD38" s="250"/>
      <c r="AE38" s="583"/>
      <c r="AF38" s="586"/>
      <c r="AG38" s="184"/>
      <c r="AH38" s="184"/>
      <c r="AI38" s="184"/>
      <c r="AQ38" s="250"/>
      <c r="AR38" s="250"/>
      <c r="AS38" s="583"/>
      <c r="AT38" s="586"/>
      <c r="AU38" s="586"/>
      <c r="AV38" s="412"/>
      <c r="AW38" s="412"/>
      <c r="AX38" s="412"/>
      <c r="AY38" s="157"/>
      <c r="AZ38" s="157"/>
      <c r="BD38" s="437"/>
    </row>
    <row r="39" spans="1:58" ht="14.25" customHeight="1" x14ac:dyDescent="0.3">
      <c r="I39" s="604"/>
      <c r="J39" s="92"/>
      <c r="N39" s="108" t="s">
        <v>790</v>
      </c>
      <c r="O39" s="250"/>
      <c r="P39" s="250"/>
      <c r="Q39" s="845">
        <f>AVERAGE(Q6:Q37)</f>
        <v>372561.59688968165</v>
      </c>
      <c r="R39" s="586"/>
      <c r="S39" s="586"/>
      <c r="T39" s="845">
        <f>AVERAGE(T6:T37)</f>
        <v>342772.20319226861</v>
      </c>
      <c r="U39" s="412"/>
      <c r="V39" s="412"/>
      <c r="W39" s="402"/>
      <c r="X39" s="402"/>
      <c r="Y39" s="402"/>
      <c r="AC39" s="108" t="s">
        <v>790</v>
      </c>
      <c r="AD39" s="250"/>
      <c r="AE39" s="845">
        <f>AVERAGE(AE6:AE37)</f>
        <v>223.54762476805197</v>
      </c>
      <c r="AF39" s="586"/>
      <c r="AG39" s="845">
        <f>AVERAGE(AG6:AG37)</f>
        <v>272.82098420015575</v>
      </c>
      <c r="AH39" s="184"/>
      <c r="AI39" s="184"/>
      <c r="AP39" s="108" t="s">
        <v>790</v>
      </c>
      <c r="AQ39" s="250"/>
      <c r="AR39" s="250"/>
      <c r="AS39" s="845">
        <f>AVERAGE(AS6:AS37)</f>
        <v>20.842360447649959</v>
      </c>
      <c r="AT39" s="586"/>
      <c r="AU39" s="586"/>
      <c r="AV39" s="845">
        <f>AVERAGE(AV6:AV37)</f>
        <v>24.523457017558844</v>
      </c>
      <c r="AW39" s="412"/>
      <c r="AX39" s="412"/>
      <c r="AY39" s="157"/>
      <c r="AZ39" s="157"/>
      <c r="BD39" s="437"/>
    </row>
    <row r="40" spans="1:58" s="4" customFormat="1" hidden="1" x14ac:dyDescent="0.3">
      <c r="A40" s="115"/>
      <c r="B40" s="115"/>
      <c r="C40" s="115"/>
      <c r="D40" s="307"/>
      <c r="E40" s="115"/>
      <c r="F40" s="115"/>
      <c r="G40" s="115"/>
      <c r="H40" s="115"/>
      <c r="I40" s="115"/>
      <c r="J40" s="115"/>
      <c r="K40" s="115"/>
      <c r="L40" s="115"/>
      <c r="M40" s="115"/>
      <c r="N40" s="115" t="s">
        <v>790</v>
      </c>
      <c r="O40" s="115"/>
      <c r="P40" s="115"/>
      <c r="Q40" s="283">
        <f>AVERAGE(Q9:Q29)</f>
        <v>372561.59688968165</v>
      </c>
      <c r="R40" s="115"/>
      <c r="S40" s="115"/>
      <c r="T40" s="142">
        <f>AVERAGE(T10:T30)</f>
        <v>3280.2927395292841</v>
      </c>
      <c r="U40" s="152"/>
      <c r="V40" s="152"/>
      <c r="W40" s="153"/>
      <c r="X40" s="153"/>
      <c r="Y40" s="153"/>
      <c r="Z40" s="115" t="s">
        <v>790</v>
      </c>
      <c r="AA40" s="115"/>
      <c r="AB40" s="115"/>
      <c r="AC40" s="115" t="s">
        <v>790</v>
      </c>
      <c r="AD40" s="115"/>
      <c r="AE40" s="723">
        <f>AVERAGE(AE12:AE34)</f>
        <v>223.54762476805197</v>
      </c>
      <c r="AF40" s="115"/>
      <c r="AG40" s="142">
        <f>AVERAGE(AG12:AG31)</f>
        <v>272.82098420015575</v>
      </c>
      <c r="AH40" s="173"/>
      <c r="AI40" s="173"/>
      <c r="AJ40" s="174"/>
      <c r="AK40" s="174"/>
      <c r="AL40" s="174"/>
      <c r="AM40" s="115" t="s">
        <v>790</v>
      </c>
      <c r="AN40" s="115"/>
      <c r="AO40" s="115"/>
      <c r="AP40" s="115" t="s">
        <v>790</v>
      </c>
      <c r="AQ40" s="115"/>
      <c r="AR40" s="115"/>
      <c r="AS40" s="152">
        <f>AVERAGE(AS6:AS37)</f>
        <v>20.842360447649959</v>
      </c>
      <c r="AT40" s="115"/>
      <c r="AU40" s="115"/>
      <c r="AV40" s="142">
        <f>AVERAGE(AV6:AV37)</f>
        <v>24.523457017558844</v>
      </c>
      <c r="AW40" s="152"/>
      <c r="AX40" s="152"/>
      <c r="AY40" s="115"/>
      <c r="AZ40" s="115"/>
      <c r="BA40" s="115"/>
      <c r="BB40" s="192" t="s">
        <v>790</v>
      </c>
      <c r="BC40" s="192"/>
      <c r="BD40" s="192"/>
      <c r="BE40" s="115"/>
      <c r="BF40" s="115"/>
    </row>
    <row r="41" spans="1:58" s="1" customFormat="1" x14ac:dyDescent="0.3">
      <c r="A41" s="108"/>
      <c r="B41" s="108"/>
      <c r="C41" s="108"/>
      <c r="D41" s="72"/>
      <c r="E41" s="108"/>
      <c r="F41" s="108"/>
      <c r="G41" s="108"/>
      <c r="H41" s="108"/>
      <c r="I41" s="108"/>
      <c r="J41" s="108"/>
      <c r="K41" s="108"/>
      <c r="L41" s="108"/>
      <c r="M41" s="108"/>
      <c r="N41" s="108" t="s">
        <v>791</v>
      </c>
      <c r="O41" s="108"/>
      <c r="P41" s="108"/>
      <c r="Q41" s="108">
        <f>STDEV(Q9:Q29)</f>
        <v>1229768.5147352596</v>
      </c>
      <c r="R41" s="108"/>
      <c r="S41" s="108"/>
      <c r="T41" s="176">
        <f>STDEV(T10:T30)</f>
        <v>6572.9342660576522</v>
      </c>
      <c r="U41" s="142"/>
      <c r="V41" s="142"/>
      <c r="W41" s="143"/>
      <c r="X41" s="143"/>
      <c r="Y41" s="143"/>
      <c r="Z41" s="108"/>
      <c r="AA41" s="108"/>
      <c r="AB41" s="108"/>
      <c r="AC41" s="108" t="s">
        <v>791</v>
      </c>
      <c r="AD41" s="108"/>
      <c r="AE41" s="176">
        <f>STDEV(AE12:AE35)</f>
        <v>259.77588739173416</v>
      </c>
      <c r="AF41" s="108"/>
      <c r="AG41" s="142">
        <f>STDEV(AG12:AG31)</f>
        <v>252.01507039136106</v>
      </c>
      <c r="AH41" s="176"/>
      <c r="AI41" s="176"/>
      <c r="AJ41" s="425"/>
      <c r="AK41" s="425"/>
      <c r="AL41" s="425"/>
      <c r="AM41" s="108"/>
      <c r="AN41" s="108"/>
      <c r="AO41" s="108"/>
      <c r="AP41" s="108" t="s">
        <v>791</v>
      </c>
      <c r="AQ41" s="108"/>
      <c r="AR41" s="108"/>
      <c r="AS41" s="176">
        <f>STDEV(AS6:AS37)</f>
        <v>43.453644903552586</v>
      </c>
      <c r="AT41" s="108"/>
      <c r="AU41" s="108"/>
      <c r="AV41" s="142">
        <f>STDEV(AV6:AV38)</f>
        <v>47.627833459505823</v>
      </c>
      <c r="AW41" s="142"/>
      <c r="AX41" s="142"/>
      <c r="AY41" s="108"/>
      <c r="AZ41" s="108"/>
      <c r="BA41" s="108"/>
      <c r="BB41" s="319"/>
      <c r="BC41" s="319"/>
      <c r="BD41" s="319"/>
      <c r="BE41" s="108"/>
      <c r="BF41" s="108"/>
    </row>
    <row r="42" spans="1:58" s="1" customFormat="1" x14ac:dyDescent="0.3">
      <c r="A42" s="108"/>
      <c r="B42" s="108"/>
      <c r="C42" s="108"/>
      <c r="D42" s="72"/>
      <c r="E42" s="108"/>
      <c r="F42" s="108"/>
      <c r="G42" s="108"/>
      <c r="H42" s="108"/>
      <c r="I42" s="108"/>
      <c r="J42" s="108"/>
      <c r="K42" s="108"/>
      <c r="L42" s="108"/>
      <c r="M42" s="108"/>
      <c r="N42" s="108" t="s">
        <v>800</v>
      </c>
      <c r="O42" s="108"/>
      <c r="P42" s="108"/>
      <c r="Q42" s="207">
        <f>MEDIAN(Q9:Q29)</f>
        <v>362.99999999999977</v>
      </c>
      <c r="R42" s="108"/>
      <c r="S42" s="108"/>
      <c r="T42" s="176">
        <f>MEDIAN(T10:T29)</f>
        <v>362.99999999999977</v>
      </c>
      <c r="U42" s="142"/>
      <c r="V42" s="142"/>
      <c r="W42" s="143"/>
      <c r="X42" s="143"/>
      <c r="Y42" s="143"/>
      <c r="Z42" s="108"/>
      <c r="AA42" s="108"/>
      <c r="AB42" s="108"/>
      <c r="AC42" s="108" t="s">
        <v>800</v>
      </c>
      <c r="AD42" s="108"/>
      <c r="AE42" s="176">
        <f>MEDIAN(AE12:AE35)</f>
        <v>49.542250882020546</v>
      </c>
      <c r="AF42" s="108"/>
      <c r="AG42" s="142">
        <f>MEDIAN(AG12:AG31)</f>
        <v>254.08095794780422</v>
      </c>
      <c r="AH42" s="176"/>
      <c r="AI42" s="176"/>
      <c r="AJ42" s="425"/>
      <c r="AK42" s="425"/>
      <c r="AL42" s="425"/>
      <c r="AM42" s="108"/>
      <c r="AN42" s="108"/>
      <c r="AO42" s="108"/>
      <c r="AP42" s="108" t="s">
        <v>800</v>
      </c>
      <c r="AQ42" s="108"/>
      <c r="AR42" s="108"/>
      <c r="AS42" s="176">
        <f>MEDIAN(AS6:AS37)</f>
        <v>3.2239403746974191</v>
      </c>
      <c r="AT42" s="108"/>
      <c r="AU42" s="108"/>
      <c r="AV42" s="142">
        <f>MEDIAN(AV6:AV37)</f>
        <v>3.2239403746974191</v>
      </c>
      <c r="AW42" s="142"/>
      <c r="AX42" s="142"/>
      <c r="AY42" s="108"/>
      <c r="AZ42" s="108"/>
      <c r="BA42" s="108"/>
      <c r="BB42" s="319"/>
      <c r="BC42" s="319"/>
      <c r="BD42" s="319"/>
      <c r="BE42" s="108"/>
      <c r="BF42" s="108"/>
    </row>
    <row r="43" spans="1:58" s="1" customFormat="1" x14ac:dyDescent="0.3">
      <c r="A43" s="108"/>
      <c r="B43" s="108"/>
      <c r="C43" s="108"/>
      <c r="D43" s="72"/>
      <c r="E43" s="108"/>
      <c r="F43" s="108"/>
      <c r="G43" s="108"/>
      <c r="H43" s="108"/>
      <c r="I43" s="108"/>
      <c r="J43" s="108"/>
      <c r="K43" s="108"/>
      <c r="L43" s="108"/>
      <c r="M43" s="108"/>
      <c r="N43" s="108" t="s">
        <v>789</v>
      </c>
      <c r="O43" s="108"/>
      <c r="P43" s="108"/>
      <c r="Q43" s="108">
        <f>COUNT(Q9:Q29)</f>
        <v>11</v>
      </c>
      <c r="R43" s="108"/>
      <c r="S43" s="108"/>
      <c r="T43" s="176">
        <f>COUNT(T10:T29)</f>
        <v>5</v>
      </c>
      <c r="U43" s="142"/>
      <c r="V43" s="142"/>
      <c r="W43" s="143"/>
      <c r="X43" s="143"/>
      <c r="Y43" s="143"/>
      <c r="Z43" s="108"/>
      <c r="AA43" s="108"/>
      <c r="AB43" s="108"/>
      <c r="AC43" s="108" t="s">
        <v>789</v>
      </c>
      <c r="AD43" s="108"/>
      <c r="AE43" s="176">
        <f>COUNT(AE12:AE35)</f>
        <v>13</v>
      </c>
      <c r="AF43" s="108"/>
      <c r="AG43" s="176">
        <f>COUNT(AG12:AG32)</f>
        <v>8</v>
      </c>
      <c r="AH43" s="176"/>
      <c r="AI43" s="176"/>
      <c r="AJ43" s="425"/>
      <c r="AK43" s="425"/>
      <c r="AL43" s="425"/>
      <c r="AM43" s="108"/>
      <c r="AN43" s="108"/>
      <c r="AO43" s="108"/>
      <c r="AP43" s="108" t="s">
        <v>789</v>
      </c>
      <c r="AQ43" s="108"/>
      <c r="AR43" s="108"/>
      <c r="AS43" s="176">
        <f>COUNT(AS6:AS37)</f>
        <v>11</v>
      </c>
      <c r="AT43" s="108"/>
      <c r="AU43" s="108"/>
      <c r="AV43" s="144">
        <f>COUNT(AV6:AV37)</f>
        <v>9</v>
      </c>
      <c r="AW43" s="142"/>
      <c r="AX43" s="142"/>
      <c r="AY43" s="108"/>
      <c r="AZ43" s="108"/>
      <c r="BA43" s="108"/>
      <c r="BB43" s="319"/>
      <c r="BC43" s="319"/>
      <c r="BD43" s="319"/>
      <c r="BE43" s="108"/>
      <c r="BF43" s="108"/>
    </row>
    <row r="44" spans="1:58" s="1" customFormat="1" x14ac:dyDescent="0.3">
      <c r="A44" s="108"/>
      <c r="B44" s="108"/>
      <c r="C44" s="108"/>
      <c r="D44" s="72"/>
      <c r="E44" s="108"/>
      <c r="F44" s="108"/>
      <c r="G44" s="108"/>
      <c r="H44" s="108"/>
      <c r="I44" s="108"/>
      <c r="J44" s="108"/>
      <c r="K44" s="108"/>
      <c r="L44" s="108"/>
      <c r="M44" s="108"/>
      <c r="N44" s="108" t="s">
        <v>787</v>
      </c>
      <c r="O44" s="108"/>
      <c r="P44" s="108"/>
      <c r="Q44" s="207">
        <f>MIN(Q9:Q29)</f>
        <v>10.499999999999996</v>
      </c>
      <c r="R44" s="108"/>
      <c r="S44" s="108"/>
      <c r="T44" s="176">
        <f>MIN(T10:T29)</f>
        <v>10.499999999999996</v>
      </c>
      <c r="U44" s="142"/>
      <c r="V44" s="142"/>
      <c r="W44" s="143"/>
      <c r="X44" s="143"/>
      <c r="Y44" s="143"/>
      <c r="Z44" s="108"/>
      <c r="AA44" s="108"/>
      <c r="AB44" s="108"/>
      <c r="AC44" s="108" t="s">
        <v>787</v>
      </c>
      <c r="AD44" s="108"/>
      <c r="AE44" s="176">
        <f>MIN(AE12:AE35)</f>
        <v>31.699999999999985</v>
      </c>
      <c r="AF44" s="108"/>
      <c r="AG44" s="142">
        <f>MIN(AG12:AG34)</f>
        <v>31.699999999999985</v>
      </c>
      <c r="AH44" s="176"/>
      <c r="AI44" s="176"/>
      <c r="AJ44" s="425"/>
      <c r="AK44" s="425"/>
      <c r="AL44" s="425"/>
      <c r="AM44" s="108"/>
      <c r="AN44" s="108"/>
      <c r="AO44" s="108"/>
      <c r="AP44" s="108" t="s">
        <v>787</v>
      </c>
      <c r="AQ44" s="108"/>
      <c r="AR44" s="108"/>
      <c r="AS44" s="176">
        <f>MIN(AS6:AS37)</f>
        <v>1.5769119535738171E-2</v>
      </c>
      <c r="AT44" s="108"/>
      <c r="AU44" s="108"/>
      <c r="AV44" s="240">
        <f>MIN(AV6:AV37)</f>
        <v>1.5769119535738171E-2</v>
      </c>
      <c r="AW44" s="142"/>
      <c r="AX44" s="142"/>
      <c r="AY44" s="108"/>
      <c r="AZ44" s="108"/>
      <c r="BA44" s="108"/>
      <c r="BB44" s="319"/>
      <c r="BC44" s="319"/>
      <c r="BD44" s="319"/>
      <c r="BE44" s="108"/>
      <c r="BF44" s="108"/>
    </row>
    <row r="45" spans="1:58" s="1" customFormat="1" x14ac:dyDescent="0.3">
      <c r="A45" s="108"/>
      <c r="B45" s="108"/>
      <c r="C45" s="108"/>
      <c r="D45" s="72"/>
      <c r="E45" s="108"/>
      <c r="F45" s="108"/>
      <c r="G45" s="108"/>
      <c r="H45" s="108"/>
      <c r="I45" s="108"/>
      <c r="J45" s="108"/>
      <c r="K45" s="108"/>
      <c r="L45" s="108"/>
      <c r="M45" s="108"/>
      <c r="N45" s="108" t="s">
        <v>788</v>
      </c>
      <c r="O45" s="108"/>
      <c r="P45" s="108"/>
      <c r="Q45" s="207">
        <f>MAX(Q9:Q30)</f>
        <v>4080429.1433134391</v>
      </c>
      <c r="R45" s="108"/>
      <c r="S45" s="108"/>
      <c r="T45" s="176">
        <f>MAX(T10:T29)</f>
        <v>15024.625144542284</v>
      </c>
      <c r="U45" s="142"/>
      <c r="V45" s="142"/>
      <c r="W45" s="143"/>
      <c r="X45" s="143"/>
      <c r="Y45" s="143"/>
      <c r="Z45" s="108"/>
      <c r="AA45" s="108"/>
      <c r="AB45" s="108"/>
      <c r="AC45" s="108" t="s">
        <v>788</v>
      </c>
      <c r="AD45" s="108"/>
      <c r="AE45" s="176">
        <f>MAX(AE12:AE34)</f>
        <v>782.00000000000023</v>
      </c>
      <c r="AF45" s="108"/>
      <c r="AG45" s="142">
        <f>MAX(AG12:AG35)</f>
        <v>539.99999999999932</v>
      </c>
      <c r="AH45" s="176"/>
      <c r="AI45" s="176"/>
      <c r="AJ45" s="425"/>
      <c r="AK45" s="425"/>
      <c r="AL45" s="425"/>
      <c r="AM45" s="108"/>
      <c r="AN45" s="108"/>
      <c r="AO45" s="108"/>
      <c r="AP45" s="108" t="s">
        <v>788</v>
      </c>
      <c r="AQ45" s="108"/>
      <c r="AR45" s="108"/>
      <c r="AS45" s="176">
        <f>MAX(AS6:AS37)</f>
        <v>141</v>
      </c>
      <c r="AT45" s="108"/>
      <c r="AU45" s="108"/>
      <c r="AV45" s="142">
        <f>MAX(AV6:AV38)</f>
        <v>141</v>
      </c>
      <c r="AW45" s="142"/>
      <c r="AX45" s="142"/>
      <c r="AY45" s="108"/>
      <c r="AZ45" s="108"/>
      <c r="BA45" s="108"/>
      <c r="BB45" s="319"/>
      <c r="BC45" s="319"/>
      <c r="BD45" s="319"/>
      <c r="BE45" s="108"/>
      <c r="BF45" s="108"/>
    </row>
    <row r="46" spans="1:58" x14ac:dyDescent="0.3">
      <c r="S46" s="843" t="s">
        <v>1276</v>
      </c>
      <c r="T46" s="157">
        <f>QUARTILE(T$6:T38,3)-QUARTILE(T$6:T38,1)</f>
        <v>11273.927184774308</v>
      </c>
      <c r="U46" s="119"/>
      <c r="AF46" s="843" t="s">
        <v>1276</v>
      </c>
      <c r="AG46" s="157">
        <f>QUARTILE(AG$6:AG38,3)-QUARTILE(AG$6:AG38,1)</f>
        <v>481.44804039331115</v>
      </c>
      <c r="AH46" s="119"/>
      <c r="AU46" s="843" t="s">
        <v>1276</v>
      </c>
      <c r="AV46" s="157">
        <f>QUARTILE(AV$6:AV38,3)-QUARTILE(AV$6:AV38,1)</f>
        <v>7.6983647740083052</v>
      </c>
      <c r="AW46" s="119"/>
    </row>
    <row r="47" spans="1:58" x14ac:dyDescent="0.3">
      <c r="S47" s="843" t="s">
        <v>1277</v>
      </c>
      <c r="T47" s="157">
        <f>MAX(T42-2*T46,0)</f>
        <v>0</v>
      </c>
      <c r="U47" s="844" t="str">
        <f>IF(T44&lt;T47,"Outlier Flag","")</f>
        <v/>
      </c>
      <c r="V47" s="880"/>
      <c r="AF47" s="843" t="s">
        <v>1277</v>
      </c>
      <c r="AG47" s="157">
        <f>MAX(AG42-2*AG46,0)</f>
        <v>0</v>
      </c>
      <c r="AH47" s="844" t="str">
        <f>IF(AG44&lt;AG47,"Outlier Flag","")</f>
        <v/>
      </c>
      <c r="AU47" s="843" t="s">
        <v>1277</v>
      </c>
      <c r="AV47" s="157">
        <f>MAX(AV42-2*AV46,0)</f>
        <v>0</v>
      </c>
      <c r="AW47" s="844" t="str">
        <f>IF(AV44&lt;AV47,"Outlier Flag","")</f>
        <v/>
      </c>
    </row>
    <row r="48" spans="1:58" x14ac:dyDescent="0.3">
      <c r="S48" s="843" t="s">
        <v>1278</v>
      </c>
      <c r="T48" s="157">
        <f>T42+2.2*T46</f>
        <v>25165.639806503477</v>
      </c>
      <c r="U48" s="844" t="str">
        <f>IF(T45&gt;T48,"Outlier Flag","")</f>
        <v/>
      </c>
      <c r="AF48" s="843" t="s">
        <v>1278</v>
      </c>
      <c r="AG48" s="157">
        <f>AG42+2.2*AG46</f>
        <v>1313.2666468130888</v>
      </c>
      <c r="AH48" s="844" t="str">
        <f>IF(AG45&gt;AG48,"Outlier Flag","")</f>
        <v/>
      </c>
      <c r="AU48" s="843" t="s">
        <v>1278</v>
      </c>
      <c r="AV48" s="157">
        <f>AV42+2.2*AV46</f>
        <v>20.160342877515692</v>
      </c>
      <c r="AW48" s="844" t="str">
        <f>IF(AV45&gt;AV48,"Outlier Flag","")</f>
        <v>Outlier Flag</v>
      </c>
    </row>
    <row r="52" spans="14:48" x14ac:dyDescent="0.3">
      <c r="N52" s="31" t="s">
        <v>790</v>
      </c>
      <c r="T52" s="129">
        <v>3280.2927395292841</v>
      </c>
      <c r="AP52" s="31" t="s">
        <v>790</v>
      </c>
      <c r="AV52" s="129">
        <v>2.879223037193305</v>
      </c>
    </row>
    <row r="53" spans="14:48" x14ac:dyDescent="0.3">
      <c r="N53" s="31" t="s">
        <v>791</v>
      </c>
      <c r="T53" s="129">
        <v>6572.9342660576522</v>
      </c>
      <c r="AP53" s="31" t="s">
        <v>791</v>
      </c>
      <c r="AV53" s="129">
        <v>3.5088294860709017</v>
      </c>
    </row>
    <row r="54" spans="14:48" x14ac:dyDescent="0.3">
      <c r="N54" s="31" t="s">
        <v>800</v>
      </c>
      <c r="T54" s="129">
        <v>362.99999999999977</v>
      </c>
      <c r="AP54" s="31" t="s">
        <v>800</v>
      </c>
      <c r="AV54" s="129">
        <v>0.54</v>
      </c>
    </row>
    <row r="55" spans="14:48" x14ac:dyDescent="0.3">
      <c r="N55" s="31" t="s">
        <v>789</v>
      </c>
      <c r="T55" s="129">
        <v>5</v>
      </c>
      <c r="AP55" s="31" t="s">
        <v>789</v>
      </c>
      <c r="AV55" s="129">
        <v>7</v>
      </c>
    </row>
    <row r="56" spans="14:48" x14ac:dyDescent="0.3">
      <c r="N56" s="31" t="s">
        <v>787</v>
      </c>
      <c r="T56" s="129">
        <v>10.499999999999996</v>
      </c>
      <c r="AP56" s="31" t="s">
        <v>787</v>
      </c>
      <c r="AV56" s="129">
        <v>1.5769119535738171E-2</v>
      </c>
    </row>
    <row r="57" spans="14:48" x14ac:dyDescent="0.3">
      <c r="N57" s="31" t="s">
        <v>788</v>
      </c>
      <c r="T57" s="129">
        <v>15024.625144542284</v>
      </c>
      <c r="AP57" s="31" t="s">
        <v>788</v>
      </c>
      <c r="AV57" s="129">
        <v>8.2183647740083057</v>
      </c>
    </row>
  </sheetData>
  <sheetProtection formatCells="0" formatColumns="0" formatRows="0" insertColumns="0" insertRows="0" insertHyperlinks="0" deleteColumns="0" deleteRows="0" sort="0"/>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49"/>
  <sheetViews>
    <sheetView workbookViewId="0">
      <selection sqref="A1:B1"/>
    </sheetView>
  </sheetViews>
  <sheetFormatPr defaultRowHeight="14.4" x14ac:dyDescent="0.3"/>
  <cols>
    <col min="1" max="1" width="3.6640625" style="31" customWidth="1"/>
    <col min="2" max="2" width="26.44140625" style="31" bestFit="1" customWidth="1"/>
    <col min="3" max="3" width="26.6640625" style="31" bestFit="1" customWidth="1"/>
    <col min="4" max="4" width="16.6640625" style="32" customWidth="1"/>
    <col min="5" max="5" width="47.6640625" style="31" customWidth="1"/>
    <col min="6" max="6" width="25.109375" style="31" bestFit="1" customWidth="1"/>
    <col min="7" max="8" width="12.33203125" style="31" customWidth="1"/>
    <col min="9" max="9" width="8.88671875" style="320" customWidth="1"/>
    <col min="10" max="10" width="9.33203125" style="31" bestFit="1" customWidth="1"/>
    <col min="11" max="12" width="10.109375" style="31" customWidth="1"/>
    <col min="13" max="13" width="12.109375" style="31" customWidth="1"/>
    <col min="14" max="14" width="9.88671875" style="31" customWidth="1"/>
    <col min="15" max="15" width="12.109375" style="31" customWidth="1"/>
    <col min="16" max="16" width="13.33203125" style="31" bestFit="1" customWidth="1"/>
    <col min="17" max="17" width="10.109375" style="31" customWidth="1"/>
    <col min="18" max="18" width="9.6640625" style="31" customWidth="1"/>
    <col min="19" max="19" width="12.6640625" style="31" bestFit="1" customWidth="1"/>
    <col min="20" max="22" width="10.109375" style="117" customWidth="1"/>
    <col min="23" max="25" width="14.6640625" style="40" customWidth="1"/>
    <col min="26" max="27" width="8.88671875" style="31"/>
    <col min="28" max="28" width="11.44140625" style="31" customWidth="1"/>
    <col min="29" max="29" width="10.33203125" style="31" customWidth="1"/>
    <col min="30" max="30" width="14.88671875" style="31" bestFit="1" customWidth="1"/>
    <col min="31" max="31" width="10.109375" style="31" customWidth="1"/>
    <col min="32" max="32" width="11" style="31" customWidth="1"/>
    <col min="33" max="35" width="10.109375" style="175" customWidth="1"/>
    <col min="36" max="38" width="14.6640625" style="157" customWidth="1"/>
    <col min="39" max="40" width="8.88671875" style="31"/>
    <col min="41" max="41" width="11.44140625" style="31" customWidth="1"/>
    <col min="42" max="42" width="12.33203125" style="31" customWidth="1"/>
    <col min="43" max="43" width="16.109375" style="31" bestFit="1" customWidth="1"/>
    <col min="44" max="44" width="14.33203125" style="31" bestFit="1" customWidth="1"/>
    <col min="45" max="45" width="10.109375" style="31" customWidth="1"/>
    <col min="46" max="46" width="10.33203125" style="31" customWidth="1"/>
    <col min="47" max="47" width="12.6640625" style="31" bestFit="1" customWidth="1"/>
    <col min="48" max="50" width="10.109375" style="31" customWidth="1"/>
    <col min="51" max="53" width="14.6640625" style="31" customWidth="1"/>
    <col min="54" max="54" width="16.33203125" style="185" customWidth="1"/>
    <col min="55" max="55" width="17.109375" style="185" customWidth="1"/>
    <col min="56" max="56" width="9.109375" style="185" customWidth="1"/>
    <col min="57" max="58" width="8.88671875" style="31"/>
  </cols>
  <sheetData>
    <row r="1" spans="1:58" x14ac:dyDescent="0.3">
      <c r="A1" s="899" t="s">
        <v>15</v>
      </c>
      <c r="B1" s="899"/>
      <c r="I1" s="739"/>
      <c r="J1" s="92"/>
      <c r="K1" s="108" t="s">
        <v>626</v>
      </c>
      <c r="O1" s="86" t="s">
        <v>601</v>
      </c>
      <c r="P1" s="87"/>
      <c r="Q1" s="583" t="s">
        <v>602</v>
      </c>
      <c r="R1" s="586"/>
      <c r="S1" s="586"/>
      <c r="T1" s="118"/>
      <c r="U1" s="118"/>
      <c r="V1" s="118"/>
      <c r="W1" s="587"/>
      <c r="X1" s="587"/>
      <c r="Y1" s="587"/>
      <c r="Z1" s="108" t="s">
        <v>89</v>
      </c>
      <c r="AD1" s="87" t="s">
        <v>601</v>
      </c>
      <c r="AE1" s="583" t="s">
        <v>602</v>
      </c>
      <c r="AF1" s="586"/>
      <c r="AG1" s="156"/>
      <c r="AH1" s="156"/>
      <c r="AI1" s="156"/>
      <c r="AJ1" s="587"/>
      <c r="AK1" s="587"/>
      <c r="AL1" s="587"/>
      <c r="AM1" s="108" t="s">
        <v>627</v>
      </c>
      <c r="AQ1" s="86" t="s">
        <v>601</v>
      </c>
      <c r="AR1" s="86"/>
      <c r="AS1" s="583" t="s">
        <v>602</v>
      </c>
      <c r="AT1" s="586"/>
      <c r="AU1" s="586"/>
      <c r="AV1" s="118"/>
      <c r="AW1" s="118"/>
      <c r="AX1" s="118"/>
      <c r="AY1" s="587"/>
      <c r="AZ1" s="587"/>
      <c r="BA1" s="587"/>
    </row>
    <row r="2" spans="1:58" x14ac:dyDescent="0.3">
      <c r="G2" s="584"/>
      <c r="H2" s="584"/>
      <c r="I2" s="739"/>
      <c r="J2" s="92"/>
      <c r="K2" s="108"/>
      <c r="O2" s="588" t="s">
        <v>603</v>
      </c>
      <c r="P2" s="589"/>
      <c r="Q2" s="590" t="s">
        <v>603</v>
      </c>
      <c r="R2" s="590" t="s">
        <v>603</v>
      </c>
      <c r="S2" s="590"/>
      <c r="T2" s="591" t="s">
        <v>801</v>
      </c>
      <c r="U2" s="591"/>
      <c r="V2" s="591"/>
      <c r="W2" s="592"/>
      <c r="X2" s="592"/>
      <c r="Y2" s="592"/>
      <c r="AD2" s="589"/>
      <c r="AE2" s="583"/>
      <c r="AF2" s="590"/>
      <c r="AG2" s="593" t="s">
        <v>801</v>
      </c>
      <c r="AH2" s="593"/>
      <c r="AI2" s="593"/>
      <c r="AJ2" s="592"/>
      <c r="AK2" s="592"/>
      <c r="AL2" s="592"/>
      <c r="AM2" s="108"/>
      <c r="AQ2" s="588" t="s">
        <v>604</v>
      </c>
      <c r="AR2" s="588"/>
      <c r="AS2" s="590" t="s">
        <v>604</v>
      </c>
      <c r="AT2" s="590" t="s">
        <v>604</v>
      </c>
      <c r="AU2" s="590"/>
      <c r="AV2" s="591" t="s">
        <v>801</v>
      </c>
      <c r="AW2" s="591"/>
      <c r="AX2" s="591"/>
      <c r="AY2" s="592"/>
      <c r="AZ2" s="592"/>
      <c r="BA2" s="592"/>
    </row>
    <row r="3" spans="1:58" ht="43.2" x14ac:dyDescent="0.3">
      <c r="B3" s="108" t="s">
        <v>1</v>
      </c>
      <c r="C3" s="108" t="s">
        <v>2</v>
      </c>
      <c r="D3" s="378" t="s">
        <v>930</v>
      </c>
      <c r="E3" s="108" t="s">
        <v>5</v>
      </c>
      <c r="F3" s="108" t="s">
        <v>7</v>
      </c>
      <c r="G3" s="594" t="s">
        <v>1176</v>
      </c>
      <c r="H3" s="594" t="s">
        <v>1176</v>
      </c>
      <c r="I3" s="740" t="s">
        <v>593</v>
      </c>
      <c r="J3" s="533" t="s">
        <v>594</v>
      </c>
      <c r="K3" s="108" t="s">
        <v>109</v>
      </c>
      <c r="L3" s="108" t="s">
        <v>87</v>
      </c>
      <c r="M3" s="596" t="s">
        <v>1180</v>
      </c>
      <c r="N3" s="596" t="s">
        <v>1179</v>
      </c>
      <c r="O3" s="597" t="s">
        <v>1177</v>
      </c>
      <c r="P3" s="597" t="s">
        <v>1178</v>
      </c>
      <c r="Q3" s="552" t="s">
        <v>87</v>
      </c>
      <c r="R3" s="598" t="s">
        <v>1177</v>
      </c>
      <c r="S3" s="598" t="s">
        <v>1178</v>
      </c>
      <c r="T3" s="591" t="s">
        <v>811</v>
      </c>
      <c r="U3" s="591" t="s">
        <v>799</v>
      </c>
      <c r="V3" s="591" t="s">
        <v>807</v>
      </c>
      <c r="W3" s="592" t="s">
        <v>1181</v>
      </c>
      <c r="X3" s="592" t="s">
        <v>1021</v>
      </c>
      <c r="Y3" s="599" t="s">
        <v>951</v>
      </c>
      <c r="Z3" s="108" t="s">
        <v>86</v>
      </c>
      <c r="AA3" s="108" t="s">
        <v>87</v>
      </c>
      <c r="AB3" s="596" t="s">
        <v>1180</v>
      </c>
      <c r="AC3" s="596" t="s">
        <v>1179</v>
      </c>
      <c r="AD3" s="597" t="s">
        <v>1177</v>
      </c>
      <c r="AE3" s="552" t="s">
        <v>87</v>
      </c>
      <c r="AF3" s="598" t="s">
        <v>1177</v>
      </c>
      <c r="AG3" s="593" t="s">
        <v>811</v>
      </c>
      <c r="AH3" s="593" t="s">
        <v>799</v>
      </c>
      <c r="AI3" s="593" t="s">
        <v>807</v>
      </c>
      <c r="AJ3" s="592" t="s">
        <v>1182</v>
      </c>
      <c r="AK3" s="592" t="s">
        <v>1021</v>
      </c>
      <c r="AL3" s="599" t="s">
        <v>951</v>
      </c>
      <c r="AM3" s="108" t="s">
        <v>86</v>
      </c>
      <c r="AN3" s="108" t="s">
        <v>113</v>
      </c>
      <c r="AO3" s="596" t="s">
        <v>111</v>
      </c>
      <c r="AP3" s="596" t="s">
        <v>1179</v>
      </c>
      <c r="AQ3" s="597" t="s">
        <v>1177</v>
      </c>
      <c r="AR3" s="597" t="s">
        <v>1178</v>
      </c>
      <c r="AS3" s="552" t="s">
        <v>87</v>
      </c>
      <c r="AT3" s="598" t="s">
        <v>1177</v>
      </c>
      <c r="AU3" s="598" t="s">
        <v>1178</v>
      </c>
      <c r="AV3" s="591" t="s">
        <v>811</v>
      </c>
      <c r="AW3" s="591" t="s">
        <v>799</v>
      </c>
      <c r="AX3" s="591" t="s">
        <v>807</v>
      </c>
      <c r="AY3" s="592" t="s">
        <v>1183</v>
      </c>
      <c r="AZ3" s="592" t="s">
        <v>1021</v>
      </c>
      <c r="BA3" s="599" t="s">
        <v>951</v>
      </c>
      <c r="BB3" s="319" t="s">
        <v>1184</v>
      </c>
      <c r="BC3" s="319" t="s">
        <v>90</v>
      </c>
      <c r="BD3" s="600" t="s">
        <v>1022</v>
      </c>
    </row>
    <row r="4" spans="1:58" x14ac:dyDescent="0.3">
      <c r="G4" s="33" t="s">
        <v>85</v>
      </c>
      <c r="H4" s="33" t="s">
        <v>522</v>
      </c>
      <c r="I4" s="741"/>
      <c r="J4" s="601" t="s">
        <v>595</v>
      </c>
      <c r="L4" s="31" t="s">
        <v>88</v>
      </c>
      <c r="O4" s="86" t="s">
        <v>596</v>
      </c>
      <c r="P4" s="87" t="s">
        <v>597</v>
      </c>
      <c r="Q4" s="583" t="s">
        <v>88</v>
      </c>
      <c r="R4" s="586" t="s">
        <v>596</v>
      </c>
      <c r="S4" s="586" t="s">
        <v>597</v>
      </c>
      <c r="T4" s="117" t="s">
        <v>88</v>
      </c>
      <c r="U4" s="117" t="s">
        <v>88</v>
      </c>
      <c r="V4" s="117" t="s">
        <v>88</v>
      </c>
      <c r="W4" s="592"/>
      <c r="X4" s="592"/>
      <c r="Y4" s="592"/>
      <c r="AA4" s="31" t="s">
        <v>88</v>
      </c>
      <c r="AD4" s="87" t="s">
        <v>596</v>
      </c>
      <c r="AE4" s="583" t="s">
        <v>88</v>
      </c>
      <c r="AF4" s="586" t="s">
        <v>596</v>
      </c>
      <c r="AG4" s="292" t="s">
        <v>88</v>
      </c>
      <c r="AH4" s="292" t="s">
        <v>88</v>
      </c>
      <c r="AI4" s="292" t="s">
        <v>88</v>
      </c>
      <c r="AJ4" s="602"/>
      <c r="AK4" s="602"/>
      <c r="AL4" s="602"/>
      <c r="AN4" s="31" t="s">
        <v>88</v>
      </c>
      <c r="AQ4" s="86" t="s">
        <v>596</v>
      </c>
      <c r="AR4" s="86" t="s">
        <v>597</v>
      </c>
      <c r="AS4" s="583" t="s">
        <v>88</v>
      </c>
      <c r="AT4" s="586" t="s">
        <v>596</v>
      </c>
      <c r="AU4" s="586" t="s">
        <v>597</v>
      </c>
      <c r="AV4" s="302" t="s">
        <v>88</v>
      </c>
      <c r="AW4" s="302" t="s">
        <v>88</v>
      </c>
      <c r="AX4" s="302" t="s">
        <v>88</v>
      </c>
      <c r="AY4" s="602"/>
      <c r="AZ4" s="602"/>
      <c r="BA4" s="648"/>
      <c r="BB4" s="319"/>
      <c r="BC4" s="192"/>
      <c r="BD4" s="603"/>
    </row>
    <row r="5" spans="1:58" x14ac:dyDescent="0.3">
      <c r="B5" s="108"/>
      <c r="C5" s="108"/>
      <c r="D5" s="378"/>
      <c r="E5" s="108"/>
      <c r="F5" s="108"/>
      <c r="G5" s="33"/>
      <c r="H5" s="33"/>
      <c r="I5" s="741"/>
      <c r="J5" s="92"/>
      <c r="K5" s="115"/>
      <c r="L5" s="115"/>
      <c r="M5" s="115"/>
      <c r="N5" s="115"/>
      <c r="O5" s="344"/>
      <c r="P5" s="344"/>
      <c r="Q5" s="659"/>
      <c r="R5" s="659"/>
      <c r="S5" s="659"/>
      <c r="T5" s="306"/>
      <c r="U5" s="306"/>
      <c r="V5" s="306"/>
      <c r="W5" s="307"/>
      <c r="X5" s="307"/>
      <c r="Y5" s="307"/>
      <c r="Z5" s="115"/>
      <c r="AA5" s="115"/>
      <c r="AB5" s="115"/>
      <c r="AC5" s="115"/>
      <c r="AD5" s="344"/>
      <c r="AE5" s="659"/>
      <c r="AF5" s="659"/>
      <c r="AG5" s="413"/>
      <c r="AH5" s="413"/>
      <c r="AI5" s="413"/>
      <c r="AJ5" s="174"/>
      <c r="AK5" s="174"/>
      <c r="AL5" s="174"/>
      <c r="AM5" s="115"/>
      <c r="AN5" s="115"/>
      <c r="AO5" s="115"/>
      <c r="AP5" s="115"/>
      <c r="AQ5" s="85"/>
      <c r="AR5" s="85"/>
      <c r="AS5" s="583"/>
      <c r="AT5" s="583"/>
      <c r="AU5" s="583"/>
      <c r="AV5" s="29"/>
      <c r="AW5" s="29"/>
      <c r="AX5" s="29"/>
      <c r="BB5" s="319"/>
      <c r="BC5" s="319"/>
    </row>
    <row r="6" spans="1:58" ht="28.8" x14ac:dyDescent="0.3">
      <c r="A6" s="242">
        <v>1</v>
      </c>
      <c r="B6" s="57" t="s">
        <v>511</v>
      </c>
      <c r="C6" s="57" t="s">
        <v>510</v>
      </c>
      <c r="D6" s="438" t="s">
        <v>898</v>
      </c>
      <c r="E6" s="351" t="s">
        <v>514</v>
      </c>
      <c r="F6" s="439" t="s">
        <v>515</v>
      </c>
      <c r="G6" s="31">
        <v>30</v>
      </c>
      <c r="H6" s="31">
        <f>273.15+G6</f>
        <v>303.14999999999998</v>
      </c>
      <c r="I6" s="717">
        <f>-LOG10(EXP(LN(10^-14)+13.36*(1/298.15-1/H6)/0.0019872))</f>
        <v>13.838479812893434</v>
      </c>
      <c r="J6" s="92">
        <v>13.01</v>
      </c>
      <c r="Q6" s="208"/>
      <c r="R6" s="208"/>
      <c r="S6" s="208"/>
      <c r="AD6" s="85"/>
      <c r="AE6" s="208"/>
      <c r="AF6" s="208"/>
      <c r="AG6" s="184"/>
      <c r="AH6" s="184"/>
      <c r="AI6" s="184"/>
      <c r="AM6" s="31">
        <v>8</v>
      </c>
      <c r="AO6" s="31">
        <v>0.02</v>
      </c>
      <c r="AP6" s="31" t="s">
        <v>600</v>
      </c>
      <c r="AQ6" s="85">
        <f>AO6*10^(9-AM6)</f>
        <v>0.2</v>
      </c>
      <c r="AR6" s="262">
        <f>AQ6*10^($I6-9)</f>
        <v>13788.270934796255</v>
      </c>
      <c r="AS6" s="653">
        <f>(LN(2)/AT6)/(60*60*24)</f>
        <v>8.3577746109206593E-5</v>
      </c>
      <c r="AT6" s="209">
        <f>AU6*10^(9-14)</f>
        <v>9.5988910750880757E-2</v>
      </c>
      <c r="AU6" s="209">
        <f>EXP(LN(AR6)+$J6*(1/$H6-1/298.15)/0.0019872)</f>
        <v>9598.891075088075</v>
      </c>
      <c r="AV6" s="253">
        <f>AVERAGE(AS6:AS7)</f>
        <v>1.0607944698476233E-4</v>
      </c>
      <c r="AW6" s="253">
        <f>MEDIAN(AS6:AS7)</f>
        <v>1.0607944698476233E-4</v>
      </c>
      <c r="AX6" s="253">
        <f>STDEV(AS6:AS7)</f>
        <v>3.1822210554673477E-5</v>
      </c>
      <c r="BB6" s="185" t="s">
        <v>512</v>
      </c>
      <c r="BC6" s="185" t="s">
        <v>513</v>
      </c>
    </row>
    <row r="7" spans="1:58" ht="15" thickBot="1" x14ac:dyDescent="0.35">
      <c r="A7" s="242"/>
      <c r="B7" s="269"/>
      <c r="C7" s="440"/>
      <c r="D7" s="908"/>
      <c r="E7" s="442"/>
      <c r="F7" s="443"/>
      <c r="G7" s="31">
        <v>30</v>
      </c>
      <c r="H7" s="31">
        <f>273.15+G7</f>
        <v>303.14999999999998</v>
      </c>
      <c r="I7" s="717">
        <f>-LOG10(EXP(LN(10^-14)+13.36*(1/298.15-1/H7)/0.0019872))</f>
        <v>13.838479812893434</v>
      </c>
      <c r="J7" s="92">
        <v>13.01</v>
      </c>
      <c r="Q7" s="208"/>
      <c r="R7" s="208"/>
      <c r="S7" s="208"/>
      <c r="AD7" s="85"/>
      <c r="AE7" s="208"/>
      <c r="AF7" s="208"/>
      <c r="AG7" s="184"/>
      <c r="AH7" s="184"/>
      <c r="AI7" s="184"/>
      <c r="AM7" s="31">
        <v>9</v>
      </c>
      <c r="AO7" s="31">
        <v>0.13</v>
      </c>
      <c r="AP7" s="31" t="s">
        <v>600</v>
      </c>
      <c r="AQ7" s="85">
        <f>AO7*10^(9-AM7)</f>
        <v>0.13</v>
      </c>
      <c r="AR7" s="262">
        <f>AQ7*10^($I7-9)</f>
        <v>8962.3761076175651</v>
      </c>
      <c r="AS7" s="653">
        <f>(LN(2)/AT7)/(60*60*24)</f>
        <v>1.2858114786031807E-4</v>
      </c>
      <c r="AT7" s="209">
        <f>AU7*10^(9-14)</f>
        <v>6.2392791988072391E-2</v>
      </c>
      <c r="AU7" s="209">
        <f>EXP(LN(AR7)+$J7*(1/$H7-1/298.15)/0.0019872)</f>
        <v>6239.2791988072386</v>
      </c>
      <c r="AV7" s="253"/>
      <c r="AW7" s="253"/>
      <c r="AX7" s="253"/>
    </row>
    <row r="8" spans="1:58" s="8" customFormat="1" ht="28.8" x14ac:dyDescent="0.3">
      <c r="A8" s="376">
        <v>2</v>
      </c>
      <c r="B8" s="73" t="s">
        <v>516</v>
      </c>
      <c r="C8" s="367" t="s">
        <v>517</v>
      </c>
      <c r="D8" s="438" t="s">
        <v>898</v>
      </c>
      <c r="E8" s="74" t="s">
        <v>518</v>
      </c>
      <c r="F8" s="444"/>
      <c r="G8" s="37">
        <v>25</v>
      </c>
      <c r="H8" s="37">
        <f>273.15+G8</f>
        <v>298.14999999999998</v>
      </c>
      <c r="I8" s="716">
        <f t="shared" ref="I8:I31" si="0">-LOG10(EXP(LN(10^-14)+13.36*(1/298.15-1/H8)/0.0019872))</f>
        <v>14</v>
      </c>
      <c r="J8" s="88">
        <v>13.77</v>
      </c>
      <c r="K8" s="88"/>
      <c r="L8" s="88"/>
      <c r="M8" s="88"/>
      <c r="N8" s="88"/>
      <c r="O8" s="88"/>
      <c r="P8" s="88"/>
      <c r="Q8" s="745"/>
      <c r="R8" s="745"/>
      <c r="S8" s="214"/>
      <c r="T8" s="254"/>
      <c r="U8" s="254"/>
      <c r="V8" s="254"/>
      <c r="W8" s="39"/>
      <c r="X8" s="39"/>
      <c r="Y8" s="39"/>
      <c r="Z8" s="37">
        <v>7</v>
      </c>
      <c r="AA8" s="37"/>
      <c r="AB8" s="122">
        <v>1.0089999999999999E-3</v>
      </c>
      <c r="AC8" s="122" t="s">
        <v>600</v>
      </c>
      <c r="AD8" s="260">
        <f>AB8</f>
        <v>1.0089999999999999E-3</v>
      </c>
      <c r="AE8" s="654">
        <f>(LN(2)/AF8)/(60*60*24)</f>
        <v>7.950978009946881E-3</v>
      </c>
      <c r="AF8" s="215">
        <f>EXP(LN(AD8)+$J8*(1/$H8-1/298.15)/0.0019872)</f>
        <v>1.0090000000000001E-3</v>
      </c>
      <c r="AG8" s="458">
        <f>AVERAGE(AE8:AE10)</f>
        <v>8.1371493761102417E-3</v>
      </c>
      <c r="AH8" s="458">
        <f>MEDIAN(AE8:AE11)</f>
        <v>7.950978009946881E-3</v>
      </c>
      <c r="AI8" s="459">
        <f>STDEV(AE8:AE10)</f>
        <v>7.404917208920414E-4</v>
      </c>
      <c r="AJ8" s="460"/>
      <c r="AK8" s="460"/>
      <c r="AL8" s="460"/>
      <c r="AM8" s="37"/>
      <c r="AN8" s="37"/>
      <c r="AO8" s="37"/>
      <c r="AP8" s="37"/>
      <c r="AQ8" s="260"/>
      <c r="AR8" s="260"/>
      <c r="AS8" s="654"/>
      <c r="AT8" s="215"/>
      <c r="AU8" s="215"/>
      <c r="AV8" s="345"/>
      <c r="AW8" s="345"/>
      <c r="AX8" s="345"/>
      <c r="AY8" s="37"/>
      <c r="AZ8" s="37"/>
      <c r="BA8" s="37"/>
      <c r="BB8" s="186"/>
      <c r="BC8" s="186"/>
      <c r="BD8" s="186"/>
      <c r="BE8" s="37"/>
      <c r="BF8" s="37"/>
    </row>
    <row r="9" spans="1:58" x14ac:dyDescent="0.3">
      <c r="A9" s="242"/>
      <c r="B9" s="269"/>
      <c r="C9" s="440"/>
      <c r="D9" s="441"/>
      <c r="E9" s="442"/>
      <c r="F9" s="443"/>
      <c r="G9" s="31">
        <v>65.8</v>
      </c>
      <c r="H9" s="31">
        <f>273.15+G9</f>
        <v>338.95</v>
      </c>
      <c r="I9" s="717">
        <f t="shared" si="0"/>
        <v>12.821203325191739</v>
      </c>
      <c r="J9" s="91">
        <v>13.77</v>
      </c>
      <c r="K9" s="91"/>
      <c r="L9" s="91"/>
      <c r="M9" s="91"/>
      <c r="N9" s="91"/>
      <c r="O9" s="91"/>
      <c r="P9" s="91"/>
      <c r="Q9" s="746"/>
      <c r="R9" s="746"/>
      <c r="S9" s="208"/>
      <c r="Z9" s="31">
        <v>7</v>
      </c>
      <c r="AB9" s="103">
        <v>1.47E-2</v>
      </c>
      <c r="AC9" s="103" t="s">
        <v>600</v>
      </c>
      <c r="AD9" s="262">
        <f>AB9</f>
        <v>1.47E-2</v>
      </c>
      <c r="AE9" s="653">
        <f>(LN(2)/AF9)/(60*60*24)</f>
        <v>8.9529612559810703E-3</v>
      </c>
      <c r="AF9" s="209">
        <f>EXP(LN(AD9)+$J9*(1/$H9-1/298.15)/0.0019872)</f>
        <v>8.9607634643531012E-4</v>
      </c>
      <c r="AG9" s="184"/>
      <c r="AH9" s="184"/>
      <c r="AI9" s="184"/>
      <c r="AQ9" s="262"/>
      <c r="AR9" s="262"/>
      <c r="AS9" s="653"/>
      <c r="AT9" s="209"/>
      <c r="AU9" s="209"/>
      <c r="AV9" s="253"/>
      <c r="AW9" s="253"/>
      <c r="AX9" s="253"/>
    </row>
    <row r="10" spans="1:58" x14ac:dyDescent="0.3">
      <c r="A10" s="242"/>
      <c r="B10" s="269"/>
      <c r="C10" s="440"/>
      <c r="D10" s="441"/>
      <c r="E10" s="442"/>
      <c r="F10" s="443"/>
      <c r="G10" s="31">
        <v>39.5</v>
      </c>
      <c r="H10" s="31">
        <f>273.15+G10</f>
        <v>312.64999999999998</v>
      </c>
      <c r="I10" s="717">
        <f t="shared" si="0"/>
        <v>13.545824245348054</v>
      </c>
      <c r="J10" s="91">
        <v>13.77</v>
      </c>
      <c r="K10" s="91"/>
      <c r="L10" s="91"/>
      <c r="M10" s="91"/>
      <c r="N10" s="91"/>
      <c r="O10" s="91"/>
      <c r="P10" s="91"/>
      <c r="Q10" s="746"/>
      <c r="R10" s="746"/>
      <c r="S10" s="208"/>
      <c r="Z10" s="31">
        <v>7</v>
      </c>
      <c r="AB10" s="103">
        <v>3.14E-3</v>
      </c>
      <c r="AC10" s="103" t="s">
        <v>600</v>
      </c>
      <c r="AD10" s="262">
        <f>AB10</f>
        <v>3.14E-3</v>
      </c>
      <c r="AE10" s="653">
        <f>(LN(2)/AF10)/(60*60*24)</f>
        <v>7.507508862402772E-3</v>
      </c>
      <c r="AF10" s="209">
        <f>EXP(LN(AD10)+$J10*(1/$H10-1/298.15)/0.0019872)</f>
        <v>1.0686017105105085E-3</v>
      </c>
      <c r="AG10" s="184"/>
      <c r="AH10" s="184"/>
      <c r="AI10" s="184"/>
      <c r="AQ10" s="262"/>
      <c r="AR10" s="262"/>
      <c r="AS10" s="653"/>
      <c r="AT10" s="209"/>
      <c r="AU10" s="209"/>
      <c r="AV10" s="253"/>
      <c r="AW10" s="253"/>
      <c r="AX10" s="253"/>
    </row>
    <row r="11" spans="1:58" x14ac:dyDescent="0.3">
      <c r="A11" s="242"/>
      <c r="B11" s="269"/>
      <c r="C11" s="440"/>
      <c r="D11" s="441"/>
      <c r="E11" s="442"/>
      <c r="F11" s="443"/>
      <c r="I11" s="717"/>
      <c r="J11" s="91"/>
      <c r="K11" s="91"/>
      <c r="L11" s="91"/>
      <c r="M11" s="91"/>
      <c r="N11" s="91"/>
      <c r="O11" s="91"/>
      <c r="P11" s="91"/>
      <c r="Q11" s="746"/>
      <c r="R11" s="746"/>
      <c r="S11" s="208"/>
      <c r="AD11" s="262"/>
      <c r="AE11" s="653"/>
      <c r="AF11" s="209"/>
      <c r="AG11" s="184"/>
      <c r="AH11" s="184"/>
      <c r="AI11" s="184"/>
      <c r="AQ11" s="262"/>
      <c r="AR11" s="262"/>
      <c r="AS11" s="653"/>
      <c r="AT11" s="209"/>
      <c r="AU11" s="209"/>
      <c r="AV11" s="253"/>
      <c r="AW11" s="253"/>
      <c r="AX11" s="253"/>
    </row>
    <row r="12" spans="1:58" s="9" customFormat="1" ht="28.8" x14ac:dyDescent="0.3">
      <c r="A12" s="445">
        <v>3</v>
      </c>
      <c r="B12" s="446" t="s">
        <v>519</v>
      </c>
      <c r="C12" s="447" t="s">
        <v>520</v>
      </c>
      <c r="D12" s="909" t="s">
        <v>898</v>
      </c>
      <c r="E12" s="448" t="s">
        <v>521</v>
      </c>
      <c r="F12" s="449" t="s">
        <v>395</v>
      </c>
      <c r="G12" s="42">
        <v>3.7</v>
      </c>
      <c r="H12" s="42">
        <f t="shared" ref="H12:H31" si="1">273.15+G12</f>
        <v>276.84999999999997</v>
      </c>
      <c r="I12" s="744">
        <f t="shared" si="0"/>
        <v>14.753441352764943</v>
      </c>
      <c r="J12" s="453">
        <v>11</v>
      </c>
      <c r="K12" s="453"/>
      <c r="L12" s="453"/>
      <c r="M12" s="453"/>
      <c r="N12" s="453"/>
      <c r="O12" s="453"/>
      <c r="P12" s="453"/>
      <c r="Q12" s="747"/>
      <c r="R12" s="747"/>
      <c r="S12" s="216"/>
      <c r="T12" s="454"/>
      <c r="U12" s="454"/>
      <c r="V12" s="454"/>
      <c r="W12" s="44"/>
      <c r="X12" s="44"/>
      <c r="Y12" s="44"/>
      <c r="Z12" s="42">
        <v>7</v>
      </c>
      <c r="AA12" s="42"/>
      <c r="AB12" s="126">
        <v>6.1799999999999995E-4</v>
      </c>
      <c r="AC12" s="126" t="s">
        <v>600</v>
      </c>
      <c r="AD12" s="455">
        <f t="shared" ref="AD12:AD31" si="2">AB12</f>
        <v>6.1799999999999995E-4</v>
      </c>
      <c r="AE12" s="749">
        <f t="shared" ref="AE12:AE31" si="3">(LN(2)/AF12)/(60*60*24)</f>
        <v>3.1115359585445956E-3</v>
      </c>
      <c r="AF12" s="217">
        <f t="shared" ref="AF12:AF31" si="4">EXP(LN(AD12)+$J12*(1/$H12-1/298.15)/0.0019872)</f>
        <v>2.5783204561739674E-3</v>
      </c>
      <c r="AG12" s="461">
        <f>AVERAGE(AE12:AE18)</f>
        <v>3.1875203727312492E-3</v>
      </c>
      <c r="AH12" s="461">
        <f>MEDIAN(AE12:AE18)</f>
        <v>3.1160843819384443E-3</v>
      </c>
      <c r="AI12" s="462">
        <f>STDEV(AE12:AE18)</f>
        <v>1.9384024327824182E-4</v>
      </c>
      <c r="AJ12" s="463"/>
      <c r="AK12" s="463"/>
      <c r="AL12" s="463"/>
      <c r="AM12" s="42"/>
      <c r="AN12" s="42"/>
      <c r="AO12" s="42"/>
      <c r="AP12" s="42"/>
      <c r="AQ12" s="455"/>
      <c r="AR12" s="464"/>
      <c r="AS12" s="749"/>
      <c r="AT12" s="216"/>
      <c r="AU12" s="216"/>
      <c r="AV12" s="470"/>
      <c r="AW12" s="470"/>
      <c r="AX12" s="470"/>
      <c r="AY12" s="42"/>
      <c r="AZ12" s="42"/>
      <c r="BA12" s="42"/>
      <c r="BB12" s="187"/>
      <c r="BC12" s="187"/>
      <c r="BD12" s="187"/>
      <c r="BE12" s="42"/>
      <c r="BF12" s="42"/>
    </row>
    <row r="13" spans="1:58" ht="15.6" x14ac:dyDescent="0.3">
      <c r="A13" s="242"/>
      <c r="B13" s="57"/>
      <c r="C13" s="440"/>
      <c r="D13" s="441"/>
      <c r="E13" s="442"/>
      <c r="F13" s="810" t="s">
        <v>1265</v>
      </c>
      <c r="G13" s="31">
        <v>24.4</v>
      </c>
      <c r="H13" s="31">
        <f t="shared" si="1"/>
        <v>297.54999999999995</v>
      </c>
      <c r="I13" s="717">
        <f t="shared" si="0"/>
        <v>14.019747206743617</v>
      </c>
      <c r="J13" s="91">
        <v>11</v>
      </c>
      <c r="K13" s="91"/>
      <c r="L13" s="91"/>
      <c r="M13" s="91"/>
      <c r="N13" s="91"/>
      <c r="O13" s="91"/>
      <c r="P13" s="91"/>
      <c r="Q13" s="746"/>
      <c r="R13" s="746"/>
      <c r="S13" s="208"/>
      <c r="Z13" s="31">
        <v>7</v>
      </c>
      <c r="AB13" s="103">
        <v>2.513E-3</v>
      </c>
      <c r="AC13" s="103" t="s">
        <v>600</v>
      </c>
      <c r="AD13" s="262">
        <f t="shared" si="2"/>
        <v>2.513E-3</v>
      </c>
      <c r="AE13" s="653">
        <f t="shared" si="3"/>
        <v>3.0751074983496936E-3</v>
      </c>
      <c r="AF13" s="209">
        <f t="shared" si="4"/>
        <v>2.6088638580413297E-3</v>
      </c>
      <c r="AG13" s="184"/>
      <c r="AH13" s="184"/>
      <c r="AI13" s="184"/>
      <c r="AQ13" s="262"/>
      <c r="AR13" s="262"/>
      <c r="AS13" s="653"/>
      <c r="AT13" s="209"/>
      <c r="AU13" s="209"/>
      <c r="AV13" s="253"/>
      <c r="AW13" s="253"/>
      <c r="AX13" s="253"/>
    </row>
    <row r="14" spans="1:58" x14ac:dyDescent="0.3">
      <c r="A14" s="242"/>
      <c r="B14" s="57"/>
      <c r="C14" s="440"/>
      <c r="D14" s="441"/>
      <c r="E14" s="442"/>
      <c r="F14" s="443"/>
      <c r="G14" s="31">
        <v>34.299999999999997</v>
      </c>
      <c r="H14" s="31">
        <f t="shared" si="1"/>
        <v>307.45</v>
      </c>
      <c r="I14" s="717">
        <f t="shared" si="0"/>
        <v>13.703774235870153</v>
      </c>
      <c r="J14" s="91">
        <v>11</v>
      </c>
      <c r="K14" s="91"/>
      <c r="L14" s="91"/>
      <c r="M14" s="91"/>
      <c r="N14" s="91"/>
      <c r="O14" s="91"/>
      <c r="P14" s="91"/>
      <c r="Q14" s="746"/>
      <c r="R14" s="746"/>
      <c r="S14" s="208"/>
      <c r="Z14" s="31">
        <v>7</v>
      </c>
      <c r="AB14" s="103">
        <v>4.326E-3</v>
      </c>
      <c r="AC14" s="103" t="s">
        <v>600</v>
      </c>
      <c r="AD14" s="262">
        <f t="shared" si="2"/>
        <v>4.326E-3</v>
      </c>
      <c r="AE14" s="653">
        <f t="shared" si="3"/>
        <v>3.2517987662800266E-3</v>
      </c>
      <c r="AF14" s="209">
        <f t="shared" si="4"/>
        <v>2.4671074038243694E-3</v>
      </c>
      <c r="AG14" s="184"/>
      <c r="AH14" s="184"/>
      <c r="AI14" s="184"/>
      <c r="AQ14" s="262"/>
      <c r="AR14" s="419"/>
      <c r="AS14" s="750"/>
      <c r="AT14" s="751"/>
      <c r="AU14" s="751"/>
      <c r="AV14" s="471"/>
      <c r="AW14" s="471"/>
      <c r="AX14" s="471"/>
    </row>
    <row r="15" spans="1:58" x14ac:dyDescent="0.3">
      <c r="B15" s="57"/>
      <c r="G15" s="31">
        <v>45.2</v>
      </c>
      <c r="H15" s="31">
        <f t="shared" si="1"/>
        <v>318.34999999999997</v>
      </c>
      <c r="I15" s="717">
        <f t="shared" si="0"/>
        <v>13.378614818048451</v>
      </c>
      <c r="J15" s="91">
        <v>11</v>
      </c>
      <c r="K15" s="91"/>
      <c r="L15" s="91"/>
      <c r="M15" s="91"/>
      <c r="N15" s="91"/>
      <c r="O15" s="91"/>
      <c r="P15" s="91"/>
      <c r="Q15" s="746"/>
      <c r="R15" s="746"/>
      <c r="S15" s="208"/>
      <c r="Z15" s="31">
        <v>7</v>
      </c>
      <c r="AB15" s="103">
        <v>7.3400000000000002E-3</v>
      </c>
      <c r="AC15" s="103" t="s">
        <v>600</v>
      </c>
      <c r="AD15" s="262">
        <f t="shared" si="2"/>
        <v>7.3400000000000002E-3</v>
      </c>
      <c r="AE15" s="653">
        <f t="shared" si="3"/>
        <v>3.5500559251604343E-3</v>
      </c>
      <c r="AF15" s="209">
        <f t="shared" si="4"/>
        <v>2.2598339240737027E-3</v>
      </c>
      <c r="AG15" s="184"/>
      <c r="AH15" s="184"/>
      <c r="AI15" s="184"/>
      <c r="AQ15" s="262"/>
      <c r="AR15" s="85"/>
      <c r="AS15" s="653"/>
      <c r="AT15" s="208"/>
      <c r="AU15" s="208"/>
      <c r="AV15" s="29"/>
      <c r="AW15" s="29"/>
      <c r="AX15" s="29"/>
    </row>
    <row r="16" spans="1:58" x14ac:dyDescent="0.3">
      <c r="I16" s="717"/>
      <c r="J16" s="91"/>
      <c r="K16" s="91"/>
      <c r="L16" s="91"/>
      <c r="M16" s="91"/>
      <c r="N16" s="91"/>
      <c r="O16" s="91"/>
      <c r="P16" s="91"/>
      <c r="Q16" s="746"/>
      <c r="R16" s="746"/>
      <c r="S16" s="208"/>
      <c r="AD16" s="262"/>
      <c r="AE16" s="653"/>
      <c r="AF16" s="209"/>
      <c r="AG16" s="184"/>
      <c r="AH16" s="184"/>
      <c r="AI16" s="184"/>
      <c r="AQ16" s="262"/>
      <c r="AR16" s="262"/>
      <c r="AS16" s="653"/>
      <c r="AT16" s="209"/>
      <c r="AU16" s="209"/>
      <c r="AV16" s="253"/>
      <c r="AW16" s="253"/>
      <c r="AX16" s="253"/>
    </row>
    <row r="17" spans="1:58" s="10" customFormat="1" x14ac:dyDescent="0.3">
      <c r="A17" s="50"/>
      <c r="B17" s="547"/>
      <c r="C17" s="359"/>
      <c r="D17" s="548" t="s">
        <v>898</v>
      </c>
      <c r="E17" s="50" t="s">
        <v>525</v>
      </c>
      <c r="F17" s="452" t="s">
        <v>395</v>
      </c>
      <c r="G17" s="50">
        <v>25</v>
      </c>
      <c r="H17" s="50">
        <f t="shared" si="1"/>
        <v>298.14999999999998</v>
      </c>
      <c r="I17" s="719">
        <f t="shared" si="0"/>
        <v>14</v>
      </c>
      <c r="J17" s="97">
        <v>11</v>
      </c>
      <c r="K17" s="97"/>
      <c r="L17" s="97"/>
      <c r="M17" s="97"/>
      <c r="N17" s="97"/>
      <c r="O17" s="97"/>
      <c r="P17" s="97"/>
      <c r="Q17" s="748"/>
      <c r="R17" s="748"/>
      <c r="S17" s="221"/>
      <c r="T17" s="150"/>
      <c r="U17" s="150"/>
      <c r="V17" s="150"/>
      <c r="W17" s="151"/>
      <c r="X17" s="151"/>
      <c r="Y17" s="151"/>
      <c r="Z17" s="50">
        <v>7</v>
      </c>
      <c r="AA17" s="50"/>
      <c r="AB17" s="147">
        <v>2.66E-3</v>
      </c>
      <c r="AC17" s="147" t="s">
        <v>600</v>
      </c>
      <c r="AD17" s="327">
        <f t="shared" si="2"/>
        <v>2.66E-3</v>
      </c>
      <c r="AE17" s="711">
        <f t="shared" si="3"/>
        <v>3.0159912827204534E-3</v>
      </c>
      <c r="AF17" s="222">
        <f t="shared" si="4"/>
        <v>2.6599999999999996E-3</v>
      </c>
      <c r="AG17" s="817"/>
      <c r="AH17" s="817"/>
      <c r="AI17" s="347"/>
      <c r="AJ17" s="134"/>
      <c r="AK17" s="134"/>
      <c r="AL17" s="134"/>
      <c r="AM17" s="50"/>
      <c r="AN17" s="50"/>
      <c r="AO17" s="50"/>
      <c r="AP17" s="50"/>
      <c r="AQ17" s="327"/>
      <c r="AR17" s="114"/>
      <c r="AS17" s="711"/>
      <c r="AT17" s="221"/>
      <c r="AU17" s="221"/>
      <c r="AV17" s="75"/>
      <c r="AW17" s="75"/>
      <c r="AX17" s="75"/>
      <c r="AY17" s="50"/>
      <c r="AZ17" s="50"/>
      <c r="BA17" s="50"/>
      <c r="BB17" s="188"/>
      <c r="BC17" s="188"/>
      <c r="BD17" s="188"/>
      <c r="BE17" s="50"/>
      <c r="BF17" s="50"/>
    </row>
    <row r="18" spans="1:58" x14ac:dyDescent="0.3">
      <c r="B18" s="57"/>
      <c r="C18" s="34"/>
      <c r="D18" s="35"/>
      <c r="F18" s="451"/>
      <c r="G18" s="31">
        <v>0</v>
      </c>
      <c r="H18" s="31">
        <f t="shared" si="1"/>
        <v>273.14999999999998</v>
      </c>
      <c r="I18" s="717">
        <f t="shared" si="0"/>
        <v>14.896299555580367</v>
      </c>
      <c r="J18" s="91">
        <v>11</v>
      </c>
      <c r="K18" s="91"/>
      <c r="L18" s="91"/>
      <c r="M18" s="91"/>
      <c r="N18" s="91"/>
      <c r="O18" s="91"/>
      <c r="P18" s="91"/>
      <c r="Q18" s="746"/>
      <c r="R18" s="746"/>
      <c r="S18" s="208"/>
      <c r="Z18" s="31">
        <v>7</v>
      </c>
      <c r="AB18" s="103">
        <v>4.6999999999999999E-4</v>
      </c>
      <c r="AC18" s="103" t="s">
        <v>600</v>
      </c>
      <c r="AD18" s="262">
        <f t="shared" si="2"/>
        <v>4.6999999999999999E-4</v>
      </c>
      <c r="AE18" s="653">
        <f t="shared" si="3"/>
        <v>3.1206328053322925E-3</v>
      </c>
      <c r="AF18" s="209">
        <f t="shared" si="4"/>
        <v>2.5708044850160268E-3</v>
      </c>
      <c r="AG18" s="184"/>
      <c r="AH18" s="184"/>
      <c r="AI18" s="184"/>
      <c r="AQ18" s="262"/>
      <c r="AR18" s="85"/>
      <c r="AS18" s="653"/>
      <c r="AT18" s="208"/>
      <c r="AU18" s="208"/>
      <c r="AV18" s="29"/>
      <c r="AW18" s="29"/>
      <c r="AX18" s="29"/>
    </row>
    <row r="19" spans="1:58" ht="15" thickBot="1" x14ac:dyDescent="0.35">
      <c r="D19" s="908"/>
      <c r="I19" s="717"/>
      <c r="J19" s="91"/>
      <c r="K19" s="91"/>
      <c r="L19" s="91"/>
      <c r="M19" s="91"/>
      <c r="N19" s="91"/>
      <c r="O19" s="91"/>
      <c r="P19" s="91"/>
      <c r="Q19" s="746"/>
      <c r="R19" s="746"/>
      <c r="S19" s="208"/>
      <c r="AD19" s="262"/>
      <c r="AE19" s="653"/>
      <c r="AF19" s="209"/>
      <c r="AG19" s="184"/>
      <c r="AH19" s="184"/>
      <c r="AI19" s="184"/>
      <c r="AQ19" s="262"/>
      <c r="AR19" s="262"/>
      <c r="AS19" s="653"/>
      <c r="AT19" s="209"/>
      <c r="AU19" s="209"/>
      <c r="AV19" s="253"/>
      <c r="AW19" s="253"/>
      <c r="AX19" s="253"/>
    </row>
    <row r="20" spans="1:58" s="8" customFormat="1" x14ac:dyDescent="0.3">
      <c r="A20" s="37">
        <v>4</v>
      </c>
      <c r="B20" s="37" t="s">
        <v>523</v>
      </c>
      <c r="C20" s="37" t="s">
        <v>524</v>
      </c>
      <c r="D20" s="438" t="s">
        <v>898</v>
      </c>
      <c r="E20" s="37" t="s">
        <v>525</v>
      </c>
      <c r="F20" s="450" t="s">
        <v>395</v>
      </c>
      <c r="G20" s="37">
        <v>25</v>
      </c>
      <c r="H20" s="37">
        <f t="shared" si="1"/>
        <v>298.14999999999998</v>
      </c>
      <c r="I20" s="716">
        <f t="shared" si="0"/>
        <v>14</v>
      </c>
      <c r="J20" s="88">
        <v>16.5</v>
      </c>
      <c r="K20" s="88"/>
      <c r="L20" s="88"/>
      <c r="M20" s="88"/>
      <c r="N20" s="88"/>
      <c r="O20" s="88"/>
      <c r="P20" s="88"/>
      <c r="Q20" s="745"/>
      <c r="R20" s="745"/>
      <c r="S20" s="214"/>
      <c r="T20" s="254"/>
      <c r="U20" s="254"/>
      <c r="V20" s="254"/>
      <c r="W20" s="39"/>
      <c r="X20" s="39"/>
      <c r="Y20" s="39"/>
      <c r="Z20" s="37">
        <v>7</v>
      </c>
      <c r="AA20" s="37"/>
      <c r="AB20" s="122">
        <v>7.9499999999999994E-5</v>
      </c>
      <c r="AC20" s="122" t="s">
        <v>600</v>
      </c>
      <c r="AD20" s="260">
        <f t="shared" si="2"/>
        <v>7.9499999999999994E-5</v>
      </c>
      <c r="AE20" s="654">
        <f t="shared" si="3"/>
        <v>0.10091241273001761</v>
      </c>
      <c r="AF20" s="215">
        <f t="shared" si="4"/>
        <v>7.9500000000000035E-5</v>
      </c>
      <c r="AG20" s="882">
        <f>AVERAGE(AE20:AE21)</f>
        <v>0.10103089840574406</v>
      </c>
      <c r="AH20" s="410">
        <f>MEDIAN(AE20:AE21)</f>
        <v>0.10103089840574406</v>
      </c>
      <c r="AI20" s="462">
        <f>STDEV(AE20:AE21)</f>
        <v>1.6756404955928412E-4</v>
      </c>
      <c r="AJ20" s="159"/>
      <c r="AK20" s="159"/>
      <c r="AL20" s="159"/>
      <c r="AM20" s="37"/>
      <c r="AN20" s="37"/>
      <c r="AO20" s="37"/>
      <c r="AP20" s="37"/>
      <c r="AQ20" s="260"/>
      <c r="AR20" s="260"/>
      <c r="AS20" s="654"/>
      <c r="AT20" s="215"/>
      <c r="AU20" s="215"/>
      <c r="AV20" s="345"/>
      <c r="AW20" s="345"/>
      <c r="AX20" s="345"/>
      <c r="AY20" s="37"/>
      <c r="AZ20" s="37"/>
      <c r="BA20" s="37"/>
      <c r="BB20" s="186"/>
      <c r="BC20" s="186"/>
      <c r="BD20" s="186"/>
      <c r="BE20" s="37"/>
      <c r="BF20" s="37"/>
    </row>
    <row r="21" spans="1:58" x14ac:dyDescent="0.3">
      <c r="F21" s="451"/>
      <c r="G21" s="31">
        <v>0</v>
      </c>
      <c r="H21" s="31">
        <f t="shared" si="1"/>
        <v>273.14999999999998</v>
      </c>
      <c r="I21" s="717">
        <f t="shared" si="0"/>
        <v>14.896299555580367</v>
      </c>
      <c r="J21" s="91">
        <v>16.5</v>
      </c>
      <c r="K21" s="91"/>
      <c r="L21" s="91"/>
      <c r="M21" s="91"/>
      <c r="N21" s="91"/>
      <c r="O21" s="91"/>
      <c r="P21" s="91"/>
      <c r="Q21" s="746"/>
      <c r="R21" s="746"/>
      <c r="S21" s="208"/>
      <c r="Z21" s="31">
        <v>7</v>
      </c>
      <c r="AB21" s="103">
        <v>6.1999999999999999E-6</v>
      </c>
      <c r="AC21" s="103" t="s">
        <v>600</v>
      </c>
      <c r="AD21" s="262">
        <f t="shared" si="2"/>
        <v>6.1999999999999999E-6</v>
      </c>
      <c r="AE21" s="653">
        <f t="shared" si="3"/>
        <v>0.10114938408147051</v>
      </c>
      <c r="AF21" s="209">
        <f t="shared" si="4"/>
        <v>7.9313748520452412E-5</v>
      </c>
      <c r="AG21" s="184"/>
      <c r="AH21" s="184"/>
      <c r="AI21" s="184"/>
      <c r="AQ21" s="262"/>
      <c r="AR21" s="262"/>
      <c r="AS21" s="653"/>
      <c r="AT21" s="209"/>
      <c r="AU21" s="209"/>
      <c r="AV21" s="253"/>
      <c r="AW21" s="253"/>
      <c r="AX21" s="253"/>
    </row>
    <row r="22" spans="1:58" ht="15" thickBot="1" x14ac:dyDescent="0.35">
      <c r="D22" s="908"/>
      <c r="I22" s="717"/>
      <c r="J22" s="91"/>
      <c r="K22" s="91"/>
      <c r="L22" s="91"/>
      <c r="M22" s="91"/>
      <c r="N22" s="91"/>
      <c r="O22" s="91"/>
      <c r="P22" s="91"/>
      <c r="Q22" s="746"/>
      <c r="R22" s="746"/>
      <c r="S22" s="208"/>
      <c r="AD22" s="262"/>
      <c r="AE22" s="653"/>
      <c r="AF22" s="209"/>
      <c r="AG22" s="184"/>
      <c r="AH22" s="184"/>
      <c r="AI22" s="184"/>
      <c r="AQ22" s="262"/>
      <c r="AR22" s="85"/>
      <c r="AS22" s="653"/>
      <c r="AT22" s="208"/>
      <c r="AU22" s="208"/>
      <c r="AV22" s="29"/>
      <c r="AW22" s="29"/>
      <c r="AX22" s="29"/>
    </row>
    <row r="23" spans="1:58" s="8" customFormat="1" x14ac:dyDescent="0.3">
      <c r="A23" s="37"/>
      <c r="B23" s="73"/>
      <c r="C23" s="367"/>
      <c r="D23" s="438"/>
      <c r="E23" s="37"/>
      <c r="F23" s="450"/>
      <c r="G23" s="37"/>
      <c r="H23" s="37"/>
      <c r="I23" s="716"/>
      <c r="J23" s="88"/>
      <c r="K23" s="88"/>
      <c r="L23" s="88"/>
      <c r="M23" s="88"/>
      <c r="N23" s="88"/>
      <c r="O23" s="88"/>
      <c r="P23" s="88"/>
      <c r="Q23" s="745"/>
      <c r="R23" s="745"/>
      <c r="S23" s="214"/>
      <c r="T23" s="254"/>
      <c r="U23" s="254"/>
      <c r="V23" s="254"/>
      <c r="W23" s="39"/>
      <c r="X23" s="39"/>
      <c r="Y23" s="39"/>
      <c r="Z23" s="37"/>
      <c r="AA23" s="37"/>
      <c r="AB23" s="122"/>
      <c r="AC23" s="122"/>
      <c r="AD23" s="260"/>
      <c r="AE23" s="654"/>
      <c r="AF23" s="215"/>
      <c r="AG23" s="458"/>
      <c r="AH23" s="458"/>
      <c r="AI23" s="345"/>
      <c r="AJ23" s="121"/>
      <c r="AK23" s="121"/>
      <c r="AL23" s="121"/>
      <c r="AM23" s="37"/>
      <c r="AN23" s="37"/>
      <c r="AO23" s="37"/>
      <c r="AP23" s="37"/>
      <c r="AQ23" s="260"/>
      <c r="AR23" s="260"/>
      <c r="AS23" s="654"/>
      <c r="AT23" s="215"/>
      <c r="AU23" s="215"/>
      <c r="AV23" s="345"/>
      <c r="AW23" s="345"/>
      <c r="AX23" s="345"/>
      <c r="AY23" s="37"/>
      <c r="AZ23" s="37"/>
      <c r="BA23" s="37"/>
      <c r="BB23" s="186"/>
      <c r="BC23" s="186"/>
      <c r="BD23" s="186"/>
      <c r="BE23" s="37"/>
      <c r="BF23" s="37"/>
    </row>
    <row r="24" spans="1:58" ht="15" thickBot="1" x14ac:dyDescent="0.35">
      <c r="B24" s="57"/>
      <c r="C24" s="34"/>
      <c r="D24" s="908"/>
      <c r="F24" s="451"/>
      <c r="I24" s="717"/>
      <c r="J24" s="91"/>
      <c r="K24" s="91"/>
      <c r="L24" s="91"/>
      <c r="M24" s="91"/>
      <c r="N24" s="91"/>
      <c r="O24" s="91"/>
      <c r="P24" s="91"/>
      <c r="Q24" s="746"/>
      <c r="R24" s="746"/>
      <c r="S24" s="208"/>
      <c r="AB24" s="119"/>
      <c r="AC24" s="103"/>
      <c r="AD24" s="262"/>
      <c r="AE24" s="653"/>
      <c r="AF24" s="209"/>
      <c r="AG24" s="184"/>
      <c r="AH24" s="184"/>
      <c r="AI24" s="184"/>
      <c r="AQ24" s="262"/>
      <c r="AR24" s="262"/>
      <c r="AS24" s="653"/>
      <c r="AT24" s="209"/>
      <c r="AU24" s="209"/>
      <c r="AV24" s="253"/>
      <c r="AW24" s="253"/>
      <c r="AX24" s="253"/>
    </row>
    <row r="25" spans="1:58" s="8" customFormat="1" x14ac:dyDescent="0.3">
      <c r="A25" s="37">
        <v>5</v>
      </c>
      <c r="B25" s="37" t="s">
        <v>527</v>
      </c>
      <c r="C25" s="37" t="s">
        <v>528</v>
      </c>
      <c r="D25" s="438" t="s">
        <v>898</v>
      </c>
      <c r="E25" s="37" t="s">
        <v>526</v>
      </c>
      <c r="F25" s="450" t="s">
        <v>395</v>
      </c>
      <c r="G25" s="37">
        <v>25.1</v>
      </c>
      <c r="H25" s="37">
        <f t="shared" si="1"/>
        <v>298.25</v>
      </c>
      <c r="I25" s="716">
        <f t="shared" si="0"/>
        <v>13.996716523405105</v>
      </c>
      <c r="J25" s="88">
        <v>13</v>
      </c>
      <c r="K25" s="88"/>
      <c r="L25" s="88"/>
      <c r="M25" s="88"/>
      <c r="N25" s="88"/>
      <c r="O25" s="88"/>
      <c r="P25" s="88"/>
      <c r="Q25" s="745"/>
      <c r="R25" s="745"/>
      <c r="S25" s="214"/>
      <c r="T25" s="254"/>
      <c r="U25" s="254"/>
      <c r="V25" s="254"/>
      <c r="W25" s="39"/>
      <c r="X25" s="39"/>
      <c r="Y25" s="39"/>
      <c r="Z25" s="37">
        <v>7</v>
      </c>
      <c r="AA25" s="37"/>
      <c r="AB25" s="122">
        <v>2.6900000000000001E-3</v>
      </c>
      <c r="AC25" s="122" t="s">
        <v>600</v>
      </c>
      <c r="AD25" s="260">
        <f t="shared" si="2"/>
        <v>2.6900000000000001E-3</v>
      </c>
      <c r="AE25" s="654">
        <f t="shared" si="3"/>
        <v>3.0043770668527949E-3</v>
      </c>
      <c r="AF25" s="215">
        <f t="shared" si="4"/>
        <v>2.670282935037955E-3</v>
      </c>
      <c r="AG25" s="458">
        <f>AVERAGE(AE25:AE26)</f>
        <v>3.0538768029660674E-3</v>
      </c>
      <c r="AH25" s="458">
        <f>MEDIAN(AE25:AE26)</f>
        <v>3.0538768029660674E-3</v>
      </c>
      <c r="AI25" s="345">
        <f>STDEV(AE25:AE26)</f>
        <v>7.0003198145278926E-5</v>
      </c>
      <c r="AJ25" s="121"/>
      <c r="AK25" s="121"/>
      <c r="AL25" s="121"/>
      <c r="AM25" s="37"/>
      <c r="AN25" s="37"/>
      <c r="AO25" s="37"/>
      <c r="AP25" s="37"/>
      <c r="AQ25" s="465"/>
      <c r="AR25" s="465"/>
      <c r="AS25" s="654"/>
      <c r="AT25" s="214"/>
      <c r="AU25" s="214"/>
      <c r="AV25" s="472"/>
      <c r="AW25" s="472"/>
      <c r="AX25" s="472"/>
      <c r="AY25" s="37"/>
      <c r="AZ25" s="37"/>
      <c r="BA25" s="37"/>
      <c r="BB25" s="186"/>
      <c r="BC25" s="186"/>
      <c r="BD25" s="186"/>
      <c r="BE25" s="37"/>
      <c r="BF25" s="37"/>
    </row>
    <row r="26" spans="1:58" ht="15" thickBot="1" x14ac:dyDescent="0.35">
      <c r="D26" s="908"/>
      <c r="F26" s="451"/>
      <c r="G26" s="31">
        <v>0</v>
      </c>
      <c r="H26" s="31">
        <f t="shared" si="1"/>
        <v>273.14999999999998</v>
      </c>
      <c r="I26" s="717">
        <f t="shared" si="0"/>
        <v>14.896299555580367</v>
      </c>
      <c r="J26" s="91">
        <v>13</v>
      </c>
      <c r="K26" s="91"/>
      <c r="L26" s="91"/>
      <c r="M26" s="91"/>
      <c r="N26" s="91"/>
      <c r="O26" s="91"/>
      <c r="P26" s="91"/>
      <c r="Q26" s="746"/>
      <c r="R26" s="746"/>
      <c r="S26" s="208"/>
      <c r="Z26" s="31">
        <v>7</v>
      </c>
      <c r="AB26" s="103">
        <v>3.4699999999999998E-4</v>
      </c>
      <c r="AC26" s="103" t="s">
        <v>600</v>
      </c>
      <c r="AD26" s="262">
        <f t="shared" si="2"/>
        <v>3.4699999999999998E-4</v>
      </c>
      <c r="AE26" s="653">
        <f t="shared" si="3"/>
        <v>3.1033765390793395E-3</v>
      </c>
      <c r="AF26" s="209">
        <f t="shared" si="4"/>
        <v>2.5850993944861109E-3</v>
      </c>
      <c r="AG26" s="184"/>
      <c r="AH26" s="184"/>
      <c r="AI26" s="184"/>
      <c r="AQ26" s="85"/>
      <c r="AR26" s="85"/>
      <c r="AS26" s="653"/>
      <c r="AT26" s="208"/>
      <c r="AU26" s="208"/>
      <c r="AV26" s="29"/>
      <c r="AW26" s="29"/>
      <c r="AX26" s="29"/>
    </row>
    <row r="27" spans="1:58" s="8" customFormat="1" x14ac:dyDescent="0.3">
      <c r="A27" s="37">
        <v>6</v>
      </c>
      <c r="B27" s="37" t="s">
        <v>529</v>
      </c>
      <c r="C27" s="37" t="s">
        <v>530</v>
      </c>
      <c r="D27" s="438" t="s">
        <v>898</v>
      </c>
      <c r="E27" s="37" t="s">
        <v>526</v>
      </c>
      <c r="F27" s="450" t="s">
        <v>395</v>
      </c>
      <c r="G27" s="37">
        <v>25.1</v>
      </c>
      <c r="H27" s="37">
        <f t="shared" si="1"/>
        <v>298.25</v>
      </c>
      <c r="I27" s="716">
        <f t="shared" si="0"/>
        <v>13.996716523405105</v>
      </c>
      <c r="J27" s="88">
        <v>12</v>
      </c>
      <c r="K27" s="88"/>
      <c r="L27" s="88"/>
      <c r="M27" s="88"/>
      <c r="N27" s="88"/>
      <c r="O27" s="88"/>
      <c r="P27" s="88"/>
      <c r="Q27" s="745"/>
      <c r="R27" s="745"/>
      <c r="S27" s="214"/>
      <c r="T27" s="254"/>
      <c r="U27" s="254"/>
      <c r="V27" s="254"/>
      <c r="W27" s="39"/>
      <c r="X27" s="39"/>
      <c r="Y27" s="39"/>
      <c r="Z27" s="37">
        <v>7</v>
      </c>
      <c r="AA27" s="37"/>
      <c r="AB27" s="122">
        <v>2.7000000000000001E-3</v>
      </c>
      <c r="AC27" s="122" t="s">
        <v>600</v>
      </c>
      <c r="AD27" s="260">
        <f t="shared" si="2"/>
        <v>2.7000000000000001E-3</v>
      </c>
      <c r="AE27" s="654">
        <f t="shared" si="3"/>
        <v>2.9915563300520966E-3</v>
      </c>
      <c r="AF27" s="215">
        <f t="shared" si="4"/>
        <v>2.681726809368385E-3</v>
      </c>
      <c r="AG27" s="458">
        <f>AVERAGE(AE27:AE28)</f>
        <v>2.9813096965585735E-3</v>
      </c>
      <c r="AH27" s="458">
        <f>MEDIAN(AE27:AE28)</f>
        <v>2.9813096965585735E-3</v>
      </c>
      <c r="AI27" s="458">
        <f>STDEV(AE27:AE28)</f>
        <v>1.4490928055206696E-5</v>
      </c>
      <c r="AJ27" s="466"/>
      <c r="AK27" s="466"/>
      <c r="AL27" s="466"/>
      <c r="AM27" s="37"/>
      <c r="AN27" s="37"/>
      <c r="AO27" s="37"/>
      <c r="AP27" s="37"/>
      <c r="AQ27" s="260"/>
      <c r="AR27" s="260"/>
      <c r="AS27" s="654"/>
      <c r="AT27" s="215"/>
      <c r="AU27" s="215"/>
      <c r="AV27" s="345"/>
      <c r="AW27" s="345"/>
      <c r="AX27" s="345"/>
      <c r="AY27" s="37"/>
      <c r="AZ27" s="37"/>
      <c r="BA27" s="37"/>
      <c r="BB27" s="186"/>
      <c r="BC27" s="186"/>
      <c r="BD27" s="186"/>
      <c r="BE27" s="37"/>
      <c r="BF27" s="37"/>
    </row>
    <row r="28" spans="1:58" ht="15" thickBot="1" x14ac:dyDescent="0.35">
      <c r="F28" s="451"/>
      <c r="G28" s="31">
        <v>0</v>
      </c>
      <c r="H28" s="31">
        <f t="shared" si="1"/>
        <v>273.14999999999998</v>
      </c>
      <c r="I28" s="717">
        <f t="shared" si="0"/>
        <v>14.896299555580367</v>
      </c>
      <c r="J28" s="91">
        <v>12</v>
      </c>
      <c r="K28" s="91"/>
      <c r="L28" s="91"/>
      <c r="M28" s="91"/>
      <c r="N28" s="91"/>
      <c r="O28" s="91"/>
      <c r="P28" s="91"/>
      <c r="Q28" s="746"/>
      <c r="R28" s="746"/>
      <c r="S28" s="208"/>
      <c r="Z28" s="31">
        <v>7</v>
      </c>
      <c r="AB28" s="103">
        <v>4.2299999999999998E-4</v>
      </c>
      <c r="AC28" s="103" t="s">
        <v>600</v>
      </c>
      <c r="AD28" s="262">
        <f t="shared" si="2"/>
        <v>4.2299999999999998E-4</v>
      </c>
      <c r="AE28" s="653">
        <f t="shared" si="3"/>
        <v>2.9710630630650505E-3</v>
      </c>
      <c r="AF28" s="209">
        <f t="shared" si="4"/>
        <v>2.7002243445348076E-3</v>
      </c>
      <c r="AG28" s="184"/>
      <c r="AH28" s="184"/>
      <c r="AI28" s="184"/>
      <c r="AQ28" s="262"/>
      <c r="AR28" s="262"/>
      <c r="AS28" s="653"/>
      <c r="AT28" s="209"/>
      <c r="AU28" s="209"/>
      <c r="AV28" s="253"/>
      <c r="AW28" s="253"/>
      <c r="AX28" s="253"/>
    </row>
    <row r="29" spans="1:58" s="8" customFormat="1" x14ac:dyDescent="0.3">
      <c r="A29" s="37">
        <v>7</v>
      </c>
      <c r="B29" s="37" t="s">
        <v>531</v>
      </c>
      <c r="C29" s="37" t="s">
        <v>532</v>
      </c>
      <c r="D29" s="38"/>
      <c r="E29" s="37" t="s">
        <v>526</v>
      </c>
      <c r="F29" s="450" t="s">
        <v>395</v>
      </c>
      <c r="G29" s="37">
        <v>25.1</v>
      </c>
      <c r="H29" s="37">
        <f t="shared" si="1"/>
        <v>298.25</v>
      </c>
      <c r="I29" s="716">
        <f t="shared" si="0"/>
        <v>13.996716523405105</v>
      </c>
      <c r="J29" s="88">
        <v>14</v>
      </c>
      <c r="K29" s="88"/>
      <c r="L29" s="88"/>
      <c r="M29" s="88"/>
      <c r="N29" s="88"/>
      <c r="O29" s="88"/>
      <c r="P29" s="88"/>
      <c r="Q29" s="745"/>
      <c r="R29" s="745"/>
      <c r="S29" s="214"/>
      <c r="T29" s="254"/>
      <c r="U29" s="254"/>
      <c r="V29" s="254"/>
      <c r="W29" s="39"/>
      <c r="X29" s="39"/>
      <c r="Y29" s="39"/>
      <c r="Z29" s="37">
        <v>7</v>
      </c>
      <c r="AA29" s="37"/>
      <c r="AB29" s="122">
        <v>3.1399999999999997E-2</v>
      </c>
      <c r="AC29" s="122" t="s">
        <v>600</v>
      </c>
      <c r="AD29" s="260">
        <f t="shared" si="2"/>
        <v>3.1399999999999997E-2</v>
      </c>
      <c r="AE29" s="654">
        <f t="shared" si="3"/>
        <v>2.5752704193308354E-4</v>
      </c>
      <c r="AF29" s="215">
        <f t="shared" si="4"/>
        <v>3.1152211246696957E-2</v>
      </c>
      <c r="AG29" s="458">
        <f>AVERAGE(AE29:AE30)</f>
        <v>2.6133998073092765E-4</v>
      </c>
      <c r="AH29" s="458">
        <f>MEDIAN(AE29:AE30)</f>
        <v>2.6133998073092765E-4</v>
      </c>
      <c r="AI29" s="458">
        <f>STDEV(AE29:AE30)</f>
        <v>5.3923097604097393E-6</v>
      </c>
      <c r="AJ29" s="159"/>
      <c r="AK29" s="159"/>
      <c r="AL29" s="159"/>
      <c r="AM29" s="37"/>
      <c r="AN29" s="37"/>
      <c r="AO29" s="37"/>
      <c r="AP29" s="37"/>
      <c r="AQ29" s="465"/>
      <c r="AR29" s="465"/>
      <c r="AS29" s="654"/>
      <c r="AT29" s="214"/>
      <c r="AU29" s="214"/>
      <c r="AV29" s="472"/>
      <c r="AW29" s="472"/>
      <c r="AX29" s="472"/>
      <c r="AY29" s="37"/>
      <c r="AZ29" s="37"/>
      <c r="BA29" s="37"/>
      <c r="BB29" s="186"/>
      <c r="BC29" s="186"/>
      <c r="BD29" s="186"/>
      <c r="BE29" s="37"/>
      <c r="BF29" s="37"/>
    </row>
    <row r="30" spans="1:58" ht="15" thickBot="1" x14ac:dyDescent="0.35">
      <c r="D30" s="908"/>
      <c r="F30" s="451"/>
      <c r="G30" s="31">
        <v>0</v>
      </c>
      <c r="H30" s="31">
        <f t="shared" si="1"/>
        <v>273.14999999999998</v>
      </c>
      <c r="I30" s="717">
        <f t="shared" si="0"/>
        <v>14.896299555580367</v>
      </c>
      <c r="J30" s="91">
        <v>14</v>
      </c>
      <c r="K30" s="91"/>
      <c r="L30" s="91"/>
      <c r="M30" s="91"/>
      <c r="N30" s="91"/>
      <c r="O30" s="91"/>
      <c r="P30" s="91"/>
      <c r="Q30" s="746"/>
      <c r="R30" s="746"/>
      <c r="S30" s="208"/>
      <c r="Z30" s="31">
        <v>7</v>
      </c>
      <c r="AB30" s="103">
        <v>3.48E-3</v>
      </c>
      <c r="AC30" s="103" t="s">
        <v>600</v>
      </c>
      <c r="AD30" s="262">
        <f t="shared" si="2"/>
        <v>3.48E-3</v>
      </c>
      <c r="AE30" s="653">
        <f t="shared" si="3"/>
        <v>2.6515291952877181E-4</v>
      </c>
      <c r="AF30" s="209">
        <f t="shared" si="4"/>
        <v>3.0256264295690234E-2</v>
      </c>
      <c r="AG30" s="184"/>
      <c r="AH30" s="184"/>
      <c r="AI30" s="184"/>
      <c r="AQ30" s="85"/>
      <c r="AR30" s="85"/>
      <c r="AS30" s="653"/>
      <c r="AT30" s="208"/>
      <c r="AU30" s="208"/>
      <c r="AV30" s="29"/>
      <c r="AW30" s="29"/>
      <c r="AX30" s="29"/>
    </row>
    <row r="31" spans="1:58" s="8" customFormat="1" x14ac:dyDescent="0.3">
      <c r="A31" s="37">
        <v>8</v>
      </c>
      <c r="B31" s="37" t="s">
        <v>533</v>
      </c>
      <c r="C31" s="37" t="s">
        <v>534</v>
      </c>
      <c r="D31" s="438" t="s">
        <v>898</v>
      </c>
      <c r="E31" s="37" t="s">
        <v>526</v>
      </c>
      <c r="F31" s="450" t="s">
        <v>395</v>
      </c>
      <c r="G31" s="37">
        <v>25.1</v>
      </c>
      <c r="H31" s="37">
        <f t="shared" si="1"/>
        <v>298.25</v>
      </c>
      <c r="I31" s="716">
        <f t="shared" si="0"/>
        <v>13.996716523405105</v>
      </c>
      <c r="J31" s="88">
        <v>13.5</v>
      </c>
      <c r="K31" s="88"/>
      <c r="L31" s="88"/>
      <c r="M31" s="88"/>
      <c r="N31" s="88"/>
      <c r="O31" s="88"/>
      <c r="P31" s="88"/>
      <c r="Q31" s="745"/>
      <c r="R31" s="745"/>
      <c r="S31" s="214"/>
      <c r="T31" s="254"/>
      <c r="U31" s="254"/>
      <c r="V31" s="254"/>
      <c r="W31" s="39"/>
      <c r="X31" s="39"/>
      <c r="Y31" s="39"/>
      <c r="Z31" s="37">
        <v>7</v>
      </c>
      <c r="AA31" s="37"/>
      <c r="AB31" s="122">
        <v>2.2699999999999999E-4</v>
      </c>
      <c r="AC31" s="122" t="s">
        <v>600</v>
      </c>
      <c r="AD31" s="260">
        <f t="shared" si="2"/>
        <v>2.2699999999999999E-4</v>
      </c>
      <c r="AE31" s="654">
        <f t="shared" si="3"/>
        <v>3.5612605240764081E-2</v>
      </c>
      <c r="AF31" s="215">
        <f t="shared" si="4"/>
        <v>2.2527239323826223E-4</v>
      </c>
      <c r="AG31" s="468">
        <f>AE31</f>
        <v>3.5612605240764081E-2</v>
      </c>
      <c r="AH31" s="423"/>
      <c r="AI31" s="423"/>
      <c r="AJ31" s="159"/>
      <c r="AK31" s="159"/>
      <c r="AL31" s="159"/>
      <c r="AM31" s="37"/>
      <c r="AN31" s="37"/>
      <c r="AO31" s="37"/>
      <c r="AP31" s="37"/>
      <c r="AQ31" s="260"/>
      <c r="AR31" s="260"/>
      <c r="AS31" s="654"/>
      <c r="AT31" s="215"/>
      <c r="AU31" s="215"/>
      <c r="AV31" s="345"/>
      <c r="AW31" s="345"/>
      <c r="AX31" s="345"/>
      <c r="AY31" s="37"/>
      <c r="AZ31" s="37"/>
      <c r="BA31" s="37"/>
      <c r="BB31" s="186"/>
      <c r="BC31" s="186"/>
      <c r="BD31" s="186"/>
      <c r="BE31" s="37"/>
      <c r="BF31" s="37"/>
    </row>
    <row r="32" spans="1:58" ht="15" thickBot="1" x14ac:dyDescent="0.35">
      <c r="I32" s="717"/>
      <c r="J32" s="91"/>
      <c r="K32" s="91"/>
      <c r="L32" s="91"/>
      <c r="M32" s="91"/>
      <c r="N32" s="91"/>
      <c r="O32" s="91"/>
      <c r="P32" s="91"/>
      <c r="Q32" s="746"/>
      <c r="R32" s="746"/>
      <c r="S32" s="208"/>
      <c r="AE32" s="699"/>
      <c r="AF32" s="238"/>
      <c r="AS32" s="699"/>
      <c r="AT32" s="238"/>
      <c r="AU32" s="238"/>
    </row>
    <row r="33" spans="1:58" s="8" customFormat="1" x14ac:dyDescent="0.3">
      <c r="A33" s="37"/>
      <c r="B33" s="37"/>
      <c r="C33" s="37"/>
      <c r="D33" s="38"/>
      <c r="E33" s="37"/>
      <c r="F33" s="37"/>
      <c r="G33" s="37"/>
      <c r="H33" s="37"/>
      <c r="I33" s="743"/>
      <c r="J33" s="37"/>
      <c r="K33" s="37"/>
      <c r="L33" s="37"/>
      <c r="M33" s="37"/>
      <c r="N33" s="37"/>
      <c r="O33" s="37"/>
      <c r="P33" s="37"/>
      <c r="Q33" s="37"/>
      <c r="R33" s="37"/>
      <c r="S33" s="37"/>
      <c r="T33" s="254"/>
      <c r="U33" s="254"/>
      <c r="V33" s="254"/>
      <c r="W33" s="39"/>
      <c r="X33" s="39"/>
      <c r="Y33" s="39"/>
      <c r="Z33" s="37"/>
      <c r="AA33" s="37"/>
      <c r="AB33" s="37"/>
      <c r="AC33" s="37"/>
      <c r="AD33" s="37"/>
      <c r="AE33" s="469"/>
      <c r="AF33" s="37"/>
      <c r="AG33" s="469"/>
      <c r="AH33" s="469"/>
      <c r="AI33" s="469"/>
      <c r="AJ33" s="159"/>
      <c r="AK33" s="159"/>
      <c r="AL33" s="159"/>
      <c r="AM33" s="37"/>
      <c r="AN33" s="37"/>
      <c r="AO33" s="37"/>
      <c r="AP33" s="37"/>
      <c r="AQ33" s="37"/>
      <c r="AR33" s="37"/>
      <c r="AS33" s="469"/>
      <c r="AT33" s="37"/>
      <c r="AU33" s="37"/>
      <c r="AV33" s="37"/>
      <c r="AW33" s="37"/>
      <c r="AX33" s="37"/>
      <c r="AY33" s="37"/>
      <c r="AZ33" s="37"/>
      <c r="BA33" s="37"/>
      <c r="BB33" s="186"/>
      <c r="BC33" s="186"/>
      <c r="BD33" s="186"/>
      <c r="BE33" s="37"/>
      <c r="BF33" s="37"/>
    </row>
    <row r="34" spans="1:58" s="1" customFormat="1" x14ac:dyDescent="0.3">
      <c r="A34" s="108"/>
      <c r="B34" s="108"/>
      <c r="C34" s="108"/>
      <c r="D34" s="378"/>
      <c r="E34" s="108"/>
      <c r="F34" s="108"/>
      <c r="G34" s="108"/>
      <c r="H34" s="108"/>
      <c r="I34" s="657"/>
      <c r="J34" s="108"/>
      <c r="K34" s="108"/>
      <c r="L34" s="108"/>
      <c r="M34" s="108"/>
      <c r="N34" s="108"/>
      <c r="O34" s="108"/>
      <c r="P34" s="108"/>
      <c r="Q34" s="108"/>
      <c r="R34" s="108"/>
      <c r="S34" s="108"/>
      <c r="T34" s="456"/>
      <c r="U34" s="456"/>
      <c r="V34" s="456"/>
      <c r="W34" s="72"/>
      <c r="X34" s="72"/>
      <c r="Y34" s="72"/>
      <c r="Z34" s="108"/>
      <c r="AA34" s="108"/>
      <c r="AB34" s="108"/>
      <c r="AC34" s="457" t="s">
        <v>790</v>
      </c>
      <c r="AD34" s="108"/>
      <c r="AE34" s="176">
        <f>AVERAGE(AE8:AE31)</f>
        <v>1.6322445854304535E-2</v>
      </c>
      <c r="AF34" s="108"/>
      <c r="AG34" s="240">
        <f>AVERAGE(AG8:AG31)</f>
        <v>2.2037814267943601E-2</v>
      </c>
      <c r="AH34" s="176"/>
      <c r="AI34" s="176"/>
      <c r="AJ34" s="425"/>
      <c r="AK34" s="425"/>
      <c r="AL34" s="425"/>
      <c r="AM34" s="108" t="s">
        <v>790</v>
      </c>
      <c r="AN34" s="108"/>
      <c r="AO34" s="108"/>
      <c r="AP34" s="108" t="s">
        <v>790</v>
      </c>
      <c r="AQ34" s="108"/>
      <c r="AR34" s="108"/>
      <c r="AS34" s="176">
        <f>AVERAGE(AS6:AS7)</f>
        <v>1.0607944698476233E-4</v>
      </c>
      <c r="AT34" s="108"/>
      <c r="AU34" s="108"/>
      <c r="AV34" s="207">
        <f>AVERAGE(AV6)</f>
        <v>1.0607944698476233E-4</v>
      </c>
      <c r="AW34" s="108"/>
      <c r="AX34" s="108"/>
      <c r="AY34" s="108"/>
      <c r="AZ34" s="108"/>
      <c r="BA34" s="108"/>
      <c r="BB34" s="319" t="s">
        <v>790</v>
      </c>
      <c r="BC34" s="319"/>
      <c r="BD34" s="319"/>
      <c r="BE34" s="108"/>
      <c r="BF34" s="108"/>
    </row>
    <row r="35" spans="1:58" s="1" customFormat="1" x14ac:dyDescent="0.3">
      <c r="A35" s="108"/>
      <c r="B35" s="108"/>
      <c r="C35" s="108"/>
      <c r="D35" s="378"/>
      <c r="E35" s="108"/>
      <c r="F35" s="108"/>
      <c r="G35" s="108"/>
      <c r="H35" s="108"/>
      <c r="I35" s="657"/>
      <c r="J35" s="108"/>
      <c r="K35" s="108"/>
      <c r="L35" s="108"/>
      <c r="M35" s="108"/>
      <c r="N35" s="108"/>
      <c r="O35" s="108"/>
      <c r="P35" s="108"/>
      <c r="Q35" s="108"/>
      <c r="R35" s="108"/>
      <c r="S35" s="108"/>
      <c r="T35" s="456"/>
      <c r="U35" s="456"/>
      <c r="V35" s="456"/>
      <c r="W35" s="72"/>
      <c r="X35" s="72"/>
      <c r="Y35" s="72"/>
      <c r="Z35" s="108"/>
      <c r="AA35" s="108"/>
      <c r="AB35" s="108"/>
      <c r="AC35" s="457" t="s">
        <v>791</v>
      </c>
      <c r="AD35" s="108"/>
      <c r="AE35" s="176">
        <f>STDEV(AE8:AE31)</f>
        <v>3.1794030720435303E-2</v>
      </c>
      <c r="AF35" s="108"/>
      <c r="AG35" s="240">
        <f>STDEV(AG8:AG31)</f>
        <v>3.6901895697609155E-2</v>
      </c>
      <c r="AH35" s="176"/>
      <c r="AI35" s="176"/>
      <c r="AJ35" s="425"/>
      <c r="AK35" s="425"/>
      <c r="AL35" s="425"/>
      <c r="AM35" s="108" t="s">
        <v>791</v>
      </c>
      <c r="AN35" s="108"/>
      <c r="AO35" s="108"/>
      <c r="AP35" s="108" t="s">
        <v>791</v>
      </c>
      <c r="AQ35" s="108"/>
      <c r="AR35" s="108"/>
      <c r="AS35" s="176">
        <f>STDEV(AS6:AS7)</f>
        <v>3.1822210554673477E-5</v>
      </c>
      <c r="AT35" s="108"/>
      <c r="AU35" s="108"/>
      <c r="AV35" s="108"/>
      <c r="AW35" s="108"/>
      <c r="AX35" s="108"/>
      <c r="AY35" s="108"/>
      <c r="AZ35" s="108"/>
      <c r="BA35" s="108"/>
      <c r="BB35" s="319" t="s">
        <v>791</v>
      </c>
      <c r="BC35" s="319"/>
      <c r="BD35" s="319"/>
      <c r="BE35" s="108"/>
      <c r="BF35" s="108"/>
    </row>
    <row r="36" spans="1:58" s="1" customFormat="1" x14ac:dyDescent="0.3">
      <c r="A36" s="108"/>
      <c r="B36" s="108"/>
      <c r="C36" s="108"/>
      <c r="D36" s="378"/>
      <c r="E36" s="108"/>
      <c r="F36" s="108"/>
      <c r="G36" s="108"/>
      <c r="H36" s="108"/>
      <c r="I36" s="657"/>
      <c r="J36" s="108"/>
      <c r="K36" s="108"/>
      <c r="L36" s="108"/>
      <c r="M36" s="108"/>
      <c r="N36" s="108"/>
      <c r="O36" s="108"/>
      <c r="P36" s="108"/>
      <c r="Q36" s="108"/>
      <c r="R36" s="108"/>
      <c r="S36" s="108"/>
      <c r="T36" s="456"/>
      <c r="U36" s="456"/>
      <c r="V36" s="456"/>
      <c r="W36" s="72"/>
      <c r="X36" s="72"/>
      <c r="Y36" s="72"/>
      <c r="Z36" s="108"/>
      <c r="AA36" s="108"/>
      <c r="AB36" s="108"/>
      <c r="AC36" s="457" t="s">
        <v>800</v>
      </c>
      <c r="AD36" s="108"/>
      <c r="AE36" s="176">
        <f>MEDIAN(AE8:AE31)</f>
        <v>3.1160843819384443E-3</v>
      </c>
      <c r="AF36" s="108"/>
      <c r="AG36" s="177">
        <f>MEDIAN(AG8:AG31)</f>
        <v>3.1875203727312492E-3</v>
      </c>
      <c r="AH36" s="176"/>
      <c r="AI36" s="176"/>
      <c r="AJ36" s="425"/>
      <c r="AK36" s="425"/>
      <c r="AL36" s="425"/>
      <c r="AM36" s="108" t="s">
        <v>800</v>
      </c>
      <c r="AN36" s="108"/>
      <c r="AO36" s="108"/>
      <c r="AP36" s="108" t="s">
        <v>800</v>
      </c>
      <c r="AQ36" s="108"/>
      <c r="AR36" s="108"/>
      <c r="AS36" s="176">
        <f>MEDIAN(AS6:AS7)</f>
        <v>1.0607944698476233E-4</v>
      </c>
      <c r="AT36" s="108"/>
      <c r="AU36" s="108"/>
      <c r="AV36" s="207">
        <f>MEDIAN(AV6:AV7)</f>
        <v>1.0607944698476233E-4</v>
      </c>
      <c r="AW36" s="108"/>
      <c r="AX36" s="108"/>
      <c r="AY36" s="108"/>
      <c r="AZ36" s="108"/>
      <c r="BA36" s="108"/>
      <c r="BB36" s="319" t="s">
        <v>800</v>
      </c>
      <c r="BC36" s="319"/>
      <c r="BD36" s="319"/>
      <c r="BE36" s="108"/>
      <c r="BF36" s="108"/>
    </row>
    <row r="37" spans="1:58" s="1" customFormat="1" x14ac:dyDescent="0.3">
      <c r="A37" s="108"/>
      <c r="B37" s="108"/>
      <c r="C37" s="108"/>
      <c r="D37" s="378"/>
      <c r="E37" s="108"/>
      <c r="F37" s="108"/>
      <c r="G37" s="108"/>
      <c r="H37" s="108"/>
      <c r="I37" s="657"/>
      <c r="J37" s="108"/>
      <c r="K37" s="108"/>
      <c r="L37" s="108"/>
      <c r="M37" s="108"/>
      <c r="N37" s="108"/>
      <c r="O37" s="108"/>
      <c r="P37" s="108"/>
      <c r="Q37" s="108"/>
      <c r="R37" s="108"/>
      <c r="S37" s="108"/>
      <c r="T37" s="456"/>
      <c r="U37" s="456"/>
      <c r="V37" s="456"/>
      <c r="W37" s="72"/>
      <c r="X37" s="72"/>
      <c r="Y37" s="72"/>
      <c r="Z37" s="108"/>
      <c r="AA37" s="108"/>
      <c r="AB37" s="108"/>
      <c r="AC37" s="457" t="s">
        <v>789</v>
      </c>
      <c r="AD37" s="108"/>
      <c r="AE37" s="176">
        <f>COUNT(AE8:AE31)</f>
        <v>18</v>
      </c>
      <c r="AF37" s="108"/>
      <c r="AG37" s="176">
        <f>COUNT(AG8:AG31)</f>
        <v>7</v>
      </c>
      <c r="AH37" s="176"/>
      <c r="AI37" s="176"/>
      <c r="AJ37" s="425"/>
      <c r="AK37" s="425"/>
      <c r="AL37" s="425"/>
      <c r="AM37" s="108" t="s">
        <v>789</v>
      </c>
      <c r="AN37" s="108"/>
      <c r="AO37" s="108"/>
      <c r="AP37" s="108" t="s">
        <v>789</v>
      </c>
      <c r="AQ37" s="108"/>
      <c r="AR37" s="108"/>
      <c r="AS37" s="176">
        <f>COUNT(AS6:AS7)</f>
        <v>2</v>
      </c>
      <c r="AT37" s="108"/>
      <c r="AU37" s="108"/>
      <c r="AV37" s="108">
        <v>1</v>
      </c>
      <c r="AW37" s="108"/>
      <c r="AX37" s="108"/>
      <c r="AY37" s="108"/>
      <c r="AZ37" s="108"/>
      <c r="BA37" s="108"/>
      <c r="BB37" s="319" t="s">
        <v>789</v>
      </c>
      <c r="BC37" s="319"/>
      <c r="BD37" s="319"/>
      <c r="BE37" s="108"/>
      <c r="BF37" s="108"/>
    </row>
    <row r="38" spans="1:58" s="1" customFormat="1" x14ac:dyDescent="0.3">
      <c r="A38" s="108"/>
      <c r="B38" s="108"/>
      <c r="C38" s="108"/>
      <c r="D38" s="378"/>
      <c r="E38" s="108"/>
      <c r="F38" s="108"/>
      <c r="G38" s="108"/>
      <c r="H38" s="108"/>
      <c r="I38" s="657"/>
      <c r="J38" s="108"/>
      <c r="K38" s="108"/>
      <c r="L38" s="108"/>
      <c r="M38" s="108"/>
      <c r="N38" s="108"/>
      <c r="O38" s="108"/>
      <c r="P38" s="108"/>
      <c r="Q38" s="108"/>
      <c r="R38" s="108"/>
      <c r="S38" s="108"/>
      <c r="T38" s="456"/>
      <c r="U38" s="456"/>
      <c r="V38" s="456"/>
      <c r="W38" s="72"/>
      <c r="X38" s="72"/>
      <c r="Y38" s="72"/>
      <c r="Z38" s="108"/>
      <c r="AA38" s="108"/>
      <c r="AB38" s="108"/>
      <c r="AC38" s="457" t="s">
        <v>787</v>
      </c>
      <c r="AD38" s="108"/>
      <c r="AE38" s="176">
        <f>MIN(AE6:AE31)</f>
        <v>2.5752704193308354E-4</v>
      </c>
      <c r="AF38" s="108"/>
      <c r="AG38" s="177">
        <f>MIN(AG8:AG31)</f>
        <v>2.6133998073092765E-4</v>
      </c>
      <c r="AH38" s="176"/>
      <c r="AI38" s="176"/>
      <c r="AJ38" s="425"/>
      <c r="AK38" s="425"/>
      <c r="AL38" s="425"/>
      <c r="AM38" s="108" t="s">
        <v>787</v>
      </c>
      <c r="AN38" s="108"/>
      <c r="AO38" s="108"/>
      <c r="AP38" s="108" t="s">
        <v>787</v>
      </c>
      <c r="AQ38" s="108"/>
      <c r="AR38" s="108"/>
      <c r="AS38" s="176">
        <f>MIN(AS6:AS7)</f>
        <v>8.3577746109206593E-5</v>
      </c>
      <c r="AT38" s="108"/>
      <c r="AU38" s="108"/>
      <c r="AV38" s="108"/>
      <c r="AW38" s="108"/>
      <c r="AX38" s="108"/>
      <c r="AY38" s="108"/>
      <c r="AZ38" s="108"/>
      <c r="BA38" s="108"/>
      <c r="BB38" s="319" t="s">
        <v>787</v>
      </c>
      <c r="BC38" s="319"/>
      <c r="BD38" s="319"/>
      <c r="BE38" s="108"/>
      <c r="BF38" s="108"/>
    </row>
    <row r="39" spans="1:58" s="1" customFormat="1" x14ac:dyDescent="0.3">
      <c r="A39" s="108"/>
      <c r="B39" s="108"/>
      <c r="C39" s="108"/>
      <c r="D39" s="378"/>
      <c r="E39" s="108"/>
      <c r="F39" s="108"/>
      <c r="G39" s="108"/>
      <c r="H39" s="108"/>
      <c r="I39" s="657"/>
      <c r="J39" s="108"/>
      <c r="K39" s="108"/>
      <c r="L39" s="108"/>
      <c r="M39" s="108"/>
      <c r="N39" s="108"/>
      <c r="O39" s="108"/>
      <c r="P39" s="108"/>
      <c r="Q39" s="108"/>
      <c r="R39" s="108"/>
      <c r="S39" s="108"/>
      <c r="T39" s="456"/>
      <c r="U39" s="456"/>
      <c r="V39" s="456"/>
      <c r="W39" s="72"/>
      <c r="X39" s="72"/>
      <c r="Y39" s="72"/>
      <c r="Z39" s="108"/>
      <c r="AA39" s="108"/>
      <c r="AB39" s="108"/>
      <c r="AC39" s="457" t="s">
        <v>788</v>
      </c>
      <c r="AD39" s="108"/>
      <c r="AE39" s="176">
        <f>MAX(AE8:AE31)</f>
        <v>0.10114938408147051</v>
      </c>
      <c r="AF39" s="108"/>
      <c r="AG39" s="176">
        <f>MAX(AG6:AG31)</f>
        <v>0.10103089840574406</v>
      </c>
      <c r="AH39" s="176"/>
      <c r="AI39" s="176"/>
      <c r="AJ39" s="425"/>
      <c r="AK39" s="425"/>
      <c r="AL39" s="425"/>
      <c r="AM39" s="108" t="s">
        <v>788</v>
      </c>
      <c r="AN39" s="108"/>
      <c r="AO39" s="108"/>
      <c r="AP39" s="108" t="s">
        <v>788</v>
      </c>
      <c r="AQ39" s="108"/>
      <c r="AR39" s="108"/>
      <c r="AS39" s="176">
        <f>MAX(AS6:AS7)</f>
        <v>1.2858114786031807E-4</v>
      </c>
      <c r="AT39" s="108"/>
      <c r="AU39" s="108"/>
      <c r="AV39" s="108"/>
      <c r="AW39" s="108"/>
      <c r="AX39" s="108"/>
      <c r="AY39" s="108"/>
      <c r="AZ39" s="108"/>
      <c r="BA39" s="108"/>
      <c r="BB39" s="319" t="s">
        <v>788</v>
      </c>
      <c r="BC39" s="319"/>
      <c r="BD39" s="319"/>
      <c r="BE39" s="108"/>
      <c r="BF39" s="108"/>
    </row>
    <row r="40" spans="1:58" x14ac:dyDescent="0.3">
      <c r="AF40" s="843" t="s">
        <v>1276</v>
      </c>
      <c r="AG40" s="157">
        <f>QUARTILE(AG$6:AG32,3)-QUARTILE(AG$6:AG32,1)</f>
        <v>1.8857284058674838E-2</v>
      </c>
      <c r="AH40" s="119"/>
      <c r="AS40" s="175"/>
    </row>
    <row r="41" spans="1:58" x14ac:dyDescent="0.3">
      <c r="AF41" s="843" t="s">
        <v>1277</v>
      </c>
      <c r="AG41" s="157">
        <f>MAX(AG36-2*AG40,0)</f>
        <v>0</v>
      </c>
      <c r="AH41" s="844" t="str">
        <f>IF(AG38&lt;AG41,"Outlier Flag","")</f>
        <v/>
      </c>
    </row>
    <row r="42" spans="1:58" x14ac:dyDescent="0.3">
      <c r="AF42" s="843" t="s">
        <v>1278</v>
      </c>
      <c r="AG42" s="157">
        <f>AG36+2.2*AG40</f>
        <v>4.4673545301815894E-2</v>
      </c>
      <c r="AH42" s="844" t="str">
        <f>IF(AG39&gt;AG42,"Outlier Flag","")</f>
        <v>Outlier Flag</v>
      </c>
    </row>
    <row r="44" spans="1:58" x14ac:dyDescent="0.3">
      <c r="AC44" s="31" t="s">
        <v>790</v>
      </c>
      <c r="AG44" s="175">
        <v>8.8723002449768561E-3</v>
      </c>
    </row>
    <row r="45" spans="1:58" x14ac:dyDescent="0.3">
      <c r="AC45" s="31" t="s">
        <v>791</v>
      </c>
      <c r="AG45" s="175">
        <v>1.3346216976567732E-2</v>
      </c>
    </row>
    <row r="46" spans="1:58" x14ac:dyDescent="0.3">
      <c r="AC46" s="31" t="s">
        <v>800</v>
      </c>
      <c r="AG46" s="175">
        <v>3.1206985878486585E-3</v>
      </c>
    </row>
    <row r="47" spans="1:58" x14ac:dyDescent="0.3">
      <c r="AC47" s="31" t="s">
        <v>789</v>
      </c>
      <c r="AG47" s="175">
        <v>6</v>
      </c>
    </row>
    <row r="48" spans="1:58" x14ac:dyDescent="0.3">
      <c r="AC48" s="31" t="s">
        <v>787</v>
      </c>
      <c r="AG48" s="175">
        <v>2.6133998073092765E-4</v>
      </c>
    </row>
    <row r="49" spans="29:33" x14ac:dyDescent="0.3">
      <c r="AC49" s="31" t="s">
        <v>788</v>
      </c>
      <c r="AG49" s="175">
        <v>3.5612605240764081E-2</v>
      </c>
    </row>
  </sheetData>
  <sheetProtection formatCells="0" formatColumns="0" formatRows="0" insertColumns="0" insertRows="0" insertHyperlinks="0" deleteColumns="0" deleteRows="0" sort="0"/>
  <mergeCells count="1">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Key</vt:lpstr>
      <vt:lpstr>1_HalAliph_NS_v0.3</vt:lpstr>
      <vt:lpstr>2_HalAliph_E</vt:lpstr>
      <vt:lpstr>3_Epoxide</vt:lpstr>
      <vt:lpstr>4_OPEster1</vt:lpstr>
      <vt:lpstr>5_Acid_Halide</vt:lpstr>
      <vt:lpstr>5.1_Acid_halide_chloroformates</vt:lpstr>
      <vt:lpstr>6_CarboxAcidEst</vt:lpstr>
      <vt:lpstr>7_Anhydride</vt:lpstr>
      <vt:lpstr>8_Amide</vt:lpstr>
      <vt:lpstr>9_Carbamate</vt:lpstr>
      <vt:lpstr>10_Urea</vt:lpstr>
      <vt:lpstr>11_Sulfonylurea</vt:lpstr>
      <vt:lpstr>11.1_Sulfonylurea_bridg_contrac</vt:lpstr>
      <vt:lpstr>12_Carbonate</vt:lpstr>
      <vt:lpstr>13_Lactones</vt:lpstr>
      <vt:lpstr>14_Imides</vt:lpstr>
      <vt:lpstr>15_Nitriles</vt:lpstr>
      <vt:lpstr>16_Lactams</vt:lpstr>
      <vt:lpstr>17_N-S Cleavage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Stevens, Caroline</dc:creator>
  <cp:lastModifiedBy>Stevens, Caroline</cp:lastModifiedBy>
  <cp:lastPrinted>2015-05-04T13:36:19Z</cp:lastPrinted>
  <dcterms:created xsi:type="dcterms:W3CDTF">2013-07-08T14:59:26Z</dcterms:created>
  <dcterms:modified xsi:type="dcterms:W3CDTF">2017-05-19T14:38:17Z</dcterms:modified>
</cp:coreProperties>
</file>