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ssenabschätzung" sheetId="1" r:id="rId1"/>
    <sheet name="Kenngröße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" l="1"/>
  <c r="D39" i="2"/>
  <c r="D40" i="2"/>
  <c r="D37" i="2"/>
  <c r="C38" i="2"/>
  <c r="C39" i="2"/>
  <c r="C40" i="2"/>
  <c r="C37" i="2"/>
  <c r="L4" i="2" l="1"/>
  <c r="K8" i="2"/>
  <c r="G9" i="2"/>
  <c r="K9" i="2" s="1"/>
  <c r="G10" i="2"/>
  <c r="I10" i="2" s="1"/>
  <c r="G11" i="2"/>
  <c r="K11" i="2" s="1"/>
  <c r="G8" i="2"/>
  <c r="I8" i="2" s="1"/>
  <c r="C15" i="1"/>
  <c r="C16" i="1"/>
  <c r="C17" i="1"/>
  <c r="C14" i="1"/>
  <c r="B15" i="1"/>
  <c r="B16" i="1"/>
  <c r="B17" i="1"/>
  <c r="G9" i="1" s="1"/>
  <c r="B14" i="1"/>
  <c r="G6" i="1" s="1"/>
  <c r="G3" i="1"/>
  <c r="H9" i="1"/>
  <c r="H8" i="1"/>
  <c r="H7" i="1"/>
  <c r="H6" i="1"/>
  <c r="G8" i="1"/>
  <c r="G7" i="1"/>
  <c r="B5" i="1"/>
  <c r="C4" i="1"/>
  <c r="I9" i="2" l="1"/>
  <c r="L9" i="2" s="1"/>
  <c r="L8" i="2"/>
  <c r="C20" i="2" s="1"/>
  <c r="C27" i="2" s="1"/>
  <c r="I11" i="2"/>
  <c r="L11" i="2" s="1"/>
  <c r="K10" i="2"/>
  <c r="L10" i="2" s="1"/>
  <c r="D22" i="2" s="1"/>
  <c r="D29" i="2" s="1"/>
  <c r="M10" i="2"/>
  <c r="C22" i="2"/>
  <c r="C29" i="2" s="1"/>
  <c r="M8" i="2"/>
  <c r="I7" i="1"/>
  <c r="I9" i="1"/>
  <c r="I8" i="1"/>
  <c r="I6" i="1"/>
  <c r="C23" i="2" l="1"/>
  <c r="C30" i="2" s="1"/>
  <c r="M11" i="2"/>
  <c r="D23" i="2"/>
  <c r="D30" i="2" s="1"/>
  <c r="M9" i="2"/>
  <c r="D21" i="2"/>
  <c r="D28" i="2" s="1"/>
  <c r="C21" i="2"/>
  <c r="C28" i="2" s="1"/>
  <c r="D20" i="2"/>
  <c r="D27" i="2" s="1"/>
</calcChain>
</file>

<file path=xl/sharedStrings.xml><?xml version="1.0" encoding="utf-8"?>
<sst xmlns="http://schemas.openxmlformats.org/spreadsheetml/2006/main" count="44" uniqueCount="39">
  <si>
    <t>m(rüst)</t>
  </si>
  <si>
    <t>m(pax)</t>
  </si>
  <si>
    <t>[kg]</t>
  </si>
  <si>
    <t>m(fuel)</t>
  </si>
  <si>
    <t>[lbs]</t>
  </si>
  <si>
    <t>m(start)</t>
  </si>
  <si>
    <t>Start</t>
  </si>
  <si>
    <t>Ende</t>
  </si>
  <si>
    <t>[lbs] Verbr.</t>
  </si>
  <si>
    <t>[kg] Verbr.</t>
  </si>
  <si>
    <t>Gesamtmasse</t>
  </si>
  <si>
    <t>T/O Weight</t>
  </si>
  <si>
    <t>Mittel</t>
  </si>
  <si>
    <t>kg</t>
  </si>
  <si>
    <t>ΔH_INA [m]</t>
  </si>
  <si>
    <t>T_mittel</t>
  </si>
  <si>
    <t>T_INA_mitt</t>
  </si>
  <si>
    <t>Δt [s]</t>
  </si>
  <si>
    <t>T_anf [K]</t>
  </si>
  <si>
    <t>T_end [K]</t>
  </si>
  <si>
    <t>w_real [m/s]</t>
  </si>
  <si>
    <t>V_IAS [m/s]</t>
  </si>
  <si>
    <t>V_TAS [m/s]</t>
  </si>
  <si>
    <t>rho_0</t>
  </si>
  <si>
    <t>Interpol.</t>
  </si>
  <si>
    <t>|</t>
  </si>
  <si>
    <t>V</t>
  </si>
  <si>
    <t>rho_INA</t>
  </si>
  <si>
    <t>gamma [rad]</t>
  </si>
  <si>
    <t>gamma [°]</t>
  </si>
  <si>
    <t>W [N]</t>
  </si>
  <si>
    <t>A [N]</t>
  </si>
  <si>
    <t>C_w</t>
  </si>
  <si>
    <t>C_a</t>
  </si>
  <si>
    <t>S</t>
  </si>
  <si>
    <r>
      <t>m</t>
    </r>
    <r>
      <rPr>
        <sz val="10"/>
        <color theme="1"/>
        <rFont val="Calibri"/>
        <family val="2"/>
        <scheme val="minor"/>
      </rPr>
      <t>2</t>
    </r>
  </si>
  <si>
    <t>kg/m^3</t>
  </si>
  <si>
    <t>|W| [N]</t>
  </si>
  <si>
    <t>V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</si>
</sst>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Fill="1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0" fillId="0" borderId="1" xfId="0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name>Lilienthal-Polare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forward val="6.0000000000000012E-2"/>
            <c:backward val="1.0000000000000002E-2"/>
            <c:dispRSqr val="0"/>
            <c:dispEq val="1"/>
            <c:trendlineLbl>
              <c:layout>
                <c:manualLayout>
                  <c:x val="-7.4715350846630895E-3"/>
                  <c:y val="0.453148135244156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C</a:t>
                    </a:r>
                    <a:r>
                      <a:rPr lang="en-US" sz="1100" baseline="0"/>
                      <a:t>w</a:t>
                    </a:r>
                    <a:r>
                      <a:rPr lang="en-US" sz="1400" baseline="0"/>
                      <a:t> = -164 Ca 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+ 48,7 </a:t>
                    </a:r>
                    <a:r>
                      <a:rPr lang="en-US" sz="1400" b="0" i="0" u="none" strike="noStrike" baseline="0">
                        <a:effectLst/>
                      </a:rPr>
                      <a:t>C</a:t>
                    </a:r>
                    <a:r>
                      <a:rPr lang="en-US" sz="1100" b="0" i="0" u="none" strike="noStrike" baseline="0">
                        <a:effectLst/>
                      </a:rPr>
                      <a:t>a</a:t>
                    </a:r>
                    <a:r>
                      <a:rPr lang="en-US" sz="1400" baseline="0"/>
                      <a:t> - 1,9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Kenngrößen!$C$27:$C$30</c:f>
              <c:numCache>
                <c:formatCode>General</c:formatCode>
                <c:ptCount val="4"/>
                <c:pt idx="0">
                  <c:v>0.10879142827180677</c:v>
                </c:pt>
                <c:pt idx="1">
                  <c:v>8.0113396994663161E-2</c:v>
                </c:pt>
                <c:pt idx="2">
                  <c:v>6.5641294576533976E-2</c:v>
                </c:pt>
                <c:pt idx="3">
                  <c:v>6.3836498081065979E-2</c:v>
                </c:pt>
              </c:numCache>
            </c:numRef>
          </c:xVal>
          <c:yVal>
            <c:numRef>
              <c:f>Kenngrößen!$D$27:$D$30</c:f>
              <c:numCache>
                <c:formatCode>General</c:formatCode>
                <c:ptCount val="4"/>
                <c:pt idx="0">
                  <c:v>1.4368888640934547</c:v>
                </c:pt>
                <c:pt idx="1">
                  <c:v>0.91648470139471716</c:v>
                </c:pt>
                <c:pt idx="2">
                  <c:v>0.63400373966358547</c:v>
                </c:pt>
                <c:pt idx="3">
                  <c:v>0.46308050886070595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4F0B-ABD4-AF4A006C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35759"/>
        <c:axId val="1463038255"/>
      </c:scatterChart>
      <c:valAx>
        <c:axId val="146303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Widerstandsbeiwert Cw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038255"/>
        <c:crosses val="autoZero"/>
        <c:crossBetween val="midCat"/>
      </c:valAx>
      <c:valAx>
        <c:axId val="14630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Auftriebsbeiwert</a:t>
                </a:r>
                <a:r>
                  <a:rPr lang="de-DE" sz="1400" baseline="0"/>
                  <a:t> </a:t>
                </a:r>
                <a:r>
                  <a:rPr lang="de-DE" sz="1400"/>
                  <a:t>C</a:t>
                </a:r>
                <a:r>
                  <a:rPr lang="de-DE" sz="1050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03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backward val="20"/>
            <c:dispRSqr val="0"/>
            <c:dispEq val="1"/>
            <c:trendlineLbl>
              <c:layout>
                <c:manualLayout>
                  <c:x val="-0.18146094533670312"/>
                  <c:y val="-2.63519980946387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W = -2,0247 V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+ 161,15 V - 6434,1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Kenngrößen!$C$37:$C$40</c:f>
              <c:numCache>
                <c:formatCode>General</c:formatCode>
                <c:ptCount val="4"/>
                <c:pt idx="0">
                  <c:v>42.858266885834226</c:v>
                </c:pt>
                <c:pt idx="1">
                  <c:v>53.596222752090682</c:v>
                </c:pt>
                <c:pt idx="2">
                  <c:v>64.42761292787317</c:v>
                </c:pt>
                <c:pt idx="3">
                  <c:v>75.100158626688582</c:v>
                </c:pt>
              </c:numCache>
            </c:numRef>
          </c:xVal>
          <c:yVal>
            <c:numRef>
              <c:f>Kenngrößen!$D$37:$D$40</c:f>
              <c:numCache>
                <c:formatCode>General</c:formatCode>
                <c:ptCount val="4"/>
                <c:pt idx="0">
                  <c:v>-3216.7632281007322</c:v>
                </c:pt>
                <c:pt idx="1">
                  <c:v>-3701.2599709201509</c:v>
                </c:pt>
                <c:pt idx="2">
                  <c:v>-4367.0088579970015</c:v>
                </c:pt>
                <c:pt idx="3">
                  <c:v>-5780.555418114951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7-4276-99D6-024ACD61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19039"/>
        <c:axId val="1509016543"/>
      </c:scatterChart>
      <c:valAx>
        <c:axId val="15090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Geschwindigkeit</a:t>
                </a:r>
                <a:r>
                  <a:rPr lang="de-DE" sz="1200" baseline="0"/>
                  <a:t> V</a:t>
                </a:r>
                <a:r>
                  <a:rPr lang="de-DE" sz="900" baseline="0"/>
                  <a:t>TAS [m/s]</a:t>
                </a:r>
                <a:endParaRPr lang="de-DE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9016543"/>
        <c:crosses val="autoZero"/>
        <c:crossBetween val="midCat"/>
      </c:valAx>
      <c:valAx>
        <c:axId val="15090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Widerstand W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901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13</xdr:row>
      <xdr:rowOff>9524</xdr:rowOff>
    </xdr:from>
    <xdr:to>
      <xdr:col>12</xdr:col>
      <xdr:colOff>752475</xdr:colOff>
      <xdr:row>29</xdr:row>
      <xdr:rowOff>190499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690562</xdr:colOff>
      <xdr:row>30</xdr:row>
      <xdr:rowOff>38099</xdr:rowOff>
    </xdr:from>
    <xdr:to>
      <xdr:col>13</xdr:col>
      <xdr:colOff>5798</xdr:colOff>
      <xdr:row>47</xdr:row>
      <xdr:rowOff>133350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1" sqref="I11"/>
    </sheetView>
  </sheetViews>
  <sheetFormatPr baseColWidth="10" defaultColWidth="9.140625" defaultRowHeight="15" x14ac:dyDescent="0.25"/>
  <cols>
    <col min="1" max="1" width="12.7109375" customWidth="1"/>
    <col min="6" max="6" width="14.42578125" customWidth="1"/>
  </cols>
  <sheetData>
    <row r="1" spans="1:9" x14ac:dyDescent="0.25">
      <c r="A1" s="2"/>
      <c r="B1" s="3" t="s">
        <v>2</v>
      </c>
      <c r="C1" s="3" t="s">
        <v>4</v>
      </c>
    </row>
    <row r="2" spans="1:9" x14ac:dyDescent="0.25">
      <c r="A2" s="2" t="s">
        <v>0</v>
      </c>
      <c r="B2" s="2">
        <v>3188</v>
      </c>
      <c r="C2" s="2"/>
    </row>
    <row r="3" spans="1:9" x14ac:dyDescent="0.25">
      <c r="A3" s="2" t="s">
        <v>1</v>
      </c>
      <c r="B3" s="2">
        <v>427</v>
      </c>
      <c r="C3" s="2"/>
      <c r="F3" s="7" t="s">
        <v>11</v>
      </c>
      <c r="G3" s="7">
        <f>B5</f>
        <v>4382.5</v>
      </c>
      <c r="H3" s="7" t="s">
        <v>13</v>
      </c>
    </row>
    <row r="4" spans="1:9" x14ac:dyDescent="0.25">
      <c r="A4" s="2" t="s">
        <v>3</v>
      </c>
      <c r="B4" s="2">
        <v>767.5</v>
      </c>
      <c r="C4" s="2">
        <f>2*440+2*406</f>
        <v>1692</v>
      </c>
    </row>
    <row r="5" spans="1:9" x14ac:dyDescent="0.25">
      <c r="A5" s="4" t="s">
        <v>5</v>
      </c>
      <c r="B5" s="5">
        <f>SUM(B2:B4)</f>
        <v>4382.5</v>
      </c>
      <c r="C5" s="2"/>
      <c r="F5" s="5" t="s">
        <v>10</v>
      </c>
      <c r="G5" s="5" t="s">
        <v>6</v>
      </c>
      <c r="H5" s="5" t="s">
        <v>7</v>
      </c>
      <c r="I5" s="4" t="s">
        <v>12</v>
      </c>
    </row>
    <row r="6" spans="1:9" x14ac:dyDescent="0.25">
      <c r="F6" s="8">
        <v>1</v>
      </c>
      <c r="G6" s="9">
        <f>B5-B14</f>
        <v>4344.8999999999996</v>
      </c>
      <c r="H6" s="9">
        <f>B5-C14</f>
        <v>4341.7</v>
      </c>
      <c r="I6" s="9">
        <f>(G6+H6)/2</f>
        <v>4343.2999999999993</v>
      </c>
    </row>
    <row r="7" spans="1:9" x14ac:dyDescent="0.25">
      <c r="A7" s="2" t="s">
        <v>8</v>
      </c>
      <c r="B7" s="2" t="s">
        <v>6</v>
      </c>
      <c r="C7" s="2" t="s">
        <v>7</v>
      </c>
      <c r="F7" s="8">
        <v>2</v>
      </c>
      <c r="G7" s="9">
        <f>B5-B15</f>
        <v>4334</v>
      </c>
      <c r="H7" s="9">
        <f>B5-C15</f>
        <v>4331.3</v>
      </c>
      <c r="I7" s="9">
        <f t="shared" ref="I7:I9" si="0">(G7+H7)/2</f>
        <v>4332.6499999999996</v>
      </c>
    </row>
    <row r="8" spans="1:9" x14ac:dyDescent="0.25">
      <c r="A8" s="6">
        <v>1</v>
      </c>
      <c r="B8" s="2">
        <v>83</v>
      </c>
      <c r="C8" s="2">
        <v>90</v>
      </c>
      <c r="F8" s="8">
        <v>3</v>
      </c>
      <c r="G8" s="9">
        <f>B5-B16</f>
        <v>4323.5</v>
      </c>
      <c r="H8" s="9">
        <f>B5-C16</f>
        <v>4321.7</v>
      </c>
      <c r="I8" s="9">
        <f t="shared" si="0"/>
        <v>4322.6000000000004</v>
      </c>
    </row>
    <row r="9" spans="1:9" x14ac:dyDescent="0.25">
      <c r="A9" s="6">
        <v>2</v>
      </c>
      <c r="B9" s="2">
        <v>107</v>
      </c>
      <c r="C9" s="2">
        <v>113</v>
      </c>
      <c r="F9" s="8">
        <v>4</v>
      </c>
      <c r="G9" s="9">
        <f>B5-B17</f>
        <v>4315.3999999999996</v>
      </c>
      <c r="H9" s="9">
        <f>B5-C17</f>
        <v>4314.5</v>
      </c>
      <c r="I9" s="9">
        <f t="shared" si="0"/>
        <v>4314.95</v>
      </c>
    </row>
    <row r="10" spans="1:9" x14ac:dyDescent="0.25">
      <c r="A10" s="6">
        <v>3</v>
      </c>
      <c r="B10" s="2">
        <v>130</v>
      </c>
      <c r="C10" s="2">
        <v>134</v>
      </c>
    </row>
    <row r="11" spans="1:9" x14ac:dyDescent="0.25">
      <c r="A11" s="6">
        <v>4</v>
      </c>
      <c r="B11" s="2">
        <v>148</v>
      </c>
      <c r="C11" s="2">
        <v>150</v>
      </c>
    </row>
    <row r="13" spans="1:9" x14ac:dyDescent="0.25">
      <c r="A13" s="2" t="s">
        <v>9</v>
      </c>
      <c r="B13" s="2" t="s">
        <v>6</v>
      </c>
      <c r="C13" s="2" t="s">
        <v>7</v>
      </c>
    </row>
    <row r="14" spans="1:9" x14ac:dyDescent="0.25">
      <c r="A14" s="6">
        <v>1</v>
      </c>
      <c r="B14" s="2">
        <f>ROUND(B8/2.205,1)</f>
        <v>37.6</v>
      </c>
      <c r="C14" s="2">
        <f>ROUND(C8/2.205,1)</f>
        <v>40.799999999999997</v>
      </c>
    </row>
    <row r="15" spans="1:9" x14ac:dyDescent="0.25">
      <c r="A15" s="6">
        <v>2</v>
      </c>
      <c r="B15" s="2">
        <f t="shared" ref="B15:C17" si="1">ROUND(B9/2.205,1)</f>
        <v>48.5</v>
      </c>
      <c r="C15" s="2">
        <f t="shared" si="1"/>
        <v>51.2</v>
      </c>
    </row>
    <row r="16" spans="1:9" x14ac:dyDescent="0.25">
      <c r="A16" s="6">
        <v>3</v>
      </c>
      <c r="B16" s="2">
        <f t="shared" si="1"/>
        <v>59</v>
      </c>
      <c r="C16" s="2">
        <f t="shared" si="1"/>
        <v>60.8</v>
      </c>
    </row>
    <row r="17" spans="1:3" x14ac:dyDescent="0.25">
      <c r="A17" s="6">
        <v>4</v>
      </c>
      <c r="B17" s="2">
        <f t="shared" si="1"/>
        <v>67.099999999999994</v>
      </c>
      <c r="C17" s="2">
        <f t="shared" si="1"/>
        <v>68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0"/>
  <sheetViews>
    <sheetView tabSelected="1" topLeftCell="A13" zoomScaleNormal="100" workbookViewId="0">
      <selection activeCell="C27" sqref="C27:D30"/>
    </sheetView>
  </sheetViews>
  <sheetFormatPr baseColWidth="10" defaultRowHeight="15" x14ac:dyDescent="0.25"/>
  <cols>
    <col min="17" max="17" width="12" bestFit="1" customWidth="1"/>
  </cols>
  <sheetData>
    <row r="1" spans="2:16" x14ac:dyDescent="0.25">
      <c r="C1" s="1"/>
    </row>
    <row r="3" spans="2:16" x14ac:dyDescent="0.25">
      <c r="K3" t="s">
        <v>23</v>
      </c>
      <c r="L3">
        <v>1.2250000000000001</v>
      </c>
      <c r="M3" t="s">
        <v>36</v>
      </c>
    </row>
    <row r="4" spans="2:16" x14ac:dyDescent="0.25">
      <c r="I4" t="s">
        <v>24</v>
      </c>
      <c r="K4" t="s">
        <v>27</v>
      </c>
      <c r="L4">
        <f>(1.1378+1.1721)/2</f>
        <v>1.1549499999999999</v>
      </c>
      <c r="M4" t="s">
        <v>36</v>
      </c>
    </row>
    <row r="5" spans="2:16" x14ac:dyDescent="0.25">
      <c r="K5" s="10" t="s">
        <v>25</v>
      </c>
    </row>
    <row r="6" spans="2:16" x14ac:dyDescent="0.25">
      <c r="K6" s="10" t="s">
        <v>26</v>
      </c>
    </row>
    <row r="7" spans="2:16" x14ac:dyDescent="0.25">
      <c r="B7" s="2"/>
      <c r="C7" s="5" t="s">
        <v>17</v>
      </c>
      <c r="D7" s="5" t="s">
        <v>14</v>
      </c>
      <c r="E7" s="5" t="s">
        <v>18</v>
      </c>
      <c r="F7" s="5" t="s">
        <v>19</v>
      </c>
      <c r="G7" s="5" t="s">
        <v>15</v>
      </c>
      <c r="H7" s="5" t="s">
        <v>16</v>
      </c>
      <c r="I7" s="5" t="s">
        <v>20</v>
      </c>
      <c r="J7" s="5" t="s">
        <v>21</v>
      </c>
      <c r="K7" s="5" t="s">
        <v>22</v>
      </c>
      <c r="L7" s="5" t="s">
        <v>28</v>
      </c>
      <c r="M7" s="5" t="s">
        <v>29</v>
      </c>
      <c r="P7" s="7"/>
    </row>
    <row r="8" spans="2:16" x14ac:dyDescent="0.25">
      <c r="B8" s="2">
        <v>1</v>
      </c>
      <c r="C8" s="2">
        <v>98</v>
      </c>
      <c r="D8" s="2">
        <v>-304.8</v>
      </c>
      <c r="E8" s="2">
        <v>285</v>
      </c>
      <c r="F8" s="2">
        <v>287.5</v>
      </c>
      <c r="G8" s="2">
        <f>(E8+F8)/2</f>
        <v>286.25</v>
      </c>
      <c r="H8" s="2">
        <v>275.14999999999998</v>
      </c>
      <c r="I8" s="2">
        <f>(D8/C8)*(G8/H8)</f>
        <v>-3.2356747896323719</v>
      </c>
      <c r="J8" s="2">
        <v>40.799999999999997</v>
      </c>
      <c r="K8" s="2">
        <f>J8*SQRT((L3*G8)/(L4*H8))</f>
        <v>42.858266885834226</v>
      </c>
      <c r="L8" s="2">
        <f>ASIN((-I8)/K8)</f>
        <v>7.5569002794984075E-2</v>
      </c>
      <c r="M8" s="2">
        <f>DEGREES(L8)</f>
        <v>4.329784922164909</v>
      </c>
    </row>
    <row r="9" spans="2:16" x14ac:dyDescent="0.25">
      <c r="B9" s="2">
        <v>2</v>
      </c>
      <c r="C9" s="2">
        <v>68</v>
      </c>
      <c r="D9" s="2">
        <v>-304.8</v>
      </c>
      <c r="E9" s="2">
        <v>285</v>
      </c>
      <c r="F9" s="2">
        <v>288</v>
      </c>
      <c r="G9" s="2">
        <f t="shared" ref="G9:G11" si="0">(E9+F9)/2</f>
        <v>286.5</v>
      </c>
      <c r="H9" s="2">
        <v>275.14999999999998</v>
      </c>
      <c r="I9" s="2">
        <f t="shared" ref="I9:I11" si="1">(D9/C9)*(G9/H9)</f>
        <v>-4.6672510181612177</v>
      </c>
      <c r="J9" s="2">
        <v>51</v>
      </c>
      <c r="K9" s="2">
        <f>J9*SQRT((L3*G9)/(L4*H8))</f>
        <v>53.596222752090682</v>
      </c>
      <c r="L9" s="2">
        <f t="shared" ref="L9:L11" si="2">ASIN((-I9)/K9)</f>
        <v>8.7192152757599117E-2</v>
      </c>
      <c r="M9" s="2">
        <f t="shared" ref="M9:M11" si="3">DEGREES(L9)</f>
        <v>4.995742359670392</v>
      </c>
    </row>
    <row r="10" spans="2:16" x14ac:dyDescent="0.25">
      <c r="B10" s="2">
        <v>3</v>
      </c>
      <c r="C10" s="2">
        <v>48</v>
      </c>
      <c r="D10" s="2">
        <v>-304.8</v>
      </c>
      <c r="E10" s="2">
        <v>286</v>
      </c>
      <c r="F10" s="2">
        <v>289</v>
      </c>
      <c r="G10" s="2">
        <f t="shared" si="0"/>
        <v>287.5</v>
      </c>
      <c r="H10" s="2">
        <v>275.14999999999998</v>
      </c>
      <c r="I10" s="2">
        <f t="shared" si="1"/>
        <v>-6.6350172633109228</v>
      </c>
      <c r="J10" s="2">
        <v>61.2</v>
      </c>
      <c r="K10" s="2">
        <f>J10*SQRT((L3*G10)/(L4*H8))</f>
        <v>64.42761292787317</v>
      </c>
      <c r="L10" s="2">
        <f t="shared" si="2"/>
        <v>0.10316697261701845</v>
      </c>
      <c r="M10" s="2">
        <f t="shared" si="3"/>
        <v>5.9110321160968908</v>
      </c>
    </row>
    <row r="11" spans="2:16" x14ac:dyDescent="0.25">
      <c r="B11" s="2">
        <v>4</v>
      </c>
      <c r="C11" s="2">
        <v>31</v>
      </c>
      <c r="D11" s="2">
        <v>-304.8</v>
      </c>
      <c r="E11" s="2">
        <v>286</v>
      </c>
      <c r="F11" s="2">
        <v>288</v>
      </c>
      <c r="G11" s="2">
        <f t="shared" si="0"/>
        <v>287</v>
      </c>
      <c r="H11" s="2">
        <v>275.14999999999998</v>
      </c>
      <c r="I11" s="2">
        <f t="shared" si="1"/>
        <v>-10.255708030223984</v>
      </c>
      <c r="J11" s="2">
        <v>71.400000000000006</v>
      </c>
      <c r="K11" s="2">
        <f>J11*SQRT((L3*G11)/(L4*H8))</f>
        <v>75.100158626688582</v>
      </c>
      <c r="L11" s="2">
        <f t="shared" si="2"/>
        <v>0.13698845301662921</v>
      </c>
      <c r="M11" s="2">
        <f t="shared" si="3"/>
        <v>7.8488601998790237</v>
      </c>
    </row>
    <row r="14" spans="2:16" x14ac:dyDescent="0.25">
      <c r="B14" s="1" t="s">
        <v>34</v>
      </c>
      <c r="C14">
        <v>29</v>
      </c>
      <c r="D14" t="s">
        <v>35</v>
      </c>
    </row>
    <row r="19" spans="3:4" x14ac:dyDescent="0.25">
      <c r="C19" s="5" t="s">
        <v>30</v>
      </c>
      <c r="D19" s="5" t="s">
        <v>31</v>
      </c>
    </row>
    <row r="20" spans="3:4" x14ac:dyDescent="0.25">
      <c r="C20" s="2">
        <f>-Massenabschätzung!I6*9.81*SIN(L8)</f>
        <v>-3216.7632281007322</v>
      </c>
      <c r="D20" s="2">
        <f>Massenabschätzung!I6*9.81*COS(L8)</f>
        <v>42486.171330844438</v>
      </c>
    </row>
    <row r="21" spans="3:4" x14ac:dyDescent="0.25">
      <c r="C21" s="2">
        <f>-Massenabschätzung!I7*9.81*SIN(L9)</f>
        <v>-3701.2599709201509</v>
      </c>
      <c r="D21" s="2">
        <f>Massenabschätzung!I7*9.81*COS(L9)</f>
        <v>42341.833781670066</v>
      </c>
    </row>
    <row r="22" spans="3:4" x14ac:dyDescent="0.25">
      <c r="C22" s="2">
        <f>-Massenabschätzung!I8*9.81*SIN(L10)</f>
        <v>-4367.0088579970015</v>
      </c>
      <c r="D22" s="2">
        <f>Massenabschätzung!I8*9.81*COS(L10)</f>
        <v>42179.240445752606</v>
      </c>
    </row>
    <row r="23" spans="3:4" x14ac:dyDescent="0.25">
      <c r="C23" s="2">
        <f>-Massenabschätzung!I9*9.81*SIN(L11)</f>
        <v>-5780.555418114951</v>
      </c>
      <c r="D23" s="2">
        <f>Massenabschätzung!I9*9.81*COS(L11)</f>
        <v>41933.104493276463</v>
      </c>
    </row>
    <row r="26" spans="3:4" x14ac:dyDescent="0.25">
      <c r="C26" s="5" t="s">
        <v>32</v>
      </c>
      <c r="D26" s="5" t="s">
        <v>33</v>
      </c>
    </row>
    <row r="27" spans="3:4" x14ac:dyDescent="0.25">
      <c r="C27" s="2">
        <f>(2*-C20*G8)/(1.15495*H8*POWER(K8,2)*29)</f>
        <v>0.10879142827180677</v>
      </c>
      <c r="D27" s="2">
        <f>(2*D20*G8)/(1.15495*H8*POWER(K8,2)*29)</f>
        <v>1.4368888640934547</v>
      </c>
    </row>
    <row r="28" spans="3:4" x14ac:dyDescent="0.25">
      <c r="C28" s="2">
        <f>(2*-C21*G9)/(1.15495*H9*POWER(K9,2)*29)</f>
        <v>8.0113396994663161E-2</v>
      </c>
      <c r="D28" s="2">
        <f>(2*D21*G9)/(1.15495*H9*POWER(K9,2)*29)</f>
        <v>0.91648470139471716</v>
      </c>
    </row>
    <row r="29" spans="3:4" x14ac:dyDescent="0.25">
      <c r="C29" s="2">
        <f>(2*-C22*G10)/(1.15495*H10*POWER(K10,2)*29)</f>
        <v>6.5641294576533976E-2</v>
      </c>
      <c r="D29" s="2">
        <f>(2*D22*G10)/(1.15495*H10*POWER(K10,2)*29)</f>
        <v>0.63400373966358547</v>
      </c>
    </row>
    <row r="30" spans="3:4" x14ac:dyDescent="0.25">
      <c r="C30" s="2">
        <f>(2*-C23*G11)/(1.15495*H11*POWER(K11,2)*29)</f>
        <v>6.3836498081065979E-2</v>
      </c>
      <c r="D30" s="2">
        <f>(2*D23*G11)/(1.15495*H11*POWER(K11,2)*29)</f>
        <v>0.46308050886070595</v>
      </c>
    </row>
    <row r="33" spans="2:1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2:11" x14ac:dyDescent="0.25">
      <c r="B34" s="12"/>
      <c r="C34" s="13"/>
      <c r="D34" s="13"/>
      <c r="E34" s="12"/>
      <c r="F34" s="12"/>
      <c r="G34" s="12"/>
      <c r="H34" s="12"/>
      <c r="I34" s="12"/>
      <c r="J34" s="12"/>
      <c r="K34" s="12"/>
    </row>
    <row r="35" spans="2:11" x14ac:dyDescent="0.25">
      <c r="B35" s="12"/>
      <c r="C35" s="11"/>
      <c r="D35" s="11"/>
      <c r="E35" s="12"/>
      <c r="F35" s="12"/>
      <c r="G35" s="12"/>
      <c r="H35" s="12"/>
      <c r="I35" s="12"/>
      <c r="J35" s="12"/>
      <c r="K35" s="12"/>
    </row>
    <row r="36" spans="2:11" x14ac:dyDescent="0.25">
      <c r="B36" s="12"/>
      <c r="C36" s="15" t="s">
        <v>38</v>
      </c>
      <c r="D36" s="15" t="s">
        <v>37</v>
      </c>
      <c r="F36" s="12"/>
      <c r="G36" s="12"/>
      <c r="H36" s="12"/>
      <c r="I36" s="12"/>
      <c r="J36" s="12"/>
      <c r="K36" s="12"/>
    </row>
    <row r="37" spans="2:11" x14ac:dyDescent="0.25">
      <c r="B37" s="12"/>
      <c r="C37" s="16">
        <f>K8</f>
        <v>42.858266885834226</v>
      </c>
      <c r="D37" s="16">
        <f>C20</f>
        <v>-3216.7632281007322</v>
      </c>
      <c r="F37" s="12"/>
      <c r="G37" s="12"/>
      <c r="H37" s="12"/>
      <c r="I37" s="12"/>
      <c r="J37" s="12"/>
      <c r="K37" s="12"/>
    </row>
    <row r="38" spans="2:11" x14ac:dyDescent="0.25">
      <c r="B38" s="12"/>
      <c r="C38" s="16">
        <f>K9</f>
        <v>53.596222752090682</v>
      </c>
      <c r="D38" s="16">
        <f t="shared" ref="D38:D40" si="4">C21</f>
        <v>-3701.2599709201509</v>
      </c>
      <c r="F38" s="12"/>
      <c r="G38" s="12"/>
      <c r="H38" s="12"/>
      <c r="I38" s="12"/>
      <c r="J38" s="12"/>
      <c r="K38" s="12"/>
    </row>
    <row r="39" spans="2:11" x14ac:dyDescent="0.25">
      <c r="B39" s="12"/>
      <c r="C39" s="16">
        <f>K10</f>
        <v>64.42761292787317</v>
      </c>
      <c r="D39" s="16">
        <f t="shared" si="4"/>
        <v>-4367.0088579970015</v>
      </c>
      <c r="F39" s="12"/>
      <c r="G39" s="12"/>
      <c r="H39" s="12"/>
      <c r="I39" s="12"/>
      <c r="J39" s="12"/>
      <c r="K39" s="12"/>
    </row>
    <row r="40" spans="2:11" x14ac:dyDescent="0.25">
      <c r="B40" s="12"/>
      <c r="C40" s="16">
        <f>K11</f>
        <v>75.100158626688582</v>
      </c>
      <c r="D40" s="16">
        <f t="shared" si="4"/>
        <v>-5780.555418114951</v>
      </c>
      <c r="F40" s="12"/>
      <c r="G40" s="12"/>
      <c r="H40" s="12"/>
      <c r="I40" s="12"/>
      <c r="J40" s="12"/>
      <c r="K40" s="12"/>
    </row>
    <row r="41" spans="2:11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</row>
    <row r="42" spans="2:11" x14ac:dyDescent="0.25">
      <c r="B42" s="12"/>
      <c r="C42" s="14"/>
      <c r="D42" s="14"/>
      <c r="E42" s="14"/>
      <c r="F42" s="14"/>
      <c r="G42" s="14"/>
      <c r="H42" s="14"/>
      <c r="I42" s="12"/>
      <c r="J42" s="12"/>
      <c r="K42" s="12"/>
    </row>
    <row r="43" spans="2:11" x14ac:dyDescent="0.25">
      <c r="B43" s="12"/>
      <c r="C43" s="11"/>
      <c r="D43" s="11"/>
      <c r="E43" s="11"/>
      <c r="F43" s="11"/>
      <c r="G43" s="11"/>
      <c r="H43" s="11"/>
      <c r="I43" s="12"/>
      <c r="J43" s="12"/>
      <c r="K43" s="12"/>
    </row>
    <row r="44" spans="2:11" x14ac:dyDescent="0.25">
      <c r="B44" s="12"/>
      <c r="C44" s="11"/>
      <c r="D44" s="11"/>
      <c r="E44" s="11"/>
      <c r="F44" s="11"/>
      <c r="G44" s="11"/>
      <c r="H44" s="11"/>
      <c r="I44" s="12"/>
      <c r="J44" s="12"/>
      <c r="K44" s="12"/>
    </row>
    <row r="45" spans="2:11" x14ac:dyDescent="0.25">
      <c r="B45" s="12"/>
      <c r="C45" s="11"/>
      <c r="D45" s="11"/>
      <c r="E45" s="11"/>
      <c r="F45" s="11"/>
      <c r="G45" s="11"/>
      <c r="H45" s="11"/>
      <c r="I45" s="12"/>
      <c r="J45" s="12"/>
      <c r="K45" s="12"/>
    </row>
    <row r="46" spans="2:11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spans="2:11" x14ac:dyDescent="0.25">
      <c r="B47" s="12"/>
      <c r="C47" s="14"/>
      <c r="D47" s="14"/>
      <c r="E47" s="14"/>
      <c r="F47" s="14"/>
      <c r="G47" s="14"/>
      <c r="H47" s="14"/>
      <c r="I47" s="14"/>
      <c r="J47" s="14"/>
      <c r="K47" s="14"/>
    </row>
    <row r="48" spans="2:11" x14ac:dyDescent="0.25">
      <c r="B48" s="12"/>
      <c r="C48" s="11"/>
      <c r="D48" s="11"/>
      <c r="E48" s="11"/>
      <c r="F48" s="11"/>
      <c r="G48" s="11"/>
      <c r="H48" s="11"/>
      <c r="I48" s="11"/>
      <c r="J48" s="11"/>
      <c r="K48" s="11"/>
    </row>
    <row r="49" spans="2:11" x14ac:dyDescent="0.25">
      <c r="B49" s="12"/>
      <c r="C49" s="11"/>
      <c r="D49" s="11"/>
      <c r="E49" s="11"/>
      <c r="F49" s="11"/>
      <c r="G49" s="11"/>
      <c r="H49" s="11"/>
      <c r="I49" s="11"/>
      <c r="J49" s="11"/>
      <c r="K49" s="11"/>
    </row>
    <row r="50" spans="2:11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2:11" x14ac:dyDescent="0.25"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2:11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spans="2:11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2:11" x14ac:dyDescent="0.25">
      <c r="B54" s="12"/>
      <c r="C54" s="12"/>
      <c r="D54" s="12"/>
      <c r="E54" s="12"/>
      <c r="F54" s="12"/>
      <c r="G54" s="12"/>
      <c r="H54" s="12"/>
      <c r="I54" s="12"/>
      <c r="J54" s="12"/>
      <c r="K54" s="12"/>
    </row>
    <row r="55" spans="2:11" x14ac:dyDescent="0.25">
      <c r="B55" s="12"/>
      <c r="C55" s="14"/>
      <c r="D55" s="14"/>
      <c r="E55" s="14"/>
      <c r="F55" s="12"/>
      <c r="G55" s="12"/>
      <c r="H55" s="12"/>
      <c r="I55" s="12"/>
      <c r="J55" s="12"/>
      <c r="K55" s="12"/>
    </row>
    <row r="56" spans="2:11" x14ac:dyDescent="0.25">
      <c r="B56" s="12"/>
      <c r="C56" s="11"/>
      <c r="D56" s="11"/>
      <c r="E56" s="11"/>
      <c r="F56" s="12"/>
      <c r="G56" s="12"/>
      <c r="H56" s="12"/>
      <c r="I56" s="12"/>
      <c r="J56" s="12"/>
      <c r="K56" s="12"/>
    </row>
    <row r="57" spans="2:11" x14ac:dyDescent="0.25">
      <c r="B57" s="12"/>
      <c r="C57" s="11"/>
      <c r="D57" s="11"/>
      <c r="E57" s="11"/>
      <c r="F57" s="12"/>
      <c r="G57" s="12"/>
      <c r="H57" s="12"/>
      <c r="I57" s="12"/>
      <c r="J57" s="12"/>
      <c r="K57" s="12"/>
    </row>
    <row r="58" spans="2:11" x14ac:dyDescent="0.25">
      <c r="B58" s="12"/>
      <c r="C58" s="11"/>
      <c r="D58" s="11"/>
      <c r="E58" s="11"/>
      <c r="F58" s="12"/>
      <c r="G58" s="12"/>
      <c r="H58" s="12"/>
      <c r="I58" s="12"/>
      <c r="J58" s="12"/>
      <c r="K58" s="12"/>
    </row>
    <row r="59" spans="2:11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2:11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Massenabschätzung</vt:lpstr>
      <vt:lpstr>Kenngrößen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2019-06-25T04:59:10Z</dcterms:modified>
</cp:coreProperties>
</file>