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탐사적데이터분석\"/>
    </mc:Choice>
  </mc:AlternateContent>
  <xr:revisionPtr revIDLastSave="0" documentId="13_ncr:1_{0089EDBF-6D58-4A7B-9A70-3D6A2CFAA640}" xr6:coauthVersionLast="38" xr6:coauthVersionMax="38" xr10:uidLastSave="{00000000-0000-0000-0000-000000000000}"/>
  <bookViews>
    <workbookView xWindow="0" yWindow="0" windowWidth="5880" windowHeight="8292" tabRatio="606" activeTab="6" xr2:uid="{6D90B7EA-F1BF-4934-BBA9-88DC5BD7BB9C}"/>
  </bookViews>
  <sheets>
    <sheet name="Sheet1" sheetId="1" r:id="rId1"/>
    <sheet name="Sheet2" sheetId="2" r:id="rId2"/>
    <sheet name="기말고사범위" sheetId="3" r:id="rId3"/>
    <sheet name="Sheet3" sheetId="4" r:id="rId4"/>
    <sheet name="정규성검정" sheetId="5" r:id="rId5"/>
    <sheet name="다양한 분포의 난수생성" sheetId="6" r:id="rId6"/>
    <sheet name="spss를 이용한 q-q plo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H69" i="5"/>
  <c r="H68" i="5"/>
  <c r="H56" i="5"/>
  <c r="H57" i="5"/>
  <c r="H58" i="5"/>
  <c r="H59" i="5"/>
  <c r="H60" i="5"/>
  <c r="H61" i="5"/>
  <c r="H62" i="5"/>
  <c r="H63" i="5"/>
  <c r="H64" i="5"/>
  <c r="H65" i="5"/>
  <c r="H66" i="5"/>
  <c r="H67" i="5"/>
  <c r="H55" i="5"/>
  <c r="G56" i="5"/>
  <c r="G57" i="5"/>
  <c r="G58" i="5"/>
  <c r="G59" i="5"/>
  <c r="G60" i="5"/>
  <c r="G61" i="5"/>
  <c r="G62" i="5"/>
  <c r="G63" i="5"/>
  <c r="G64" i="5"/>
  <c r="G65" i="5"/>
  <c r="G66" i="5"/>
  <c r="G67" i="5"/>
  <c r="G55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E56" i="5"/>
  <c r="E57" i="5"/>
  <c r="E58" i="5"/>
  <c r="E59" i="5"/>
  <c r="E60" i="5"/>
  <c r="E61" i="5"/>
  <c r="E62" i="5"/>
  <c r="E63" i="5"/>
  <c r="E64" i="5"/>
  <c r="E65" i="5"/>
  <c r="E66" i="5"/>
  <c r="E67" i="5"/>
  <c r="E55" i="5"/>
  <c r="C68" i="5"/>
  <c r="D56" i="5"/>
  <c r="D57" i="5"/>
  <c r="D58" i="5"/>
  <c r="D59" i="5"/>
  <c r="D60" i="5"/>
  <c r="D61" i="5"/>
  <c r="D62" i="5"/>
  <c r="D63" i="5"/>
  <c r="D64" i="5"/>
  <c r="D65" i="5"/>
  <c r="D66" i="5"/>
  <c r="D55" i="5"/>
  <c r="F41" i="5"/>
  <c r="D23" i="5" s="1"/>
  <c r="D40" i="5"/>
  <c r="D41" i="5"/>
  <c r="D42" i="5"/>
  <c r="D44" i="5"/>
  <c r="D43" i="5"/>
  <c r="D45" i="5"/>
  <c r="C46" i="5"/>
  <c r="F8" i="5"/>
  <c r="C17" i="5" l="1"/>
  <c r="C22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C21" i="5" l="1"/>
  <c r="D21" i="5" s="1"/>
  <c r="D22" i="5"/>
  <c r="C23" i="5"/>
  <c r="F21" i="5" s="1"/>
  <c r="H61" i="4"/>
  <c r="H60" i="4"/>
  <c r="H59" i="4"/>
  <c r="H53" i="4"/>
  <c r="H54" i="4"/>
  <c r="H55" i="4"/>
  <c r="H56" i="4"/>
  <c r="H57" i="4"/>
  <c r="H58" i="4"/>
  <c r="H52" i="4"/>
  <c r="G53" i="4"/>
  <c r="G54" i="4"/>
  <c r="G55" i="4"/>
  <c r="G56" i="4"/>
  <c r="G57" i="4"/>
  <c r="G58" i="4"/>
  <c r="H36" i="4"/>
  <c r="C59" i="4"/>
  <c r="D58" i="4"/>
  <c r="C52" i="4"/>
  <c r="C53" i="4" s="1"/>
  <c r="C54" i="4" s="1"/>
  <c r="C55" i="4" s="1"/>
  <c r="C56" i="4" s="1"/>
  <c r="C57" i="4" s="1"/>
  <c r="C58" i="4" s="1"/>
  <c r="C32" i="4"/>
  <c r="C33" i="4" s="1"/>
  <c r="C34" i="4" s="1"/>
  <c r="C35" i="4" s="1"/>
  <c r="C36" i="4" s="1"/>
  <c r="C37" i="4" s="1"/>
  <c r="C38" i="4" s="1"/>
  <c r="C39" i="4" s="1"/>
  <c r="H21" i="4"/>
  <c r="H15" i="4"/>
  <c r="E6" i="4"/>
  <c r="C25" i="5" l="1"/>
  <c r="C26" i="5"/>
  <c r="E21" i="5"/>
  <c r="G35" i="4"/>
  <c r="G36" i="4"/>
  <c r="D36" i="4" s="1"/>
  <c r="C2" i="4"/>
  <c r="C3" i="4" s="1"/>
  <c r="C4" i="4" s="1"/>
  <c r="C5" i="4" s="1"/>
  <c r="C6" i="4" s="1"/>
  <c r="C7" i="4" s="1"/>
  <c r="C8" i="4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5" i="3"/>
  <c r="D35" i="4" l="1"/>
  <c r="H35" i="4" s="1"/>
  <c r="G34" i="4"/>
  <c r="D34" i="4" s="1"/>
  <c r="H34" i="4" s="1"/>
  <c r="F44" i="4" s="1"/>
  <c r="C9" i="4"/>
  <c r="F9" i="4"/>
  <c r="H21" i="1"/>
  <c r="J8" i="1"/>
  <c r="K8" i="1"/>
  <c r="I8" i="1"/>
  <c r="G19" i="1"/>
  <c r="H19" i="1"/>
  <c r="F43" i="4" l="1"/>
  <c r="C10" i="4"/>
  <c r="C11" i="4" s="1"/>
  <c r="C12" i="4" s="1"/>
  <c r="C13" i="4" s="1"/>
  <c r="C14" i="4" s="1"/>
  <c r="E9" i="4"/>
  <c r="E21" i="3"/>
  <c r="D21" i="3"/>
  <c r="F21" i="3" s="1"/>
  <c r="J110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75" i="2"/>
  <c r="B91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75" i="2"/>
  <c r="D52" i="4" l="1"/>
  <c r="E52" i="4" s="1"/>
  <c r="G52" i="4" s="1"/>
  <c r="D55" i="4"/>
  <c r="D53" i="4"/>
  <c r="E53" i="4" s="1"/>
  <c r="D56" i="4"/>
  <c r="D57" i="4"/>
  <c r="D54" i="4"/>
  <c r="C15" i="4"/>
  <c r="C16" i="4" s="1"/>
  <c r="C17" i="4" s="1"/>
  <c r="E14" i="4"/>
  <c r="H5" i="4"/>
  <c r="C18" i="4"/>
  <c r="F18" i="3"/>
  <c r="F9" i="3"/>
  <c r="F8" i="3"/>
  <c r="F22" i="3"/>
  <c r="E5" i="3" s="1"/>
  <c r="C91" i="2"/>
  <c r="C93" i="2" s="1"/>
  <c r="C94" i="2"/>
  <c r="F59" i="2"/>
  <c r="F60" i="2"/>
  <c r="F61" i="2"/>
  <c r="F62" i="2"/>
  <c r="F63" i="2"/>
  <c r="F64" i="2"/>
  <c r="F58" i="2"/>
  <c r="E54" i="4" l="1"/>
  <c r="E55" i="4" s="1"/>
  <c r="E56" i="4" s="1"/>
  <c r="E57" i="4" s="1"/>
  <c r="E58" i="4" s="1"/>
  <c r="F6" i="3"/>
  <c r="F15" i="3"/>
  <c r="F16" i="3"/>
  <c r="F10" i="3"/>
  <c r="F17" i="3"/>
  <c r="F11" i="3"/>
  <c r="F5" i="3"/>
  <c r="F7" i="3"/>
  <c r="F19" i="3"/>
  <c r="F12" i="3"/>
  <c r="F14" i="3"/>
  <c r="F13" i="3"/>
  <c r="E10" i="3"/>
  <c r="E6" i="3"/>
  <c r="E18" i="3"/>
  <c r="E16" i="3"/>
  <c r="E19" i="3"/>
  <c r="E17" i="3"/>
  <c r="E14" i="3"/>
  <c r="E12" i="3"/>
  <c r="E9" i="3"/>
  <c r="E13" i="3"/>
  <c r="E11" i="3"/>
  <c r="E15" i="3"/>
  <c r="E7" i="3"/>
  <c r="E8" i="3"/>
  <c r="D83" i="2"/>
  <c r="D76" i="2"/>
  <c r="D80" i="2"/>
  <c r="D84" i="2"/>
  <c r="D88" i="2"/>
  <c r="D77" i="2"/>
  <c r="D81" i="2"/>
  <c r="D85" i="2"/>
  <c r="D75" i="2"/>
  <c r="E75" i="2" s="1"/>
  <c r="D78" i="2"/>
  <c r="D82" i="2"/>
  <c r="D86" i="2"/>
  <c r="D79" i="2"/>
  <c r="D87" i="2"/>
  <c r="D59" i="2"/>
  <c r="D60" i="2"/>
  <c r="D61" i="2"/>
  <c r="D62" i="2"/>
  <c r="D63" i="2"/>
  <c r="D58" i="2"/>
  <c r="B66" i="2"/>
  <c r="E58" i="2" s="1"/>
  <c r="C64" i="2"/>
  <c r="C59" i="2"/>
  <c r="C60" i="2"/>
  <c r="C61" i="2"/>
  <c r="C62" i="2"/>
  <c r="C63" i="2"/>
  <c r="C58" i="2"/>
  <c r="C40" i="2"/>
  <c r="F40" i="2"/>
  <c r="H40" i="2"/>
  <c r="I40" i="2"/>
  <c r="B40" i="2"/>
  <c r="C35" i="2"/>
  <c r="F35" i="2"/>
  <c r="H35" i="2"/>
  <c r="B35" i="2"/>
  <c r="B36" i="2" s="1"/>
  <c r="B37" i="2" s="1"/>
  <c r="J34" i="2"/>
  <c r="C8" i="2"/>
  <c r="F8" i="2"/>
  <c r="H8" i="2"/>
  <c r="I8" i="2"/>
  <c r="J8" i="2"/>
  <c r="B8" i="2"/>
  <c r="F18" i="1"/>
  <c r="I4" i="1"/>
  <c r="J4" i="1"/>
  <c r="G18" i="1" s="1"/>
  <c r="K4" i="1"/>
  <c r="H18" i="1" s="1"/>
  <c r="I6" i="1"/>
  <c r="F19" i="1" s="1"/>
  <c r="J6" i="1"/>
  <c r="K6" i="1"/>
  <c r="J2" i="1"/>
  <c r="K2" i="1"/>
  <c r="I2" i="1"/>
  <c r="E79" i="2" l="1"/>
  <c r="G79" i="2" s="1"/>
  <c r="H79" i="2" s="1"/>
  <c r="L79" i="2" s="1"/>
  <c r="J75" i="2"/>
  <c r="G75" i="2"/>
  <c r="H75" i="2" s="1"/>
  <c r="L75" i="2" s="1"/>
  <c r="E83" i="2"/>
  <c r="G83" i="2" s="1"/>
  <c r="H83" i="2" s="1"/>
  <c r="L83" i="2" s="1"/>
  <c r="F21" i="1"/>
  <c r="F22" i="1" s="1"/>
  <c r="E89" i="2"/>
  <c r="E88" i="2"/>
  <c r="G88" i="2" s="1"/>
  <c r="H88" i="2" s="1"/>
  <c r="L88" i="2" s="1"/>
  <c r="J86" i="2"/>
  <c r="E86" i="2"/>
  <c r="G86" i="2" s="1"/>
  <c r="H86" i="2" s="1"/>
  <c r="L86" i="2" s="1"/>
  <c r="E85" i="2"/>
  <c r="G85" i="2" s="1"/>
  <c r="H85" i="2" s="1"/>
  <c r="L85" i="2" s="1"/>
  <c r="J84" i="2"/>
  <c r="E84" i="2"/>
  <c r="G84" i="2" s="1"/>
  <c r="H84" i="2" s="1"/>
  <c r="L84" i="2" s="1"/>
  <c r="E82" i="2"/>
  <c r="G82" i="2" s="1"/>
  <c r="H82" i="2" s="1"/>
  <c r="L82" i="2" s="1"/>
  <c r="J81" i="2"/>
  <c r="E81" i="2"/>
  <c r="G81" i="2" s="1"/>
  <c r="H81" i="2" s="1"/>
  <c r="L81" i="2" s="1"/>
  <c r="E80" i="2"/>
  <c r="G80" i="2" s="1"/>
  <c r="H80" i="2" s="1"/>
  <c r="L80" i="2" s="1"/>
  <c r="E87" i="2"/>
  <c r="G87" i="2" s="1"/>
  <c r="H87" i="2" s="1"/>
  <c r="L87" i="2" s="1"/>
  <c r="J78" i="2"/>
  <c r="E78" i="2"/>
  <c r="G78" i="2" s="1"/>
  <c r="H78" i="2" s="1"/>
  <c r="L78" i="2" s="1"/>
  <c r="E77" i="2"/>
  <c r="G77" i="2" s="1"/>
  <c r="H77" i="2" s="1"/>
  <c r="L77" i="2" s="1"/>
  <c r="J76" i="2"/>
  <c r="E76" i="2"/>
  <c r="G76" i="2" s="1"/>
  <c r="H76" i="2" s="1"/>
  <c r="L76" i="2" s="1"/>
  <c r="F36" i="2"/>
  <c r="D91" i="2"/>
  <c r="J58" i="2"/>
  <c r="G58" i="2"/>
  <c r="H58" i="2" s="1"/>
  <c r="D64" i="2"/>
  <c r="E64" i="2" s="1"/>
  <c r="E60" i="2"/>
  <c r="F37" i="2"/>
  <c r="F41" i="2" s="1"/>
  <c r="F42" i="2" s="1"/>
  <c r="E63" i="2"/>
  <c r="E59" i="2"/>
  <c r="C36" i="2"/>
  <c r="C37" i="2" s="1"/>
  <c r="C41" i="2" s="1"/>
  <c r="C42" i="2" s="1"/>
  <c r="B38" i="2"/>
  <c r="B41" i="2"/>
  <c r="B42" i="2" s="1"/>
  <c r="C66" i="2"/>
  <c r="E62" i="2"/>
  <c r="E61" i="2"/>
  <c r="K8" i="2"/>
  <c r="K12" i="2" s="1"/>
  <c r="L12" i="2" s="1"/>
  <c r="H36" i="2"/>
  <c r="H37" i="2" s="1"/>
  <c r="H38" i="2" s="1"/>
  <c r="F38" i="2"/>
  <c r="I36" i="2"/>
  <c r="I37" i="2" s="1"/>
  <c r="J40" i="2"/>
  <c r="J77" i="2" l="1"/>
  <c r="J87" i="2"/>
  <c r="J80" i="2"/>
  <c r="J82" i="2"/>
  <c r="J85" i="2"/>
  <c r="G89" i="2"/>
  <c r="H89" i="2" s="1"/>
  <c r="L89" i="2" s="1"/>
  <c r="J89" i="2"/>
  <c r="J83" i="2"/>
  <c r="J79" i="2"/>
  <c r="J88" i="2"/>
  <c r="L91" i="2"/>
  <c r="C38" i="2"/>
  <c r="J64" i="2"/>
  <c r="G64" i="2"/>
  <c r="H64" i="2" s="1"/>
  <c r="J61" i="2"/>
  <c r="G61" i="2"/>
  <c r="H61" i="2" s="1"/>
  <c r="J62" i="2"/>
  <c r="G62" i="2"/>
  <c r="H62" i="2" s="1"/>
  <c r="J63" i="2"/>
  <c r="G63" i="2"/>
  <c r="H63" i="2" s="1"/>
  <c r="J60" i="2"/>
  <c r="G60" i="2"/>
  <c r="H60" i="2" s="1"/>
  <c r="J59" i="2"/>
  <c r="J65" i="2" s="1"/>
  <c r="K65" i="2" s="1"/>
  <c r="G59" i="2"/>
  <c r="H59" i="2" s="1"/>
  <c r="H41" i="2"/>
  <c r="H42" i="2" s="1"/>
  <c r="I41" i="2"/>
  <c r="I42" i="2" s="1"/>
  <c r="I38" i="2"/>
  <c r="J91" i="2" l="1"/>
  <c r="J113" i="2" s="1"/>
  <c r="K91" i="2" s="1"/>
  <c r="J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D18" authorId="0" shapeId="0" xr:uid="{1F6D104F-BFFD-468B-B13E-5DAE3B2AC13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1,2,3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등분산성을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A8" authorId="0" shapeId="0" xr:uid="{B551714C-29FA-478F-BDCC-983B838CEAC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기대값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실제값의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되버리니까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제곱값을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구해봅시다
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기대값으로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나눠봄</t>
        </r>
      </text>
    </comment>
    <comment ref="A37" authorId="0" shapeId="0" xr:uid="{77D2AB0F-DDCF-4474-AF26-E1E245999AC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귀무가설</t>
        </r>
        <r>
          <rPr>
            <sz val="9"/>
            <color indexed="81"/>
            <rFont val="Tahoma"/>
            <family val="2"/>
          </rPr>
          <t>: X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포아송분포를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
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가정하에
</t>
        </r>
        <r>
          <rPr>
            <sz val="9"/>
            <color indexed="81"/>
            <rFont val="Tahoma"/>
            <family val="2"/>
          </rPr>
          <t>(Under H0)</t>
        </r>
      </text>
    </comment>
    <comment ref="A40" authorId="0" shapeId="0" xr:uid="{01B9355F-B94F-4CE5-B305-C9F9D068038A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관측값이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루트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나오잖아요
주의</t>
        </r>
        <r>
          <rPr>
            <sz val="9"/>
            <color indexed="81"/>
            <rFont val="Tahoma"/>
            <family val="2"/>
          </rPr>
          <t>**</t>
        </r>
        <r>
          <rPr>
            <sz val="9"/>
            <color indexed="81"/>
            <rFont val="돋움"/>
            <family val="3"/>
            <charset val="129"/>
          </rPr>
          <t>관측값이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대체한다</t>
        </r>
        <r>
          <rPr>
            <sz val="9"/>
            <color indexed="81"/>
            <rFont val="Tahoma"/>
            <family val="2"/>
          </rPr>
          <t>.</t>
        </r>
      </text>
    </comment>
    <comment ref="A42" authorId="0" shapeId="0" xr:uid="{17CC6F9F-704B-4310-93F7-70A8C2C4468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표준정규분포를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경향이있음
</t>
        </r>
        <r>
          <rPr>
            <sz val="9"/>
            <color indexed="81"/>
            <rFont val="Tahoma"/>
            <family val="2"/>
          </rPr>
          <t>+- 2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그래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회귀분석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표준화잔차와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얘가</t>
        </r>
        <r>
          <rPr>
            <sz val="9"/>
            <color indexed="81"/>
            <rFont val="Tahoma"/>
            <family val="2"/>
          </rPr>
          <t xml:space="preserve"> +-2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봅시다
그러며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카이제곱검정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안해도</t>
        </r>
        <r>
          <rPr>
            <sz val="9"/>
            <color indexed="81"/>
            <rFont val="Tahoma"/>
            <family val="2"/>
          </rPr>
          <t xml:space="preserve"> DRRS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포아송분포가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맞겠다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따져볼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  <comment ref="J65" authorId="0" shapeId="0" xr:uid="{56AFFFE4-BCA0-4B6F-986A-A74F6AF4A48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카이제곱검정통계량</t>
        </r>
      </text>
    </comment>
    <comment ref="K65" authorId="0" shapeId="0" xr:uid="{23607395-52A8-4431-93CC-B9D3E90AB1E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p-value</t>
        </r>
      </text>
    </comment>
    <comment ref="H74" authorId="0" shapeId="0" xr:uid="{D5C700AD-0F53-41A7-AA75-3C002C93978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관측값과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기대값의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차이
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얘는</t>
        </r>
        <r>
          <rPr>
            <sz val="9"/>
            <color indexed="81"/>
            <rFont val="Tahoma"/>
            <family val="2"/>
          </rPr>
          <t xml:space="preserve"> m=0,sd=1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정규분포따르니
</t>
        </r>
        <r>
          <rPr>
            <sz val="9"/>
            <color indexed="81"/>
            <rFont val="Tahoma"/>
            <family val="2"/>
          </rPr>
          <t xml:space="preserve">+-2 </t>
        </r>
        <r>
          <rPr>
            <sz val="9"/>
            <color indexed="81"/>
            <rFont val="돋움"/>
            <family val="3"/>
            <charset val="129"/>
          </rPr>
          <t>벗어나면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이상한값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프린트참고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A87" authorId="0" shapeId="0" xr:uid="{4D42E206-81B9-4B19-A1A1-AD8C613B590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관측빈도가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>!
DRRS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따른다고햇는데
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관측값이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인경우에는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할거임
</t>
        </r>
      </text>
    </comment>
    <comment ref="K91" authorId="0" shapeId="0" xr:uid="{E004D4A2-D971-4D5A-B287-6F3A2B9168B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p-value</t>
        </r>
        <r>
          <rPr>
            <sz val="9"/>
            <color indexed="81"/>
            <rFont val="돋움"/>
            <family val="3"/>
            <charset val="129"/>
          </rPr>
          <t>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A3" authorId="0" shapeId="0" xr:uid="{5D5E7F51-5AD7-4BE0-8D29-1B007279A42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( </t>
        </r>
        <r>
          <rPr>
            <sz val="9"/>
            <color indexed="81"/>
            <rFont val="돋움"/>
            <family val="3"/>
            <charset val="129"/>
          </rPr>
          <t>자료순번</t>
        </r>
        <r>
          <rPr>
            <sz val="9"/>
            <color indexed="81"/>
            <rFont val="Tahoma"/>
            <family val="2"/>
          </rPr>
          <t xml:space="preserve"> - 3/8 ) / (</t>
        </r>
        <r>
          <rPr>
            <sz val="9"/>
            <color indexed="81"/>
            <rFont val="돋움"/>
            <family val="3"/>
            <charset val="129"/>
          </rPr>
          <t>전체자료개수</t>
        </r>
        <r>
          <rPr>
            <sz val="9"/>
            <color indexed="81"/>
            <rFont val="Tahoma"/>
            <family val="2"/>
          </rPr>
          <t xml:space="preserve"> +1 /4)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큰거랑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작은거랑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똑같이</t>
        </r>
        <r>
          <rPr>
            <sz val="9"/>
            <color indexed="81"/>
            <rFont val="Tahoma"/>
            <family val="2"/>
          </rPr>
          <t xml:space="preserve"> i/n</t>
        </r>
        <r>
          <rPr>
            <sz val="9"/>
            <color indexed="81"/>
            <rFont val="돋움"/>
            <family val="3"/>
            <charset val="129"/>
          </rPr>
          <t>개씩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좌우대칭으로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있어야하는데
그냥</t>
        </r>
        <r>
          <rPr>
            <sz val="9"/>
            <color indexed="81"/>
            <rFont val="Tahoma"/>
            <family val="2"/>
          </rPr>
          <t xml:space="preserve"> 1/n, 2/n </t>
        </r>
        <r>
          <rPr>
            <sz val="9"/>
            <color indexed="81"/>
            <rFont val="돋움"/>
            <family val="3"/>
            <charset val="129"/>
          </rPr>
          <t>이런식으로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없잖아요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  <comment ref="C4" authorId="0" shapeId="0" xr:uid="{3F1F0091-B5E2-4689-8F95-1A8C9A493B2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나열해야함</t>
        </r>
        <r>
          <rPr>
            <sz val="9"/>
            <color indexed="81"/>
            <rFont val="Tahoma"/>
            <family val="2"/>
          </rPr>
          <t xml:space="preserve">*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케이스부터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마지막케이스까지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있을때
전체</t>
        </r>
        <r>
          <rPr>
            <sz val="9"/>
            <color indexed="81"/>
            <rFont val="Tahoma"/>
            <family val="2"/>
          </rPr>
          <t xml:space="preserve"> 1/N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
정규분포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얘기하구싶잖아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좌우대칭이니까
제일작은거보다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큰거보다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있을거랑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똑같이</t>
        </r>
        <r>
          <rPr>
            <sz val="9"/>
            <color indexed="81"/>
            <rFont val="Tahoma"/>
            <family val="2"/>
          </rPr>
          <t xml:space="preserve"> 1/N</t>
        </r>
        <r>
          <rPr>
            <sz val="9"/>
            <color indexed="81"/>
            <rFont val="돋움"/>
            <family val="3"/>
            <charset val="129"/>
          </rPr>
          <t>일거라고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기대하는거지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변형시키니까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나온것임</t>
        </r>
      </text>
    </comment>
    <comment ref="D4" authorId="0" shapeId="0" xr:uid="{5ECF2DAD-D314-421C-9A58-143C5BC2343A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( </t>
        </r>
        <r>
          <rPr>
            <sz val="9"/>
            <color indexed="81"/>
            <rFont val="돋움"/>
            <family val="3"/>
            <charset val="129"/>
          </rPr>
          <t>자료순번</t>
        </r>
        <r>
          <rPr>
            <sz val="9"/>
            <color indexed="81"/>
            <rFont val="Tahoma"/>
            <family val="2"/>
          </rPr>
          <t xml:space="preserve"> - 3/8 ) / (</t>
        </r>
        <r>
          <rPr>
            <sz val="9"/>
            <color indexed="81"/>
            <rFont val="돋움"/>
            <family val="3"/>
            <charset val="129"/>
          </rPr>
          <t>전체자료개수</t>
        </r>
        <r>
          <rPr>
            <sz val="9"/>
            <color indexed="81"/>
            <rFont val="Tahoma"/>
            <family val="2"/>
          </rPr>
          <t xml:space="preserve"> +1 /4)
=&gt; </t>
        </r>
        <r>
          <rPr>
            <sz val="9"/>
            <color indexed="81"/>
            <rFont val="돋움"/>
            <family val="3"/>
            <charset val="129"/>
          </rPr>
          <t>좌우대칭을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4" authorId="0" shapeId="0" xr:uid="{C33ACF87-D0DD-4F46-84A6-821C3F016D8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저항성이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없는건데
저항성이있는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볼거야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sz val="9"/>
            <color indexed="81"/>
            <rFont val="돋움"/>
            <family val="3"/>
            <charset val="129"/>
          </rPr>
          <t>이상하게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받는거지만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비교해볼려고
</t>
        </r>
      </text>
    </comment>
    <comment ref="F4" authorId="0" shapeId="0" xr:uid="{F67CD80C-A280-4CE2-93D7-31A5A40A58B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정규분포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경험함수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찍어보고
일직선에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점검해보자
</t>
        </r>
        <r>
          <rPr>
            <sz val="9"/>
            <color indexed="81"/>
            <rFont val="Tahoma"/>
            <family val="2"/>
          </rPr>
          <t>(Q-Q, P-P plot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유사함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일직선위에있음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따름</t>
        </r>
        <r>
          <rPr>
            <sz val="9"/>
            <color indexed="81"/>
            <rFont val="Tahoma"/>
            <family val="2"/>
          </rPr>
          <t>*
q-q plot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알아야함
콜모고르프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스미노르프에서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비모수통계에서도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것임</t>
        </r>
        <r>
          <rPr>
            <sz val="9"/>
            <color indexed="81"/>
            <rFont val="Tahoma"/>
            <family val="2"/>
          </rPr>
          <t>*</t>
        </r>
      </text>
    </comment>
    <comment ref="G4" authorId="0" shapeId="0" xr:uid="{AA7830AF-A1E4-4EA4-8D10-1CBE0338767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z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구해봄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표준화값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경험함수에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그려보면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완벽히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  <r>
          <rPr>
            <sz val="9"/>
            <color indexed="81"/>
            <rFont val="Tahoma"/>
            <family val="2"/>
          </rPr>
          <t>*
spss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정규성도표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그려보면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Q-Q plot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그려놨음</t>
        </r>
      </text>
    </comment>
    <comment ref="D5" authorId="0" shapeId="0" xr:uid="{CCB29973-AF83-431F-9694-72ACA158728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row()
</t>
        </r>
        <r>
          <rPr>
            <sz val="9"/>
            <color indexed="81"/>
            <rFont val="돋움"/>
            <family val="3"/>
            <charset val="129"/>
          </rPr>
          <t>양쪽끝값을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더해보면
거의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같을거야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나왔다면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위치와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보는데
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떨어지길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바라겟지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경험함수를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의존한게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본건데
정규분포는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확률인데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두개가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봐야겠찌</t>
        </r>
        <r>
          <rPr>
            <sz val="9"/>
            <color indexed="81"/>
            <rFont val="Tahoma"/>
            <family val="2"/>
          </rPr>
          <t>**</t>
        </r>
      </text>
    </comment>
    <comment ref="E5" authorId="0" shapeId="0" xr:uid="{CAA29E8B-4A47-453D-8A53-0B279A08B80B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TRUE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  <r>
          <rPr>
            <sz val="9"/>
            <color indexed="81"/>
            <rFont val="Tahoma"/>
            <family val="2"/>
          </rPr>
          <t>(~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>)</t>
        </r>
      </text>
    </comment>
    <comment ref="I6" authorId="0" shapeId="0" xr:uid="{16C91A84-4F53-4FF9-B8DB-1695A69EFFE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상태
</t>
        </r>
        <r>
          <rPr>
            <sz val="9"/>
            <color indexed="81"/>
            <rFont val="Tahoma"/>
            <family val="2"/>
          </rPr>
          <t>=&gt; x</t>
        </r>
        <r>
          <rPr>
            <sz val="9"/>
            <color indexed="81"/>
            <rFont val="돋움"/>
            <family val="3"/>
            <charset val="129"/>
          </rPr>
          <t>축과</t>
        </r>
        <r>
          <rPr>
            <sz val="9"/>
            <color indexed="81"/>
            <rFont val="Tahoma"/>
            <family val="2"/>
          </rPr>
          <t xml:space="preserve"> y</t>
        </r>
        <r>
          <rPr>
            <sz val="9"/>
            <color indexed="81"/>
            <rFont val="돋움"/>
            <family val="3"/>
            <charset val="129"/>
          </rPr>
          <t>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확인해야함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)
=&gt;</t>
        </r>
        <r>
          <rPr>
            <sz val="9"/>
            <color indexed="81"/>
            <rFont val="돋움"/>
            <family val="3"/>
            <charset val="129"/>
          </rPr>
          <t>축서식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들어가서</t>
        </r>
        <r>
          <rPr>
            <sz val="9"/>
            <color indexed="81"/>
            <rFont val="Tahoma"/>
            <family val="2"/>
          </rPr>
          <t xml:space="preserve"> y</t>
        </r>
        <r>
          <rPr>
            <sz val="9"/>
            <color indexed="81"/>
            <rFont val="돋움"/>
            <family val="3"/>
            <charset val="129"/>
          </rPr>
          <t>축과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그려보자</t>
        </r>
      </text>
    </comment>
    <comment ref="B12" authorId="0" shapeId="0" xr:uid="{6B067193-1C43-459E-8DD7-E885B243F34A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정규분포의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좌우대칭으로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뽑혔으면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좋겠어
</t>
        </r>
        <r>
          <rPr>
            <sz val="9"/>
            <color indexed="81"/>
            <rFont val="Tahoma"/>
            <family val="2"/>
          </rPr>
          <t>=&gt;</t>
        </r>
        <r>
          <rPr>
            <sz val="9"/>
            <color indexed="81"/>
            <rFont val="돋움"/>
            <family val="3"/>
            <charset val="129"/>
          </rPr>
          <t>경험함수에서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관측값과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좋겠어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관측값과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경험함수에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있겠다</t>
        </r>
        <r>
          <rPr>
            <sz val="9"/>
            <color indexed="81"/>
            <rFont val="Tahoma"/>
            <family val="2"/>
          </rPr>
          <t>.</t>
        </r>
      </text>
    </comment>
    <comment ref="E16" authorId="0" shapeId="0" xr:uid="{66794BC1-97E6-4E33-A9CE-BCAAB751F77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49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ㄱㅄ이</t>
        </r>
        <r>
          <rPr>
            <sz val="9"/>
            <color indexed="81"/>
            <rFont val="Tahoma"/>
            <family val="2"/>
          </rPr>
          <t xml:space="preserve"> 79.8</t>
        </r>
        <r>
          <rPr>
            <sz val="9"/>
            <color indexed="81"/>
            <rFont val="돋움"/>
            <family val="3"/>
            <charset val="129"/>
          </rPr>
          <t>퍼센트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I30" authorId="0" shapeId="0" xr:uid="{CB4D981C-D76B-460B-A101-E21803DE9FB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잇으면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곤란하다고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
우리의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유사하다면
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어렵다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주관적판단임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그려봐야함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D2" authorId="0" shapeId="0" xr:uid="{CDE0C68C-011B-43A4-83FD-7480FAD0FCF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33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세팅함</t>
        </r>
        <r>
          <rPr>
            <sz val="9"/>
            <color indexed="81"/>
            <rFont val="Tahoma"/>
            <family val="2"/>
          </rPr>
          <t>.</t>
        </r>
      </text>
    </comment>
    <comment ref="G5" authorId="0" shapeId="0" xr:uid="{6F09B0C6-4B52-4B00-B086-2DA379C80183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(data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>+1)/2</t>
        </r>
      </text>
    </comment>
    <comment ref="F9" authorId="0" shapeId="0" xr:uid="{73FA9741-3584-4182-98A0-C89B8775371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39.5 ~40.5 </t>
        </r>
        <r>
          <rPr>
            <sz val="9"/>
            <color indexed="81"/>
            <rFont val="돋움"/>
            <family val="3"/>
            <charset val="129"/>
          </rPr>
          <t>사이의</t>
        </r>
        <r>
          <rPr>
            <sz val="9"/>
            <color indexed="81"/>
            <rFont val="Tahoma"/>
            <family val="2"/>
          </rPr>
          <t xml:space="preserve"> 1079</t>
        </r>
        <r>
          <rPr>
            <sz val="9"/>
            <color indexed="81"/>
            <rFont val="돋움"/>
            <family val="3"/>
            <charset val="129"/>
          </rPr>
          <t>개중</t>
        </r>
        <r>
          <rPr>
            <sz val="9"/>
            <color indexed="81"/>
            <rFont val="Tahoma"/>
            <family val="2"/>
          </rPr>
          <t xml:space="preserve"> 340</t>
        </r>
        <r>
          <rPr>
            <sz val="9"/>
            <color indexed="81"/>
            <rFont val="돋움"/>
            <family val="3"/>
            <charset val="129"/>
          </rPr>
          <t>번째와</t>
        </r>
        <r>
          <rPr>
            <sz val="9"/>
            <color indexed="81"/>
            <rFont val="Tahoma"/>
            <family val="2"/>
          </rPr>
          <t xml:space="preserve"> 341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</t>
        </r>
      </text>
    </comment>
    <comment ref="H10" authorId="0" shapeId="0" xr:uid="{BAFB75B8-DBF6-4D4C-8C68-3950189FD22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339.5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i</t>
        </r>
        <r>
          <rPr>
            <sz val="9"/>
            <color indexed="81"/>
            <rFont val="돋움"/>
            <family val="3"/>
            <charset val="129"/>
          </rPr>
          <t>번째값에서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구함</t>
        </r>
      </text>
    </comment>
    <comment ref="H15" authorId="0" shapeId="0" xr:uid="{06AA693F-5309-453E-98E0-AD7C4400297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37.5~38.5 </t>
        </r>
        <r>
          <rPr>
            <sz val="9"/>
            <color indexed="81"/>
            <rFont val="돋움"/>
            <family val="3"/>
            <charset val="129"/>
          </rPr>
          <t>사이에서</t>
        </r>
        <r>
          <rPr>
            <sz val="9"/>
            <color indexed="81"/>
            <rFont val="Tahoma"/>
            <family val="2"/>
          </rPr>
          <t xml:space="preserve"> 749</t>
        </r>
        <r>
          <rPr>
            <sz val="9"/>
            <color indexed="81"/>
            <rFont val="돋움"/>
            <family val="3"/>
            <charset val="129"/>
          </rPr>
          <t>등분을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37.5 + 1/749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빠져야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한칸의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더해준거지</t>
        </r>
        <r>
          <rPr>
            <sz val="9"/>
            <color indexed="81"/>
            <rFont val="Tahoma"/>
            <family val="2"/>
          </rPr>
          <t xml:space="preserve">)
10 + 0.5/10 
</t>
        </r>
        <r>
          <rPr>
            <sz val="9"/>
            <color indexed="81"/>
            <rFont val="돋움"/>
            <family val="3"/>
            <charset val="129"/>
          </rPr>
          <t>한칸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늘어나면
</t>
        </r>
        <r>
          <rPr>
            <sz val="9"/>
            <color indexed="81"/>
            <rFont val="Tahoma"/>
            <family val="2"/>
          </rPr>
          <t xml:space="preserve">10 + 1.5/10
10 + 2.5/10 …
</t>
        </r>
        <r>
          <rPr>
            <sz val="9"/>
            <color indexed="81"/>
            <rFont val="돋움"/>
            <family val="3"/>
            <charset val="129"/>
          </rPr>
          <t>일반화시키면</t>
        </r>
        <r>
          <rPr>
            <sz val="9"/>
            <color indexed="81"/>
            <rFont val="Tahoma"/>
            <family val="2"/>
          </rPr>
          <t xml:space="preserve"> 
i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초기값</t>
        </r>
        <r>
          <rPr>
            <sz val="9"/>
            <color indexed="81"/>
            <rFont val="Tahoma"/>
            <family val="2"/>
          </rPr>
          <t xml:space="preserve"> + (0.5*</t>
        </r>
        <r>
          <rPr>
            <sz val="9"/>
            <color indexed="81"/>
            <rFont val="돋움"/>
            <family val="3"/>
            <charset val="129"/>
          </rPr>
          <t>간격</t>
        </r>
        <r>
          <rPr>
            <sz val="9"/>
            <color indexed="81"/>
            <rFont val="Tahoma"/>
            <family val="2"/>
          </rPr>
          <t xml:space="preserve"> + (i-1))/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  <r>
          <rPr>
            <sz val="9"/>
            <color indexed="81"/>
            <rFont val="Tahoma"/>
            <family val="2"/>
          </rPr>
          <t xml:space="preserve">x(i) , x(i+1)
n(i) </t>
        </r>
        <r>
          <rPr>
            <sz val="9"/>
            <color indexed="81"/>
            <rFont val="돋움"/>
            <family val="3"/>
            <charset val="129"/>
          </rPr>
          <t>구간의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  <r>
          <rPr>
            <sz val="9"/>
            <color indexed="81"/>
            <rFont val="Tahoma"/>
            <family val="2"/>
          </rPr>
          <t>x(i) + { ( j</t>
        </r>
        <r>
          <rPr>
            <sz val="9"/>
            <color indexed="81"/>
            <rFont val="돋움"/>
            <family val="3"/>
            <charset val="129"/>
          </rPr>
          <t>번째위치</t>
        </r>
        <r>
          <rPr>
            <sz val="9"/>
            <color indexed="81"/>
            <rFont val="Tahoma"/>
            <family val="2"/>
          </rPr>
          <t>-0.5 ) / n(i) } * ( x(i+1) - x(i) )</t>
        </r>
      </text>
    </comment>
    <comment ref="D17" authorId="0" shapeId="0" xr:uid="{C76C2538-AC9C-4640-ABD7-E561E05C0CE7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48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세팅함</t>
        </r>
      </text>
    </comment>
    <comment ref="J18" authorId="0" shapeId="0" xr:uid="{F8969000-95A2-476B-A442-15AA98F5FA6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해야해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밑에서부터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빼기로들어가야함</t>
        </r>
      </text>
    </comment>
    <comment ref="R25" authorId="0" shapeId="0" xr:uid="{BE5D0487-3179-4811-9E9F-5539F5124E7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계급구간내</t>
        </r>
        <r>
          <rPr>
            <sz val="9"/>
            <color indexed="81"/>
            <rFont val="Tahoma"/>
            <family val="2"/>
          </rPr>
          <t xml:space="preserve"> i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</text>
    </comment>
    <comment ref="R26" authorId="0" shapeId="0" xr:uid="{1BB3C726-DDD6-46BE-BB3E-BF5D4BFE51F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계급구간내</t>
        </r>
        <r>
          <rPr>
            <sz val="9"/>
            <color indexed="81"/>
            <rFont val="Tahoma"/>
            <family val="2"/>
          </rPr>
          <t xml:space="preserve"> i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</text>
    </comment>
    <comment ref="A29" authorId="0" shapeId="0" xr:uid="{E0FC9DF2-3982-48FB-BD2F-B5AED6C0CB4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규칙을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프로그래밍화해서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만드는게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</t>
        </r>
        <r>
          <rPr>
            <sz val="9"/>
            <color indexed="81"/>
            <rFont val="Tahoma"/>
            <family val="2"/>
          </rPr>
          <t>*</t>
        </r>
      </text>
    </comment>
    <comment ref="D35" authorId="0" shapeId="0" xr:uid="{2AD9C7F0-C2B0-43BF-8A5B-8D5F08229E4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35.5~36.5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78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  <comment ref="F35" authorId="0" shapeId="0" xr:uid="{50380120-BD42-4E1B-AF40-0D5ECF144DC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가운데값의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: (325+1)/2 = 163
</t>
        </r>
        <r>
          <rPr>
            <sz val="9"/>
            <color indexed="81"/>
            <rFont val="돋움"/>
            <family val="3"/>
            <charset val="129"/>
          </rPr>
          <t>위에서부터는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사분위수의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
</t>
        </r>
        <r>
          <rPr>
            <sz val="9"/>
            <color indexed="81"/>
            <rFont val="Tahoma"/>
            <family val="2"/>
          </rPr>
          <t>(163+1)/2</t>
        </r>
        <r>
          <rPr>
            <sz val="9"/>
            <color indexed="81"/>
            <rFont val="돋움"/>
            <family val="3"/>
            <charset val="129"/>
          </rPr>
          <t xml:space="preserve">
밑에서부터는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사분위수의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</text>
    </comment>
    <comment ref="H36" authorId="0" shapeId="0" xr:uid="{743DC538-2812-4CBC-AB1F-184003E4F6E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&lt;-37.4236 </t>
        </r>
        <r>
          <rPr>
            <sz val="9"/>
            <color indexed="81"/>
            <rFont val="돋움"/>
            <family val="3"/>
            <charset val="129"/>
          </rPr>
          <t>정도나와야함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수치이상함</t>
        </r>
        <r>
          <rPr>
            <sz val="9"/>
            <color indexed="81"/>
            <rFont val="Tahoma"/>
            <family val="2"/>
          </rPr>
          <t>.</t>
        </r>
      </text>
    </comment>
    <comment ref="C44" authorId="0" shapeId="0" xr:uid="{BF9F5D91-35D2-48A5-9D85-53D9693D5AB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25%,25%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Z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0.75sigma </t>
        </r>
        <r>
          <rPr>
            <sz val="9"/>
            <color indexed="81"/>
            <rFont val="돋움"/>
            <family val="3"/>
            <charset val="129"/>
          </rPr>
          <t>차이해서</t>
        </r>
        <r>
          <rPr>
            <sz val="9"/>
            <color indexed="81"/>
            <rFont val="Tahoma"/>
            <family val="2"/>
          </rPr>
          <t xml:space="preserve"> 1.35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나왓는데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사분위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나눠주면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* </t>
        </r>
      </text>
    </comment>
    <comment ref="H51" authorId="0" shapeId="0" xr:uid="{83E25E92-B0A2-49BD-A3CD-73D1D7AC3A6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자유도추정해보자</t>
        </r>
        <r>
          <rPr>
            <sz val="9"/>
            <color indexed="81"/>
            <rFont val="Tahoma"/>
            <family val="2"/>
          </rPr>
          <t>*
=</t>
        </r>
        <r>
          <rPr>
            <sz val="9"/>
            <color indexed="81"/>
            <rFont val="돋움"/>
            <family val="3"/>
            <charset val="129"/>
          </rPr>
          <t>셀의수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추정된모수의수</t>
        </r>
        <r>
          <rPr>
            <sz val="9"/>
            <color indexed="81"/>
            <rFont val="Tahoma"/>
            <family val="2"/>
          </rPr>
          <t>-1</t>
        </r>
      </text>
    </comment>
    <comment ref="A52" authorId="0" shapeId="0" xr:uid="{B6383D4E-3A7C-4DEF-8B67-C0CCB6603E17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이하</t>
        </r>
      </text>
    </comment>
    <comment ref="A58" authorId="0" shapeId="0" xr:uid="{DEC0F771-E306-40B2-ADE7-8DD9A989344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61" authorId="0" shapeId="0" xr:uid="{9F6C935E-5346-4108-B758-BA0A5C8B349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귀무가설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기각하고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대립가설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채택함
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실제보다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과소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되버릴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상황에서
구간을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추정임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D21" authorId="0" shapeId="0" xr:uid="{892F3D1F-4D98-4E3D-9524-CC9BD69696D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폭이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곱해야하는데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안곱한거고
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폭이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곱해야함</t>
        </r>
        <r>
          <rPr>
            <sz val="9"/>
            <color indexed="81"/>
            <rFont val="Tahoma"/>
            <family val="2"/>
          </rPr>
          <t>.</t>
        </r>
      </text>
    </comment>
    <comment ref="G69" authorId="0" shapeId="0" xr:uid="{3E2D88A6-7B4E-4E1A-94DE-85E3AC164FD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평균과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빼줘야함</t>
        </r>
        <r>
          <rPr>
            <sz val="9"/>
            <color indexed="81"/>
            <rFont val="Tahoma"/>
            <family val="2"/>
          </rPr>
          <t>.</t>
        </r>
      </text>
    </comment>
    <comment ref="G75" authorId="0" shapeId="0" xr:uid="{5770AEB5-0C8B-48BA-B228-CC65B108BD6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유의수준</t>
        </r>
        <r>
          <rPr>
            <sz val="9"/>
            <color indexed="81"/>
            <rFont val="Tahoma"/>
            <family val="2"/>
          </rPr>
          <t xml:space="preserve"> 0.05</t>
        </r>
        <r>
          <rPr>
            <sz val="9"/>
            <color indexed="81"/>
            <rFont val="돋움"/>
            <family val="3"/>
            <charset val="129"/>
          </rPr>
          <t>하에서의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기각치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A1" authorId="0" shapeId="0" xr:uid="{8CBAE788-E192-428C-A545-38122002DA3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직선에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..
1) </t>
        </r>
        <r>
          <rPr>
            <sz val="9"/>
            <color indexed="81"/>
            <rFont val="돋움"/>
            <family val="3"/>
            <charset val="129"/>
          </rPr>
          <t>다른것에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직선위에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분포함</t>
        </r>
        <r>
          <rPr>
            <sz val="9"/>
            <color indexed="81"/>
            <rFont val="Tahoma"/>
            <family val="2"/>
          </rPr>
          <t xml:space="preserve">*
2) </t>
        </r>
        <r>
          <rPr>
            <sz val="9"/>
            <color indexed="81"/>
            <rFont val="돋움"/>
            <family val="3"/>
            <charset val="129"/>
          </rPr>
          <t>두번째는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구비쳐져있음</t>
        </r>
        <r>
          <rPr>
            <sz val="9"/>
            <color indexed="81"/>
            <rFont val="Tahoma"/>
            <family val="2"/>
          </rPr>
          <t>*
-&gt; S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표준편차는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그래
</t>
        </r>
        <r>
          <rPr>
            <sz val="9"/>
            <color indexed="81"/>
            <rFont val="Tahoma"/>
            <family val="2"/>
          </rPr>
          <t xml:space="preserve">70,130 </t>
        </r>
        <r>
          <rPr>
            <sz val="9"/>
            <color indexed="81"/>
            <rFont val="돋움"/>
            <family val="3"/>
            <charset val="129"/>
          </rPr>
          <t>평균내면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돋움"/>
            <family val="3"/>
            <charset val="129"/>
          </rPr>
          <t>근처값이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되야하거든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가운데가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되야하거든요
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 -&gt; 70,130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쌍봉형분포일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>*
(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솟아있지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 xml:space="preserve">)
3) </t>
        </r>
        <r>
          <rPr>
            <sz val="9"/>
            <color indexed="81"/>
            <rFont val="돋움"/>
            <family val="3"/>
            <charset val="129"/>
          </rPr>
          <t>양쪽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끝에</t>
        </r>
        <r>
          <rPr>
            <sz val="9"/>
            <color indexed="81"/>
            <rFont val="Tahoma"/>
            <family val="2"/>
          </rPr>
          <t xml:space="preserve"> 10,180 </t>
        </r>
        <r>
          <rPr>
            <sz val="9"/>
            <color indexed="81"/>
            <rFont val="돋움"/>
            <family val="3"/>
            <charset val="129"/>
          </rPr>
          <t>집어넣었잖아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뒤틀림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표준편차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뒤틀림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직선으로부터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뚝뚣ㄱ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-&gt;</t>
        </r>
        <r>
          <rPr>
            <sz val="9"/>
            <color indexed="81"/>
            <rFont val="돋움"/>
            <family val="3"/>
            <charset val="129"/>
          </rPr>
          <t>이상치가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있겠구나</t>
        </r>
        <r>
          <rPr>
            <sz val="9"/>
            <color indexed="81"/>
            <rFont val="Tahoma"/>
            <family val="2"/>
          </rPr>
          <t xml:space="preserve">!
4) 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그나마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정규분포의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가운데가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뾰족하다가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보기보단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좌우대칭이다가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특성이기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균일분포를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그렸을때도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달라진건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가운데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직선의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가운데를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봤을때
</t>
        </r>
        <r>
          <rPr>
            <sz val="9"/>
            <color indexed="81"/>
            <rFont val="Tahoma"/>
            <family val="2"/>
          </rPr>
          <t>case1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가운데에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>. -&gt;</t>
        </r>
        <r>
          <rPr>
            <sz val="9"/>
            <color indexed="81"/>
            <rFont val="돋움"/>
            <family val="3"/>
            <charset val="129"/>
          </rPr>
          <t>균일분포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꼬리가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두터운분포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case1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가운데에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정규분포
</t>
        </r>
        <r>
          <rPr>
            <sz val="9"/>
            <color indexed="81"/>
            <rFont val="Tahoma"/>
            <family val="2"/>
          </rPr>
          <t>case1,4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**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따를때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직선으로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되어있음</t>
        </r>
        <r>
          <rPr>
            <sz val="9"/>
            <color indexed="81"/>
            <rFont val="Tahoma"/>
            <family val="2"/>
          </rPr>
          <t xml:space="preserve">)
** Q-Q plot </t>
        </r>
        <r>
          <rPr>
            <sz val="9"/>
            <color indexed="81"/>
            <rFont val="돋움"/>
            <family val="3"/>
            <charset val="129"/>
          </rPr>
          <t>그리면서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보아야함</t>
        </r>
        <r>
          <rPr>
            <sz val="9"/>
            <color indexed="81"/>
            <rFont val="Tahoma"/>
            <family val="2"/>
          </rPr>
          <t>.</t>
        </r>
      </text>
    </comment>
    <comment ref="K45" authorId="0" shapeId="0" xr:uid="{45C5A992-87CC-4F10-A2FC-F2A65AC5702C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검정에는</t>
        </r>
        <r>
          <rPr>
            <sz val="9"/>
            <color indexed="81"/>
            <rFont val="Tahoma"/>
            <family val="2"/>
          </rPr>
          <t xml:space="preserve"> qq plot</t>
        </r>
        <r>
          <rPr>
            <sz val="9"/>
            <color indexed="81"/>
            <rFont val="돋움"/>
            <family val="3"/>
            <charset val="129"/>
          </rPr>
          <t>이나</t>
        </r>
        <r>
          <rPr>
            <sz val="9"/>
            <color indexed="81"/>
            <rFont val="Tahoma"/>
            <family val="2"/>
          </rPr>
          <t xml:space="preserve"> drrs</t>
        </r>
        <r>
          <rPr>
            <sz val="9"/>
            <color indexed="81"/>
            <rFont val="돋움"/>
            <family val="3"/>
            <charset val="129"/>
          </rPr>
          <t xml:space="preserve">이용하는건
</t>
        </r>
        <r>
          <rPr>
            <sz val="9"/>
            <color indexed="81"/>
            <rFont val="Tahoma"/>
            <family val="2"/>
          </rPr>
          <t xml:space="preserve">drrs, </t>
        </r>
        <r>
          <rPr>
            <sz val="9"/>
            <color indexed="81"/>
            <rFont val="돋움"/>
            <family val="3"/>
            <charset val="129"/>
          </rPr>
          <t>검정을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카이제곱값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검정정도
콜모고르프는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많을때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있지
</t>
        </r>
        <r>
          <rPr>
            <sz val="9"/>
            <color indexed="81"/>
            <rFont val="Tahoma"/>
            <family val="2"/>
          </rPr>
          <t>case1 -&gt;</t>
        </r>
        <r>
          <rPr>
            <sz val="9"/>
            <color indexed="81"/>
            <rFont val="돋움"/>
            <family val="3"/>
            <charset val="129"/>
          </rPr>
          <t>귀무가설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받아들임
</t>
        </r>
        <r>
          <rPr>
            <sz val="9"/>
            <color indexed="81"/>
            <rFont val="Tahoma"/>
            <family val="2"/>
          </rPr>
          <t xml:space="preserve">case2,case3 -&gt; </t>
        </r>
        <r>
          <rPr>
            <sz val="9"/>
            <color indexed="81"/>
            <rFont val="돋움"/>
            <family val="3"/>
            <charset val="129"/>
          </rPr>
          <t>귀무가설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안받아들임
</t>
        </r>
        <r>
          <rPr>
            <sz val="9"/>
            <color indexed="81"/>
            <rFont val="Tahoma"/>
            <family val="2"/>
          </rPr>
          <t xml:space="preserve">case4 -&gt; </t>
        </r>
        <r>
          <rPr>
            <sz val="9"/>
            <color indexed="81"/>
            <rFont val="돋움"/>
            <family val="3"/>
            <charset val="129"/>
          </rPr>
          <t>받아들일수도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받아들일수도
케이스가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샤피로를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받아들이는게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정확하겠지
</t>
        </r>
        <r>
          <rPr>
            <sz val="9"/>
            <color indexed="81"/>
            <rFont val="Tahoma"/>
            <family val="2"/>
          </rPr>
          <t>case2,case3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정규분포따르기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어렵고
나머진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통계량을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썼냐에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달라지지
그래서</t>
        </r>
        <r>
          <rPr>
            <sz val="9"/>
            <color indexed="81"/>
            <rFont val="Tahoma"/>
            <family val="2"/>
          </rPr>
          <t xml:space="preserve"> case4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헷깔릴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없거든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정규분포에서
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좌우대칭이라서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그런거임</t>
        </r>
        <r>
          <rPr>
            <sz val="9"/>
            <color indexed="81"/>
            <rFont val="Tahoma"/>
            <family val="2"/>
          </rPr>
          <t>!</t>
        </r>
      </text>
    </comment>
    <comment ref="A57" authorId="0" shapeId="0" xr:uid="{A764F8B2-D337-487D-AF85-B92CCB5468E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변수변환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무슨분포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따르는지</t>
        </r>
        <r>
          <rPr>
            <sz val="9"/>
            <color indexed="81"/>
            <rFont val="Tahoma"/>
            <family val="2"/>
          </rPr>
          <t xml:space="preserve"> ? -&gt; q-q plot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</text>
    </comment>
    <comment ref="A61" authorId="0" shapeId="0" xr:uid="{85C93431-5B31-41A4-9D37-15B4E7FA9F53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검정해보고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분석해보겠다는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의미임
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예시가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것임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<sst xmlns="http://schemas.openxmlformats.org/spreadsheetml/2006/main" count="320" uniqueCount="281">
  <si>
    <t>자료1</t>
    <phoneticPr fontId="2" type="noConversion"/>
  </si>
  <si>
    <t>자료2</t>
    <phoneticPr fontId="2" type="noConversion"/>
  </si>
  <si>
    <t>자료3</t>
    <phoneticPr fontId="2" type="noConversion"/>
  </si>
  <si>
    <t>Q1</t>
    <phoneticPr fontId="2" type="noConversion"/>
  </si>
  <si>
    <t>M</t>
    <phoneticPr fontId="2" type="noConversion"/>
  </si>
  <si>
    <t>Q3</t>
    <phoneticPr fontId="2" type="noConversion"/>
  </si>
  <si>
    <t>좌우대칭이면 H(l)+Hu /2 과 M이 일치할 것이다.</t>
    <phoneticPr fontId="2" type="noConversion"/>
  </si>
  <si>
    <t>그래서 p=1이 되니까 변환할 이유가 없다는 의미이다</t>
    <phoneticPr fontId="2" type="noConversion"/>
  </si>
  <si>
    <t>(이 건 사분위 범위 안에서 보는 거야. 윗부분에 의해 결정이 남)</t>
    <phoneticPr fontId="2" type="noConversion"/>
  </si>
  <si>
    <t>대칭성P (프린트참고)</t>
    <phoneticPr fontId="2" type="noConversion"/>
  </si>
  <si>
    <t>양쪽끝의 위치는 데이터의 크기마다 바뀔 수 있는데.</t>
    <phoneticPr fontId="2" type="noConversion"/>
  </si>
  <si>
    <t>log(M)</t>
    <phoneticPr fontId="2" type="noConversion"/>
  </si>
  <si>
    <t>log(SPR(H))</t>
    <phoneticPr fontId="2" type="noConversion"/>
  </si>
  <si>
    <t>기울기</t>
    <phoneticPr fontId="2" type="noConversion"/>
  </si>
  <si>
    <t>p값=1-기울기</t>
    <phoneticPr fontId="2" type="noConversion"/>
  </si>
  <si>
    <t>0.3정도 나옴 =&gt;세제곱근을 씌우는게 좋겠다.</t>
    <phoneticPr fontId="2" type="noConversion"/>
  </si>
  <si>
    <t>이론적으로 이렇게 나왔다는 걸 보여주는 것임.</t>
    <phoneticPr fontId="2" type="noConversion"/>
  </si>
  <si>
    <t>log580</t>
    <phoneticPr fontId="2" type="noConversion"/>
  </si>
  <si>
    <t>log9075</t>
    <phoneticPr fontId="2" type="noConversion"/>
  </si>
  <si>
    <t>log10015</t>
    <phoneticPr fontId="2" type="noConversion"/>
  </si>
  <si>
    <t>log386.5</t>
    <phoneticPr fontId="2" type="noConversion"/>
  </si>
  <si>
    <t>log1935</t>
    <phoneticPr fontId="2" type="noConversion"/>
  </si>
  <si>
    <t>log5750</t>
    <phoneticPr fontId="2" type="noConversion"/>
  </si>
  <si>
    <t>log5750-log386.5   / log10015-log580   = star</t>
    <phoneticPr fontId="2" type="noConversion"/>
  </si>
  <si>
    <t xml:space="preserve">star = 1 - p = 0.7   </t>
    <phoneticPr fontId="2" type="noConversion"/>
  </si>
  <si>
    <t>따라서 p=0.3정도. 삼제곱근을 하는 것이 좋아보인다.</t>
    <phoneticPr fontId="2" type="noConversion"/>
  </si>
  <si>
    <t>** 왼쪽 계산이 교수님꺼랑 약간 달라서 칠판 필기를 옮겨옴(다시공부해보기)</t>
    <phoneticPr fontId="2" type="noConversion"/>
  </si>
  <si>
    <t>포아송분포인지 아닌지?</t>
    <phoneticPr fontId="2" type="noConversion"/>
  </si>
  <si>
    <t>카이제곱</t>
    <phoneticPr fontId="2" type="noConversion"/>
  </si>
  <si>
    <t>주사위는 공정한가?</t>
    <phoneticPr fontId="2" type="noConversion"/>
  </si>
  <si>
    <t>공정한 주사위라면 여섯개의 눈이 나올 가능성이 같다고 기대하겠죠</t>
    <phoneticPr fontId="2" type="noConversion"/>
  </si>
  <si>
    <t xml:space="preserve">주사위 눈 </t>
    <phoneticPr fontId="2" type="noConversion"/>
  </si>
  <si>
    <t>기대값</t>
    <phoneticPr fontId="2" type="noConversion"/>
  </si>
  <si>
    <t>실제조사값</t>
    <phoneticPr fontId="2" type="noConversion"/>
  </si>
  <si>
    <t>&lt;- chi-squared</t>
    <phoneticPr fontId="2" type="noConversion"/>
  </si>
  <si>
    <t>자유도</t>
    <phoneticPr fontId="2" type="noConversion"/>
  </si>
  <si>
    <t>셀의 크기 - 1</t>
    <phoneticPr fontId="2" type="noConversion"/>
  </si>
  <si>
    <t>여기선 5 임</t>
    <phoneticPr fontId="2" type="noConversion"/>
  </si>
  <si>
    <t>누적과 누적분포함수는 작거나 같은쪽의 면적 확률을 의미한다.</t>
    <phoneticPr fontId="2" type="noConversion"/>
  </si>
  <si>
    <t>귀무가설이 참이라는 전제하에 지금 나타난 상황이 일어난 상황보다 더 극단적으로 이상한 사건이 일어날 확률</t>
    <phoneticPr fontId="2" type="noConversion"/>
  </si>
  <si>
    <t>가설검정 하에서</t>
    <phoneticPr fontId="2" type="noConversion"/>
  </si>
  <si>
    <t>유의확률</t>
    <phoneticPr fontId="2" type="noConversion"/>
  </si>
  <si>
    <t>귀무가설</t>
    <phoneticPr fontId="2" type="noConversion"/>
  </si>
  <si>
    <t>모든 주사위 눈이 나올 확률이 1/6이다</t>
    <phoneticPr fontId="2" type="noConversion"/>
  </si>
  <si>
    <t>대립가설</t>
    <phoneticPr fontId="2" type="noConversion"/>
  </si>
  <si>
    <t>어떤 하나라도 1/6이 안나올 수 있다.</t>
    <phoneticPr fontId="2" type="noConversion"/>
  </si>
  <si>
    <t>기대값과 실제값의 차이가 거의 차이가 안나길 바라는 게 귀무가설</t>
    <phoneticPr fontId="2" type="noConversion"/>
  </si>
  <si>
    <t>그러니까 카이스퀘어 값이 거의 0에 가깝길 바라는 게 귀무가설이지</t>
    <phoneticPr fontId="2" type="noConversion"/>
  </si>
  <si>
    <t>귀무가설이 참일때 더 극단적이 나올 확률이 유의확률이잖아</t>
    <phoneticPr fontId="2" type="noConversion"/>
  </si>
  <si>
    <t>그러니까 귀무가설이 참이 아니라면 0.6667이 커져야 하는 거거든</t>
    <phoneticPr fontId="2" type="noConversion"/>
  </si>
  <si>
    <t xml:space="preserve">넓이를 구한다하면 바깥쪽을 구해야한다. </t>
    <phoneticPr fontId="2" type="noConversion"/>
  </si>
  <si>
    <t>엑셀엔 아랫쪽 넓이가 나오는거지. 그러니까 엑셀에서 계산할때 조심하기</t>
    <phoneticPr fontId="2" type="noConversion"/>
  </si>
  <si>
    <t>유의확률이 0.984748임. 카이스퀘어 유의확률 구할때 조심하기!</t>
    <phoneticPr fontId="2" type="noConversion"/>
  </si>
  <si>
    <t>유의확률이 0.984748이므로 유의수준 5퍼센트하에서 귀무가설을 기각할수 없으므로</t>
    <phoneticPr fontId="2" type="noConversion"/>
  </si>
  <si>
    <t>주사위는 공정하다는 입장을 계속 유지한다.</t>
    <phoneticPr fontId="2" type="noConversion"/>
  </si>
  <si>
    <t>x</t>
    <phoneticPr fontId="2" type="noConversion"/>
  </si>
  <si>
    <t>4+</t>
    <phoneticPr fontId="2" type="noConversion"/>
  </si>
  <si>
    <t>포아송 : 단위 안에서 일어난 횟수에 관심이 있죠. 여기서 X는 횟수에 관한 확률변수라고 합시다.</t>
    <phoneticPr fontId="2" type="noConversion"/>
  </si>
  <si>
    <t>관측된 값</t>
    <phoneticPr fontId="2" type="noConversion"/>
  </si>
  <si>
    <t>ToTal</t>
    <phoneticPr fontId="2" type="noConversion"/>
  </si>
  <si>
    <t>확률밀도함수(X범위에맞춤)</t>
    <phoneticPr fontId="2" type="noConversion"/>
  </si>
  <si>
    <t>(누적분포함수)</t>
    <phoneticPr fontId="2" type="noConversion"/>
  </si>
  <si>
    <t>기대값(확률*N)</t>
    <phoneticPr fontId="2" type="noConversion"/>
  </si>
  <si>
    <t>&lt;= 카이스퀘어검정통계량</t>
    <phoneticPr fontId="2" type="noConversion"/>
  </si>
  <si>
    <t>루트(2+4*관측값)</t>
    <phoneticPr fontId="2" type="noConversion"/>
  </si>
  <si>
    <t>루트(1+4*기대값)</t>
    <phoneticPr fontId="2" type="noConversion"/>
  </si>
  <si>
    <t>DRRS</t>
    <phoneticPr fontId="2" type="noConversion"/>
  </si>
  <si>
    <t>관측값과 기대값의 차이를 이용</t>
    <phoneticPr fontId="2" type="noConversion"/>
  </si>
  <si>
    <t xml:space="preserve"> </t>
    <phoneticPr fontId="2" type="noConversion"/>
  </si>
  <si>
    <t>DRRS(2배 제곱근의 잔차)</t>
    <phoneticPr fontId="2" type="noConversion"/>
  </si>
  <si>
    <t>1. 카이제곱검정</t>
    <phoneticPr fontId="2" type="noConversion"/>
  </si>
  <si>
    <t>2. DRRS(잔차)를 이용해서 +-2를 벗어나는 값이 있는지 아닌지를 확인해보자.</t>
    <phoneticPr fontId="2" type="noConversion"/>
  </si>
  <si>
    <t>포아송분포를 따른다고 해도 괜찮겠다.</t>
    <phoneticPr fontId="2" type="noConversion"/>
  </si>
  <si>
    <t>(꼭 유의확률을 구할 필요는 없겠다)</t>
    <phoneticPr fontId="2" type="noConversion"/>
  </si>
  <si>
    <t>포아송분포인가?</t>
    <phoneticPr fontId="2" type="noConversion"/>
  </si>
  <si>
    <t>X</t>
    <phoneticPr fontId="2" type="noConversion"/>
  </si>
  <si>
    <t>6+</t>
    <phoneticPr fontId="2" type="noConversion"/>
  </si>
  <si>
    <t>평균</t>
    <phoneticPr fontId="2" type="noConversion"/>
  </si>
  <si>
    <t>관측값</t>
    <phoneticPr fontId="2" type="noConversion"/>
  </si>
  <si>
    <t>관측개수</t>
    <phoneticPr fontId="2" type="noConversion"/>
  </si>
  <si>
    <t>루트(2+4*관측값)</t>
    <phoneticPr fontId="2" type="noConversion"/>
  </si>
  <si>
    <t>관측값</t>
    <phoneticPr fontId="2" type="noConversion"/>
  </si>
  <si>
    <t>관측개수</t>
    <phoneticPr fontId="2" type="noConversion"/>
  </si>
  <si>
    <t>평균(모름)</t>
    <phoneticPr fontId="2" type="noConversion"/>
  </si>
  <si>
    <t>기대값=N*p</t>
    <phoneticPr fontId="2" type="noConversion"/>
  </si>
  <si>
    <t>DRRS의제곱</t>
    <phoneticPr fontId="2" type="noConversion"/>
  </si>
  <si>
    <t>&lt;DRRS 제곱합</t>
    <phoneticPr fontId="2" type="noConversion"/>
  </si>
  <si>
    <t>수리적입 방식으로 잘 풀어보면 이 값도 카이제곱값을 따름</t>
    <phoneticPr fontId="2" type="noConversion"/>
  </si>
  <si>
    <t>둘다 카이제곱을 따름</t>
    <phoneticPr fontId="2" type="noConversion"/>
  </si>
  <si>
    <t>잔차의제곱합*</t>
    <phoneticPr fontId="2" type="noConversion"/>
  </si>
  <si>
    <t>정규분포에 근거해서 구한 카이제곱이고</t>
    <phoneticPr fontId="2" type="noConversion"/>
  </si>
  <si>
    <t>정통적인 방법으로 써서 정통적으로 구한 것</t>
    <phoneticPr fontId="2" type="noConversion"/>
  </si>
  <si>
    <t>np&gt;=5 이상인 뭐 기본적 조건과 맞물려서 위가 저런 조건을 만족</t>
    <phoneticPr fontId="2" type="noConversion"/>
  </si>
  <si>
    <t>주의:E(i)가 5미만이 셀(칸)이 전체셀 (k개)의 20%를 넘어가면 안됨</t>
    <phoneticPr fontId="2" type="noConversion"/>
  </si>
  <si>
    <t>저때는 : Fisher의 정확검정*</t>
    <phoneticPr fontId="2" type="noConversion"/>
  </si>
  <si>
    <t>근데 이건 비모수검정법이라,</t>
    <phoneticPr fontId="2" type="noConversion"/>
  </si>
  <si>
    <t>이거 하기 싫으면 X의 범위를 늘려서 범주를 합해주는 거지!</t>
    <phoneticPr fontId="2" type="noConversion"/>
  </si>
  <si>
    <t>(근데 사실 정보력이 상실된다는 문제점을 가진다는 단점이 있음)</t>
    <phoneticPr fontId="2" type="noConversion"/>
  </si>
  <si>
    <t>카이제곱(k-1의자유도를 가짐)</t>
    <phoneticPr fontId="2" type="noConversion"/>
  </si>
  <si>
    <t>전체합계</t>
    <phoneticPr fontId="2" type="noConversion"/>
  </si>
  <si>
    <t>분포문제를 다룰때 우리는 모수를 추정하게 됨(E(i))</t>
    <phoneticPr fontId="2" type="noConversion"/>
  </si>
  <si>
    <t>그래서 카이제곱분포는 k-1개의 셀이 자유도가 되는데, 거기에 p개의 모수를 빼야함** (주의)</t>
    <phoneticPr fontId="2" type="noConversion"/>
  </si>
  <si>
    <t>그래서 카이제곱의 모수는 k-1-p</t>
    <phoneticPr fontId="2" type="noConversion"/>
  </si>
  <si>
    <t>(평균 하나 추정했으니까 1을 한번 더 빼줘야함)</t>
    <phoneticPr fontId="2" type="noConversion"/>
  </si>
  <si>
    <t>=15-1-1</t>
    <phoneticPr fontId="2" type="noConversion"/>
  </si>
  <si>
    <t>자유도</t>
    <phoneticPr fontId="2" type="noConversion"/>
  </si>
  <si>
    <t>유의확률</t>
    <phoneticPr fontId="2" type="noConversion"/>
  </si>
  <si>
    <t>=1-chisq.dist(H63, 13, TRUE)</t>
    <phoneticPr fontId="2" type="noConversion"/>
  </si>
  <si>
    <t>귀무가설</t>
    <phoneticPr fontId="2" type="noConversion"/>
  </si>
  <si>
    <t>포아송분포이다</t>
    <phoneticPr fontId="2" type="noConversion"/>
  </si>
  <si>
    <t>대립가설</t>
    <phoneticPr fontId="2" type="noConversion"/>
  </si>
  <si>
    <t>포아송분포가 아니다</t>
    <phoneticPr fontId="2" type="noConversion"/>
  </si>
  <si>
    <t>유의수준 5%에서 유의확률이 약 13.4%이므로 귀무가설을 채택한다</t>
    <phoneticPr fontId="2" type="noConversion"/>
  </si>
  <si>
    <t>전체적인 양상은 포아송을 따르는데, 하나 튀는 값이 생기는데 그게 8이라는 관측치(DRRS가 큼)인데</t>
    <phoneticPr fontId="2" type="noConversion"/>
  </si>
  <si>
    <t>기대보다 좀 푹 꺼진 모양이겠네*</t>
    <phoneticPr fontId="2" type="noConversion"/>
  </si>
  <si>
    <t>그래서 완벽하게 포아송분포라고 확정짓기엔 문제가 있어 보인다</t>
    <phoneticPr fontId="2" type="noConversion"/>
  </si>
  <si>
    <t>*통계학자는 다 모르니까 이정도로 말을 해야한다*</t>
    <phoneticPr fontId="2" type="noConversion"/>
  </si>
  <si>
    <t>정규분포를 따른다</t>
    <phoneticPr fontId="2" type="noConversion"/>
  </si>
  <si>
    <t>정규분포를 따르지 않는다</t>
    <phoneticPr fontId="2" type="noConversion"/>
  </si>
  <si>
    <t>정규분포를 따르는가?</t>
    <phoneticPr fontId="2" type="noConversion"/>
  </si>
  <si>
    <t>저항있는 평균</t>
    <phoneticPr fontId="2" type="noConversion"/>
  </si>
  <si>
    <t>저항있는 표준편차</t>
    <phoneticPr fontId="2" type="noConversion"/>
  </si>
  <si>
    <t>경험적누적분포이용</t>
    <phoneticPr fontId="2" type="noConversion"/>
  </si>
  <si>
    <t>정규분포를 따를때 확률밀도함수이용</t>
    <phoneticPr fontId="2" type="noConversion"/>
  </si>
  <si>
    <t>N</t>
    <phoneticPr fontId="2" type="noConversion"/>
  </si>
  <si>
    <t>자료순번</t>
    <phoneticPr fontId="2" type="noConversion"/>
  </si>
  <si>
    <t>경험함수에 근거하여 평균 28, 표준편차 25인 분포를 따른다면 해당위치의 실제값은?</t>
    <phoneticPr fontId="2" type="noConversion"/>
  </si>
  <si>
    <t>&gt;&gt; 그래서 DRRS를 쓰는거, 잔차가 +-2가 넘는지 안넘는지 확인하는게 좋다*</t>
    <phoneticPr fontId="2" type="noConversion"/>
  </si>
  <si>
    <t>mid값</t>
    <phoneticPr fontId="2" type="noConversion"/>
  </si>
  <si>
    <t xml:space="preserve">Norm.dist, Norm.inst 잘 써야하고 / 위치를 변경해서 실제로 정규분포를 따르는지 봐서 정규분포 얘기하는거고/포아송에서 중요한 것은 drrs -&gt; 표준정규분포, </t>
    <phoneticPr fontId="2" type="noConversion"/>
  </si>
  <si>
    <t>그래프가 직선형태는 아닌 것 같다. 그래서 정규분포라고 얘기하기가 약간 어려운 상태처럼 보인다.</t>
    <phoneticPr fontId="2" type="noConversion"/>
  </si>
  <si>
    <t>직선위에 있는지 아닌지 그냥 육안으로 보긴 어려워서 추세선을 그려보자</t>
    <phoneticPr fontId="2" type="noConversion"/>
  </si>
  <si>
    <t>경험함수에 근거한 표준화값</t>
    <phoneticPr fontId="2" type="noConversion"/>
  </si>
  <si>
    <t>이 데이터 값은 spss와 똑같은 결과로 나옴(Q-Q plot)</t>
    <phoneticPr fontId="2" type="noConversion"/>
  </si>
  <si>
    <t>구간(상한)</t>
    <phoneticPr fontId="2" type="noConversion"/>
  </si>
  <si>
    <t>47.5~</t>
    <phoneticPr fontId="2" type="noConversion"/>
  </si>
  <si>
    <t>~33.5</t>
    <phoneticPr fontId="2" type="noConversion"/>
  </si>
  <si>
    <t xml:space="preserve"> 계급중앙값</t>
    <phoneticPr fontId="2" type="noConversion"/>
  </si>
  <si>
    <t>1사분위수의 위치</t>
    <phoneticPr fontId="2" type="noConversion"/>
  </si>
  <si>
    <t>중앙값의 위치</t>
    <phoneticPr fontId="2" type="noConversion"/>
  </si>
  <si>
    <t>3사분위수의 위치</t>
    <phoneticPr fontId="2" type="noConversion"/>
  </si>
  <si>
    <t>누적N</t>
    <phoneticPr fontId="2" type="noConversion"/>
  </si>
  <si>
    <t>짝수개인 상황</t>
    <phoneticPr fontId="2" type="noConversion"/>
  </si>
  <si>
    <t>데이터개수가 4라면 두번째와 세번째가 중앙값 계산 재료가 되는데</t>
    <phoneticPr fontId="2" type="noConversion"/>
  </si>
  <si>
    <t>공식화=(4+1)/2=2.5</t>
    <phoneticPr fontId="2" type="noConversion"/>
  </si>
  <si>
    <t>데이터갯수가 5라면 3번째</t>
    <phoneticPr fontId="2" type="noConversion"/>
  </si>
  <si>
    <t>공식화 = (5+1)/2=3</t>
    <phoneticPr fontId="2" type="noConversion"/>
  </si>
  <si>
    <t>20과 21 사이에 데이터가 10개가 있다</t>
    <phoneticPr fontId="2" type="noConversion"/>
  </si>
  <si>
    <t>20과 21 사이에 데이터가 1개가 있다</t>
    <phoneticPr fontId="2" type="noConversion"/>
  </si>
  <si>
    <t>20.5쯤에 있다고 보는게 합리적이지만 밑의 케이스는 아니야</t>
    <phoneticPr fontId="2" type="noConversion"/>
  </si>
  <si>
    <t>1이라는간격에서 10등분을 해줌</t>
    <phoneticPr fontId="2" type="noConversion"/>
  </si>
  <si>
    <t>만약5라는 간격이면 5/20 등분 해주면 되겠지</t>
    <phoneticPr fontId="2" type="noConversion"/>
  </si>
  <si>
    <t>10개중에 첫번째값에 있다고 하면 20+0.1 이라고 하자</t>
    <phoneticPr fontId="2" type="noConversion"/>
  </si>
  <si>
    <t>그럼 20이란 데이터는 또 빠지는거잖아요</t>
    <phoneticPr fontId="2" type="noConversion"/>
  </si>
  <si>
    <t>그럼 20이란 데이터를 넣어주고 싶어서 그 안에서 절반을 나눈 간격에 데이터가 있다고 보자</t>
    <phoneticPr fontId="2" type="noConversion"/>
  </si>
  <si>
    <t>20+2/10+1/(10*2)</t>
    <phoneticPr fontId="2" type="noConversion"/>
  </si>
  <si>
    <t>세번째값</t>
    <phoneticPr fontId="2" type="noConversion"/>
  </si>
  <si>
    <t>20+3/10+1/(10*2)</t>
    <phoneticPr fontId="2" type="noConversion"/>
  </si>
  <si>
    <t>…</t>
    <phoneticPr fontId="2" type="noConversion"/>
  </si>
  <si>
    <t>i번째값</t>
    <phoneticPr fontId="2" type="noConversion"/>
  </si>
  <si>
    <t>20+i/10+1/(10*2)</t>
    <phoneticPr fontId="2" type="noConversion"/>
  </si>
  <si>
    <t>i는 10까지</t>
    <phoneticPr fontId="2" type="noConversion"/>
  </si>
  <si>
    <t>그럼 두번째값은 20+1/10+1/(10*2)</t>
    <phoneticPr fontId="2" type="noConversion"/>
  </si>
  <si>
    <t>네번째값</t>
    <phoneticPr fontId="2" type="noConversion"/>
  </si>
  <si>
    <t>첫번째값</t>
    <phoneticPr fontId="2" type="noConversion"/>
  </si>
  <si>
    <t>20+0/10+1/(10*2)</t>
    <phoneticPr fontId="2" type="noConversion"/>
  </si>
  <si>
    <t>공식화</t>
    <phoneticPr fontId="2" type="noConversion"/>
  </si>
  <si>
    <t>x1 + [ (i-1)/계급구간내자료개수 + 1/2*1(/계급구간내자료의개수) ]</t>
    <phoneticPr fontId="2" type="noConversion"/>
  </si>
  <si>
    <t>&lt;=39.5 ~40.5 사이의 1079개중 340번째와 341번째 값을 찾고 싶다</t>
    <phoneticPr fontId="2" type="noConversion"/>
  </si>
  <si>
    <t>340번째값</t>
    <phoneticPr fontId="2" type="noConversion"/>
  </si>
  <si>
    <t>39.5 + 339.5/1079*1(폭 1을 곱해야함)</t>
    <phoneticPr fontId="2" type="noConversion"/>
  </si>
  <si>
    <t>339.5의 데이터 값이 나온 근거</t>
    <phoneticPr fontId="2" type="noConversion"/>
  </si>
  <si>
    <t>&gt;&gt;&gt;&gt;</t>
    <phoneticPr fontId="2" type="noConversion"/>
  </si>
  <si>
    <t>341번째 값</t>
    <phoneticPr fontId="2" type="noConversion"/>
  </si>
  <si>
    <t>39.5 + 340.5/1079*1(폭 1을 곱해야함)</t>
    <phoneticPr fontId="2" type="noConversion"/>
  </si>
  <si>
    <t>&lt;=44.5 ~ 45.5 사이의  50개 중</t>
    <phoneticPr fontId="2" type="noConversion"/>
  </si>
  <si>
    <t>1434번째 값</t>
    <phoneticPr fontId="2" type="noConversion"/>
  </si>
  <si>
    <t>1435번째 값</t>
    <phoneticPr fontId="2" type="noConversion"/>
  </si>
  <si>
    <t>=41.5에서부터 빠져야함</t>
    <phoneticPr fontId="2" type="noConversion"/>
  </si>
  <si>
    <t>&lt;=37.5 ~ 38.5 사이의 185개중 1435번째 값 찾아보기</t>
    <phoneticPr fontId="2" type="noConversion"/>
  </si>
  <si>
    <t>=41.5-238.5/934</t>
    <phoneticPr fontId="2" type="noConversion"/>
  </si>
  <si>
    <t>누적</t>
    <phoneticPr fontId="2" type="noConversion"/>
  </si>
  <si>
    <t>중앙값</t>
    <phoneticPr fontId="2" type="noConversion"/>
  </si>
  <si>
    <t>1사분위수</t>
    <phoneticPr fontId="2" type="noConversion"/>
  </si>
  <si>
    <t>3사분위수</t>
    <phoneticPr fontId="2" type="noConversion"/>
  </si>
  <si>
    <t>몇번째값?</t>
    <phoneticPr fontId="2" type="noConversion"/>
  </si>
  <si>
    <t>** 다시풀어보기</t>
    <phoneticPr fontId="2" type="noConversion"/>
  </si>
  <si>
    <t>34.5~35.5사이에서 22번째 값이 1사분위수</t>
    <phoneticPr fontId="2" type="noConversion"/>
  </si>
  <si>
    <t>35.5~36.5 사이에서 78번째값이 중앙값</t>
    <phoneticPr fontId="2" type="noConversion"/>
  </si>
  <si>
    <t>37.5~36.5사이에서 7버내값이 3사분위수</t>
    <phoneticPr fontId="2" type="noConversion"/>
  </si>
  <si>
    <t>저항성 있는 평균</t>
    <phoneticPr fontId="2" type="noConversion"/>
  </si>
  <si>
    <t>1사분위수와 3사분위수의 평균</t>
    <phoneticPr fontId="2" type="noConversion"/>
  </si>
  <si>
    <t>저항성 있는 표준편차</t>
    <phoneticPr fontId="2" type="noConversion"/>
  </si>
  <si>
    <t>사분위범위/1.35</t>
    <phoneticPr fontId="2" type="noConversion"/>
  </si>
  <si>
    <t>정규분포를 따른다면 기대되는 도수</t>
    <phoneticPr fontId="2" type="noConversion"/>
  </si>
  <si>
    <t>도수</t>
    <phoneticPr fontId="2" type="noConversion"/>
  </si>
  <si>
    <t>38.5 ~</t>
    <phoneticPr fontId="2" type="noConversion"/>
  </si>
  <si>
    <t>DRRS</t>
    <phoneticPr fontId="2" type="noConversion"/>
  </si>
  <si>
    <t>카이스퀘어값</t>
    <phoneticPr fontId="2" type="noConversion"/>
  </si>
  <si>
    <t>합계</t>
    <phoneticPr fontId="2" type="noConversion"/>
  </si>
  <si>
    <t>자유도</t>
    <phoneticPr fontId="2" type="noConversion"/>
  </si>
  <si>
    <t>유의확률</t>
    <phoneticPr fontId="2" type="noConversion"/>
  </si>
  <si>
    <t>프로그래밍 짜보는 연습을 오늘 해보기*</t>
    <phoneticPr fontId="2" type="noConversion"/>
  </si>
  <si>
    <t>내일 오후에 들어가서 한국꺼 들어가서 보기</t>
    <phoneticPr fontId="2" type="noConversion"/>
  </si>
  <si>
    <t>정규분포를 따르는지 검토하시오</t>
    <phoneticPr fontId="2" type="noConversion"/>
  </si>
  <si>
    <t>단 저항성 있는 평균(4분위값의 mid와 spr을 이용하시오)</t>
    <phoneticPr fontId="2" type="noConversion"/>
  </si>
  <si>
    <t>63이하</t>
    <phoneticPr fontId="2" type="noConversion"/>
  </si>
  <si>
    <t>74이상</t>
    <phoneticPr fontId="2" type="noConversion"/>
  </si>
  <si>
    <t>Total</t>
    <phoneticPr fontId="2" type="noConversion"/>
  </si>
  <si>
    <t>순서</t>
    <phoneticPr fontId="2" type="noConversion"/>
  </si>
  <si>
    <t>제1사분위수</t>
    <phoneticPr fontId="2" type="noConversion"/>
  </si>
  <si>
    <t>제3사분위수</t>
    <phoneticPr fontId="2" type="noConversion"/>
  </si>
  <si>
    <t xml:space="preserve"> 값</t>
    <phoneticPr fontId="2" type="noConversion"/>
  </si>
  <si>
    <t>mid(상하위 분위수의 평균)</t>
    <phoneticPr fontId="2" type="noConversion"/>
  </si>
  <si>
    <t>SPR(상하위 분위수의 범위)[높-낮]</t>
    <phoneticPr fontId="2" type="noConversion"/>
  </si>
  <si>
    <t>중앙값과 미드값의 값이 비슷해야 좌우대칭을 언급할 수 있다.</t>
    <phoneticPr fontId="2" type="noConversion"/>
  </si>
  <si>
    <t>하한값+(N번째위치-0.5)/(구간내N수)*구간의 폭</t>
    <phoneticPr fontId="2" type="noConversion"/>
  </si>
  <si>
    <t>=333-217</t>
    <phoneticPr fontId="2" type="noConversion"/>
  </si>
  <si>
    <t>&lt;-구간내 위치</t>
    <phoneticPr fontId="2" type="noConversion"/>
  </si>
  <si>
    <t>상한값-(위치-0.5)/(구간내N수)*구간의 폭</t>
    <phoneticPr fontId="2" type="noConversion"/>
  </si>
  <si>
    <t>거꾸로누적</t>
    <phoneticPr fontId="2" type="noConversion"/>
  </si>
  <si>
    <t>밑의 표 보기</t>
    <phoneticPr fontId="2" type="noConversion"/>
  </si>
  <si>
    <t>&lt;-구간내 상한쪽에서 147번째 값위치</t>
    <phoneticPr fontId="2" type="noConversion"/>
  </si>
  <si>
    <t>=333-D41</t>
    <phoneticPr fontId="2" type="noConversion"/>
  </si>
  <si>
    <t>표준편차</t>
    <phoneticPr fontId="2" type="noConversion"/>
  </si>
  <si>
    <t>정규분포인지 아닌지 따져보자</t>
    <phoneticPr fontId="2" type="noConversion"/>
  </si>
  <si>
    <t>정규분포라면 기대되는 N</t>
    <phoneticPr fontId="2" type="noConversion"/>
  </si>
  <si>
    <t>이하</t>
    <phoneticPr fontId="2" type="noConversion"/>
  </si>
  <si>
    <t>이상</t>
    <phoneticPr fontId="2" type="noConversion"/>
  </si>
  <si>
    <t>제곱</t>
    <phoneticPr fontId="2" type="noConversion"/>
  </si>
  <si>
    <t>카이제곱합</t>
    <phoneticPr fontId="2" type="noConversion"/>
  </si>
  <si>
    <t>p-value</t>
    <phoneticPr fontId="2" type="noConversion"/>
  </si>
  <si>
    <t>귀무가설 : 정규분포를 따른다</t>
    <phoneticPr fontId="2" type="noConversion"/>
  </si>
  <si>
    <t>귀무가설을 채택한다!</t>
    <phoneticPr fontId="2" type="noConversion"/>
  </si>
  <si>
    <t>기각치(critical value)</t>
    <phoneticPr fontId="2" type="noConversion"/>
  </si>
  <si>
    <t>확률이주어져있고, 유의수준이 있는거라 구할 수 있음</t>
    <phoneticPr fontId="2" type="noConversion"/>
  </si>
  <si>
    <t>나는, 카이제곱값이 18.307 넘어가면 기대값과 관측값의 차이가 많이났다고 할거야.</t>
    <phoneticPr fontId="2" type="noConversion"/>
  </si>
  <si>
    <t>근데 이걸 넘어가지 않았으니 굉장히 크지않다. 그래서 알려져있던 귀무가설을 받아들이겠다.</t>
    <phoneticPr fontId="2" type="noConversion"/>
  </si>
  <si>
    <t>1)평균100, 표준편차 15 되도록 40명의 임의값 발생</t>
    <phoneticPr fontId="2" type="noConversion"/>
  </si>
  <si>
    <t>2)평균70, 표준편차 15인 20명, 평균 130, 표준편차 15인 20명</t>
    <phoneticPr fontId="2" type="noConversion"/>
  </si>
  <si>
    <t>3)평균100, 표준편차 15되도록 38명 임의값 발생, 2개는 10과 180으로 입력</t>
    <phoneticPr fontId="2" type="noConversion"/>
  </si>
  <si>
    <t>4)균일분포(일양분포로 40개 발생(0~1사이값)</t>
    <phoneticPr fontId="2" type="noConversion"/>
  </si>
  <si>
    <t>정규분포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</si>
  <si>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</si>
  <si>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</si>
  <si>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</si>
  <si>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</si>
  <si>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/>
  </si>
  <si>
    <t>정규성 검정</t>
  </si>
  <si>
    <t>Shapiro-Wilk</t>
  </si>
  <si>
    <t>통계량</t>
  </si>
  <si>
    <t>자유도</t>
  </si>
  <si>
    <t>유의확률</t>
  </si>
  <si>
    <t>case1</t>
  </si>
  <si>
    <t>case2</t>
  </si>
  <si>
    <t>case3</t>
  </si>
  <si>
    <t>case4</t>
  </si>
  <si>
    <t>a. Lilliefors 유의확률 수정</t>
  </si>
  <si>
    <r>
      <t>Kolmogorov-Smirnov</t>
    </r>
    <r>
      <rPr>
        <vertAlign val="superscript"/>
        <sz val="9"/>
        <color indexed="62"/>
        <rFont val="Gulim"/>
      </rPr>
      <t>a</t>
    </r>
  </si>
  <si>
    <t>과제)</t>
    <phoneticPr fontId="2" type="noConversion"/>
  </si>
  <si>
    <r>
      <t xml:space="preserve">q-q plot </t>
    </r>
    <r>
      <rPr>
        <sz val="9"/>
        <color indexed="62"/>
        <rFont val="Gulim"/>
        <family val="3"/>
      </rPr>
      <t>과정</t>
    </r>
    <phoneticPr fontId="2" type="noConversion"/>
  </si>
  <si>
    <r>
      <t>case1, case2</t>
    </r>
    <r>
      <rPr>
        <sz val="9"/>
        <color indexed="62"/>
        <rFont val="Gulim"/>
        <family val="3"/>
      </rPr>
      <t>를 이용하여 엑셀로 작성하기*</t>
    </r>
    <phoneticPr fontId="2" type="noConversion"/>
  </si>
  <si>
    <t>시트1에 case1</t>
    <phoneticPr fontId="2" type="noConversion"/>
  </si>
  <si>
    <t>시트2에 case2</t>
    <phoneticPr fontId="2" type="noConversion"/>
  </si>
  <si>
    <t>중간고사 이후에는 정규성 검정을 얘기하고 있음</t>
    <phoneticPr fontId="2" type="noConversion"/>
  </si>
  <si>
    <t xml:space="preserve">1) q-q plot </t>
    <phoneticPr fontId="2" type="noConversion"/>
  </si>
  <si>
    <t>2) drrs 이용 - 카이제곱</t>
    <phoneticPr fontId="2" type="noConversion"/>
  </si>
  <si>
    <t>저항성 있는 회귀직선</t>
    <phoneticPr fontId="2" type="noConversion"/>
  </si>
  <si>
    <t>1. 정규성 검정</t>
    <phoneticPr fontId="2" type="noConversion"/>
  </si>
  <si>
    <t>2. 회귀직선</t>
    <phoneticPr fontId="2" type="noConversion"/>
  </si>
  <si>
    <t>3. 2원분석</t>
    <phoneticPr fontId="2" type="noConversion"/>
  </si>
  <si>
    <t>(two way anova를 평균에 영향을 받지 않는 방식으로 시작)</t>
    <phoneticPr fontId="2" type="noConversion"/>
  </si>
  <si>
    <t>598977@hanmail.net</t>
    <phoneticPr fontId="2" type="noConversion"/>
  </si>
  <si>
    <t>제출:</t>
    <phoneticPr fontId="2" type="noConversion"/>
  </si>
  <si>
    <t>성씨분석으로 하는 그 데이터 ( 학교 사이버캠퍼스 확인해주세요…ㅠ )</t>
    <phoneticPr fontId="2" type="noConversion"/>
  </si>
  <si>
    <t>포맵스는 별로 좋진 않아..ㅠ</t>
    <phoneticPr fontId="2" type="noConversion"/>
  </si>
  <si>
    <t>에러..ㅠ</t>
    <phoneticPr fontId="2" type="noConversion"/>
  </si>
  <si>
    <t>sgis 에서 직접 내 데이터 이용해서 그릴 수 있거든요. 내 데이터 그리기 **</t>
    <phoneticPr fontId="2" type="noConversion"/>
  </si>
  <si>
    <t>다음시간에 그 부분을 해 볼거임.</t>
    <phoneticPr fontId="2" type="noConversion"/>
  </si>
  <si>
    <t>인터넷 홈페이지 들어가서 그려보기</t>
    <phoneticPr fontId="2" type="noConversion"/>
  </si>
  <si>
    <t>q-q plot -&gt; R로 그려볼거임. 내일 올려놀거니까 ggplot2 pakages를 올릴건데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</si>
</sst>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##0.000"/>
    <numFmt numFmtId="181" formatCode="###0"/>
  </numFmts>
  <fonts count="16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11"/>
      <color indexed="60"/>
      <name val="Gulim"/>
    </font>
    <font>
      <sz val="9"/>
      <color indexed="62"/>
      <name val="Gulim"/>
    </font>
    <font>
      <vertAlign val="superscript"/>
      <sz val="9"/>
      <color indexed="62"/>
      <name val="Gulim"/>
    </font>
    <font>
      <sz val="9"/>
      <color indexed="60"/>
      <name val="Gulim"/>
    </font>
    <font>
      <sz val="9"/>
      <color indexed="62"/>
      <name val="Gulim"/>
      <family val="3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10" xfId="0" applyFill="1" applyBorder="1">
      <alignment vertical="center"/>
    </xf>
    <xf numFmtId="0" fontId="6" fillId="0" borderId="9" xfId="0" applyFont="1" applyBorder="1">
      <alignment vertical="center"/>
    </xf>
    <xf numFmtId="0" fontId="6" fillId="2" borderId="0" xfId="0" applyFont="1" applyFill="1">
      <alignment vertical="center"/>
    </xf>
    <xf numFmtId="0" fontId="7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3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0" fontId="9" fillId="0" borderId="0" xfId="1"/>
    <xf numFmtId="0" fontId="11" fillId="0" borderId="0" xfId="1" applyFont="1" applyBorder="1" applyAlignment="1">
      <alignment horizontal="left" wrapText="1"/>
    </xf>
    <xf numFmtId="0" fontId="11" fillId="0" borderId="0" xfId="1" applyFont="1" applyBorder="1" applyAlignment="1">
      <alignment horizontal="center" wrapText="1"/>
    </xf>
    <xf numFmtId="0" fontId="11" fillId="0" borderId="23" xfId="1" applyFont="1" applyBorder="1" applyAlignment="1">
      <alignment horizontal="center" wrapText="1"/>
    </xf>
    <xf numFmtId="0" fontId="11" fillId="0" borderId="24" xfId="1" applyFont="1" applyBorder="1" applyAlignment="1">
      <alignment horizontal="center" wrapText="1"/>
    </xf>
    <xf numFmtId="0" fontId="11" fillId="0" borderId="25" xfId="1" applyFont="1" applyBorder="1" applyAlignment="1">
      <alignment horizontal="left" wrapText="1"/>
    </xf>
    <xf numFmtId="0" fontId="11" fillId="0" borderId="26" xfId="1" applyFont="1" applyBorder="1" applyAlignment="1">
      <alignment horizontal="center" wrapText="1"/>
    </xf>
    <xf numFmtId="0" fontId="11" fillId="0" borderId="27" xfId="1" applyFont="1" applyBorder="1" applyAlignment="1">
      <alignment horizontal="center" wrapText="1"/>
    </xf>
    <xf numFmtId="0" fontId="11" fillId="0" borderId="28" xfId="1" applyFont="1" applyBorder="1" applyAlignment="1">
      <alignment horizontal="center" wrapText="1"/>
    </xf>
    <xf numFmtId="0" fontId="11" fillId="5" borderId="29" xfId="1" applyFont="1" applyFill="1" applyBorder="1" applyAlignment="1">
      <alignment horizontal="left" vertical="top" wrapText="1"/>
    </xf>
    <xf numFmtId="180" fontId="13" fillId="0" borderId="30" xfId="1" applyNumberFormat="1" applyFont="1" applyBorder="1" applyAlignment="1">
      <alignment horizontal="right" vertical="top"/>
    </xf>
    <xf numFmtId="181" fontId="13" fillId="0" borderId="31" xfId="1" applyNumberFormat="1" applyFont="1" applyBorder="1" applyAlignment="1">
      <alignment horizontal="right" vertical="top"/>
    </xf>
    <xf numFmtId="180" fontId="13" fillId="0" borderId="32" xfId="1" applyNumberFormat="1" applyFont="1" applyBorder="1" applyAlignment="1">
      <alignment horizontal="right" vertical="top"/>
    </xf>
    <xf numFmtId="180" fontId="13" fillId="0" borderId="31" xfId="1" applyNumberFormat="1" applyFont="1" applyBorder="1" applyAlignment="1">
      <alignment horizontal="right" vertical="top"/>
    </xf>
    <xf numFmtId="0" fontId="11" fillId="5" borderId="33" xfId="1" applyFont="1" applyFill="1" applyBorder="1" applyAlignment="1">
      <alignment horizontal="left" vertical="top" wrapText="1"/>
    </xf>
    <xf numFmtId="180" fontId="13" fillId="0" borderId="34" xfId="1" applyNumberFormat="1" applyFont="1" applyBorder="1" applyAlignment="1">
      <alignment horizontal="right" vertical="top"/>
    </xf>
    <xf numFmtId="181" fontId="13" fillId="0" borderId="35" xfId="1" applyNumberFormat="1" applyFont="1" applyBorder="1" applyAlignment="1">
      <alignment horizontal="right" vertical="top"/>
    </xf>
    <xf numFmtId="180" fontId="13" fillId="0" borderId="36" xfId="1" applyNumberFormat="1" applyFont="1" applyBorder="1" applyAlignment="1">
      <alignment horizontal="right" vertical="top"/>
    </xf>
    <xf numFmtId="180" fontId="13" fillId="0" borderId="35" xfId="1" applyNumberFormat="1" applyFont="1" applyBorder="1" applyAlignment="1">
      <alignment horizontal="right" vertical="top"/>
    </xf>
    <xf numFmtId="0" fontId="11" fillId="5" borderId="37" xfId="1" applyFont="1" applyFill="1" applyBorder="1" applyAlignment="1">
      <alignment horizontal="left" vertical="top" wrapText="1"/>
    </xf>
    <xf numFmtId="180" fontId="13" fillId="0" borderId="38" xfId="1" applyNumberFormat="1" applyFont="1" applyBorder="1" applyAlignment="1">
      <alignment horizontal="right" vertical="top"/>
    </xf>
    <xf numFmtId="181" fontId="13" fillId="0" borderId="39" xfId="1" applyNumberFormat="1" applyFont="1" applyBorder="1" applyAlignment="1">
      <alignment horizontal="right" vertical="top"/>
    </xf>
    <xf numFmtId="180" fontId="13" fillId="0" borderId="40" xfId="1" applyNumberFormat="1" applyFont="1" applyBorder="1" applyAlignment="1">
      <alignment horizontal="right" vertical="top"/>
    </xf>
    <xf numFmtId="180" fontId="13" fillId="0" borderId="39" xfId="1" applyNumberFormat="1" applyFont="1" applyBorder="1" applyAlignment="1">
      <alignment horizontal="right" vertical="top"/>
    </xf>
    <xf numFmtId="0" fontId="13" fillId="0" borderId="0" xfId="1" applyFont="1" applyBorder="1" applyAlignment="1">
      <alignment horizontal="left" vertical="top" wrapText="1"/>
    </xf>
    <xf numFmtId="0" fontId="11" fillId="5" borderId="0" xfId="1" applyFont="1" applyFill="1" applyBorder="1" applyAlignment="1">
      <alignment horizontal="center" vertical="top" wrapText="1"/>
    </xf>
    <xf numFmtId="0" fontId="15" fillId="0" borderId="0" xfId="2">
      <alignment vertical="center"/>
    </xf>
  </cellXfs>
  <cellStyles count="3">
    <cellStyle name="표준" xfId="0" builtinId="0"/>
    <cellStyle name="표준_spss를 이용한 q-q plot" xfId="1" xr:uid="{6957ED47-28AD-4D01-AE4D-912AAC0F1943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기말고사범위!$F$4</c:f>
              <c:strCache>
                <c:ptCount val="1"/>
                <c:pt idx="0">
                  <c:v>경험함수에 근거하여 평균 28, 표준편차 25인 분포를 따른다면 해당위치의 실제값은?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19386425340052E-2"/>
                  <c:y val="0.18057789133974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기말고사범위!$C$5:$C$19</c:f>
              <c:numCache>
                <c:formatCode>General</c:formatCode>
                <c:ptCount val="15"/>
                <c:pt idx="0">
                  <c:v>-67</c:v>
                </c:pt>
                <c:pt idx="1">
                  <c:v>-48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23</c:v>
                </c:pt>
                <c:pt idx="7">
                  <c:v>24</c:v>
                </c:pt>
                <c:pt idx="8">
                  <c:v>28</c:v>
                </c:pt>
                <c:pt idx="9">
                  <c:v>29</c:v>
                </c:pt>
                <c:pt idx="10">
                  <c:v>41</c:v>
                </c:pt>
                <c:pt idx="11">
                  <c:v>49</c:v>
                </c:pt>
                <c:pt idx="12">
                  <c:v>56</c:v>
                </c:pt>
                <c:pt idx="13">
                  <c:v>60</c:v>
                </c:pt>
                <c:pt idx="14">
                  <c:v>75</c:v>
                </c:pt>
              </c:numCache>
            </c:numRef>
          </c:xVal>
          <c:yVal>
            <c:numRef>
              <c:f>기말고사범위!$F$5:$F$19</c:f>
              <c:numCache>
                <c:formatCode>General</c:formatCode>
                <c:ptCount val="15"/>
                <c:pt idx="0">
                  <c:v>-15.806712100196222</c:v>
                </c:pt>
                <c:pt idx="1">
                  <c:v>-3.3567200876430547</c:v>
                </c:pt>
                <c:pt idx="2">
                  <c:v>4.1804289404171371</c:v>
                </c:pt>
                <c:pt idx="3">
                  <c:v>10.025216451148978</c:v>
                </c:pt>
                <c:pt idx="4">
                  <c:v>15.029786662041937</c:v>
                </c:pt>
                <c:pt idx="5">
                  <c:v>19.565628242365236</c:v>
                </c:pt>
                <c:pt idx="6">
                  <c:v>23.841515901993684</c:v>
                </c:pt>
                <c:pt idx="7">
                  <c:v>28</c:v>
                </c:pt>
                <c:pt idx="8">
                  <c:v>32.158484098006312</c:v>
                </c:pt>
                <c:pt idx="9">
                  <c:v>36.434371757634771</c:v>
                </c:pt>
                <c:pt idx="10">
                  <c:v>40.970213337958064</c:v>
                </c:pt>
                <c:pt idx="11">
                  <c:v>45.974783548851001</c:v>
                </c:pt>
                <c:pt idx="12">
                  <c:v>51.819571059582863</c:v>
                </c:pt>
                <c:pt idx="13">
                  <c:v>59.356720087643055</c:v>
                </c:pt>
                <c:pt idx="14">
                  <c:v>71.806712100196208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A-469A-AFF1-97551449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03888"/>
        <c:axId val="683204872"/>
      </c:scatterChart>
      <c:valAx>
        <c:axId val="6832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04872"/>
        <c:crosses val="autoZero"/>
        <c:crossBetween val="midCat"/>
      </c:valAx>
      <c:valAx>
        <c:axId val="68320487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기말고사범위!$E$4</c:f>
              <c:strCache>
                <c:ptCount val="1"/>
                <c:pt idx="0">
                  <c:v>정규분포를 따를때 확률밀도함수이용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62445319335084"/>
                  <c:y val="0.4210472511837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기말고사범위!$D$5:$D$19</c:f>
              <c:numCache>
                <c:formatCode>General</c:formatCode>
                <c:ptCount val="15"/>
                <c:pt idx="0">
                  <c:v>4.0983606557377046E-2</c:v>
                </c:pt>
                <c:pt idx="1">
                  <c:v>0.10655737704918032</c:v>
                </c:pt>
                <c:pt idx="2">
                  <c:v>0.1721311475409836</c:v>
                </c:pt>
                <c:pt idx="3">
                  <c:v>0.23770491803278687</c:v>
                </c:pt>
                <c:pt idx="4">
                  <c:v>0.30327868852459017</c:v>
                </c:pt>
                <c:pt idx="5">
                  <c:v>0.36885245901639346</c:v>
                </c:pt>
                <c:pt idx="6">
                  <c:v>0.4344262295081967</c:v>
                </c:pt>
                <c:pt idx="7">
                  <c:v>0.5</c:v>
                </c:pt>
                <c:pt idx="8">
                  <c:v>0.56557377049180324</c:v>
                </c:pt>
                <c:pt idx="9">
                  <c:v>0.63114754098360659</c:v>
                </c:pt>
                <c:pt idx="10">
                  <c:v>0.69672131147540983</c:v>
                </c:pt>
                <c:pt idx="11">
                  <c:v>0.76229508196721307</c:v>
                </c:pt>
                <c:pt idx="12">
                  <c:v>0.82786885245901642</c:v>
                </c:pt>
                <c:pt idx="13">
                  <c:v>0.89344262295081966</c:v>
                </c:pt>
                <c:pt idx="14">
                  <c:v>0.95901639344262291</c:v>
                </c:pt>
              </c:numCache>
            </c:numRef>
          </c:xVal>
          <c:yVal>
            <c:numRef>
              <c:f>기말고사범위!$E$5:$E$19</c:f>
              <c:numCache>
                <c:formatCode>General</c:formatCode>
                <c:ptCount val="15"/>
                <c:pt idx="0">
                  <c:v>8.0953036328998263E-5</c:v>
                </c:pt>
                <c:pt idx="1">
                  <c:v>1.2737270287158189E-3</c:v>
                </c:pt>
                <c:pt idx="2">
                  <c:v>0.1911872911035554</c:v>
                </c:pt>
                <c:pt idx="3">
                  <c:v>0.21356347254733171</c:v>
                </c:pt>
                <c:pt idx="4">
                  <c:v>0.28914564138992449</c:v>
                </c:pt>
                <c:pt idx="5">
                  <c:v>0.31686957810401628</c:v>
                </c:pt>
                <c:pt idx="6">
                  <c:v>0.42131543771518293</c:v>
                </c:pt>
                <c:pt idx="7">
                  <c:v>0.43690395515914066</c:v>
                </c:pt>
                <c:pt idx="8">
                  <c:v>0.5</c:v>
                </c:pt>
                <c:pt idx="9">
                  <c:v>0.51583619403126924</c:v>
                </c:pt>
                <c:pt idx="10">
                  <c:v>0.69713441882057225</c:v>
                </c:pt>
                <c:pt idx="11">
                  <c:v>0.79780978290494686</c:v>
                </c:pt>
                <c:pt idx="12">
                  <c:v>0.86688033469648362</c:v>
                </c:pt>
                <c:pt idx="13">
                  <c:v>0.89806241275950349</c:v>
                </c:pt>
                <c:pt idx="14">
                  <c:v>0.96899166005387127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2-41A6-A5FF-4E769B48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76664"/>
        <c:axId val="683189456"/>
      </c:scatterChart>
      <c:valAx>
        <c:axId val="6831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189456"/>
        <c:crosses val="autoZero"/>
        <c:crossBetween val="midCat"/>
      </c:valAx>
      <c:valAx>
        <c:axId val="683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17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기말고사범위!$G$4</c:f>
              <c:strCache>
                <c:ptCount val="1"/>
                <c:pt idx="0">
                  <c:v>경험함수에 근거한 표준화값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기말고사범위!$C$5:$C$19</c:f>
              <c:numCache>
                <c:formatCode>General</c:formatCode>
                <c:ptCount val="15"/>
                <c:pt idx="0">
                  <c:v>-67</c:v>
                </c:pt>
                <c:pt idx="1">
                  <c:v>-48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23</c:v>
                </c:pt>
                <c:pt idx="7">
                  <c:v>24</c:v>
                </c:pt>
                <c:pt idx="8">
                  <c:v>28</c:v>
                </c:pt>
                <c:pt idx="9">
                  <c:v>29</c:v>
                </c:pt>
                <c:pt idx="10">
                  <c:v>41</c:v>
                </c:pt>
                <c:pt idx="11">
                  <c:v>49</c:v>
                </c:pt>
                <c:pt idx="12">
                  <c:v>56</c:v>
                </c:pt>
                <c:pt idx="13">
                  <c:v>60</c:v>
                </c:pt>
                <c:pt idx="14">
                  <c:v>75</c:v>
                </c:pt>
              </c:numCache>
            </c:numRef>
          </c:xVal>
          <c:yVal>
            <c:numRef>
              <c:f>기말고사범위!$G$5:$G$19</c:f>
              <c:numCache>
                <c:formatCode>General</c:formatCode>
                <c:ptCount val="15"/>
                <c:pt idx="0">
                  <c:v>-1.7393841569195561</c:v>
                </c:pt>
                <c:pt idx="1">
                  <c:v>-1.2450462387740626</c:v>
                </c:pt>
                <c:pt idx="2">
                  <c:v>-0.94577708618931966</c:v>
                </c:pt>
                <c:pt idx="3">
                  <c:v>-0.7137046409102612</c:v>
                </c:pt>
                <c:pt idx="4">
                  <c:v>-0.51499376488951132</c:v>
                </c:pt>
                <c:pt idx="5">
                  <c:v>-0.33489417272961575</c:v>
                </c:pt>
                <c:pt idx="6">
                  <c:v>-0.16511628036201545</c:v>
                </c:pt>
                <c:pt idx="7">
                  <c:v>0</c:v>
                </c:pt>
                <c:pt idx="8">
                  <c:v>0.16511628036201531</c:v>
                </c:pt>
                <c:pt idx="9">
                  <c:v>0.33489417272961586</c:v>
                </c:pt>
                <c:pt idx="10">
                  <c:v>0.51499376488951132</c:v>
                </c:pt>
                <c:pt idx="11">
                  <c:v>0.71370464091026031</c:v>
                </c:pt>
                <c:pt idx="12">
                  <c:v>0.94577708618931966</c:v>
                </c:pt>
                <c:pt idx="13">
                  <c:v>1.2450462387740626</c:v>
                </c:pt>
                <c:pt idx="14">
                  <c:v>1.7393841569195554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6-4E40-BB56-2F0BB024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33832"/>
        <c:axId val="718334816"/>
      </c:scatterChart>
      <c:valAx>
        <c:axId val="7183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334816"/>
        <c:crosses val="autoZero"/>
        <c:crossBetween val="midCat"/>
      </c:valAx>
      <c:valAx>
        <c:axId val="71833481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33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1057</xdr:colOff>
      <xdr:row>6</xdr:row>
      <xdr:rowOff>66674</xdr:rowOff>
    </xdr:from>
    <xdr:to>
      <xdr:col>16</xdr:col>
      <xdr:colOff>581025</xdr:colOff>
      <xdr:row>25</xdr:row>
      <xdr:rowOff>180974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ED9822-BE62-4B38-9720-7BCD3C41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1343025</xdr:colOff>
      <xdr:row>30</xdr:row>
      <xdr:rowOff>14287</xdr:rowOff>
    </xdr:from>
    <xdr:to>
      <xdr:col>15</xdr:col>
      <xdr:colOff>561975</xdr:colOff>
      <xdr:row>47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07C658-19DD-4CCD-873E-C4BD33953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1343025</xdr:colOff>
      <xdr:row>51</xdr:row>
      <xdr:rowOff>23813</xdr:rowOff>
    </xdr:from>
    <xdr:to>
      <xdr:col>17</xdr:col>
      <xdr:colOff>257175</xdr:colOff>
      <xdr:row>71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F8E87D6-DC43-40B3-8525-6FEDE101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7621</xdr:colOff>
      <xdr:row>1</xdr:row>
      <xdr:rowOff>7620</xdr:rowOff>
    </xdr:from>
    <xdr:to>
      <xdr:col>7</xdr:col>
      <xdr:colOff>487303</xdr:colOff>
      <xdr:row>14</xdr:row>
      <xdr:rowOff>205740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6105F09-C514-4D42-84AB-976A66F6C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1" y="228600"/>
          <a:ext cx="3832482" cy="307086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30481</xdr:colOff>
      <xdr:row>1</xdr:row>
      <xdr:rowOff>22860</xdr:rowOff>
    </xdr:from>
    <xdr:to>
      <xdr:col>13</xdr:col>
      <xdr:colOff>377025</xdr:colOff>
      <xdr:row>14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87889C1-A723-4D69-A4F7-17BE9064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4961" y="243840"/>
          <a:ext cx="3699344" cy="296418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22861</xdr:colOff>
      <xdr:row>16</xdr:row>
      <xdr:rowOff>53340</xdr:rowOff>
    </xdr:from>
    <xdr:to>
      <xdr:col>7</xdr:col>
      <xdr:colOff>588132</xdr:colOff>
      <xdr:row>30</xdr:row>
      <xdr:rowOff>99060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510062-953F-428C-B6DE-658C8B90B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1" y="3589020"/>
          <a:ext cx="3918071" cy="313944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15</xdr:row>
      <xdr:rowOff>173443</xdr:rowOff>
    </xdr:from>
    <xdr:to>
      <xdr:col>13</xdr:col>
      <xdr:colOff>525779</xdr:colOff>
      <xdr:row>29</xdr:row>
      <xdr:rowOff>144780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203B31-F3D8-4D14-A33F-A2C487E1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17820" y="3488143"/>
          <a:ext cx="3825239" cy="3065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hyperlink" Target="mailto:598977@hanmail.net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128B-0C82-4FE4-8E55-1BDA2A120082}">
  <dimension ref="A1:O24"/>
  <sheetViews>
    <sheetView workbookViewId="0">
      <selection activeCell="F21" sqref="F21"/>
    </sheetView>
  </sheetViews>
  <sheetFormatPr defaultRowHeight="17.399999999999999"/>
  <cols>
    <col min="5" max="5" width="13.19921875" customWidth="1"/>
  </cols>
  <sheetData>
    <row r="1" spans="1:1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15">
      <c r="A2">
        <v>387</v>
      </c>
      <c r="B2">
        <v>6060</v>
      </c>
      <c r="C2">
        <v>18900</v>
      </c>
      <c r="E2">
        <v>470</v>
      </c>
      <c r="F2">
        <v>7900</v>
      </c>
      <c r="G2">
        <v>27800</v>
      </c>
      <c r="H2" t="s">
        <v>3</v>
      </c>
      <c r="I2">
        <f>AVERAGE(E2:E3)</f>
        <v>483.5</v>
      </c>
      <c r="J2">
        <f>AVERAGE(F2:F3)</f>
        <v>8080</v>
      </c>
      <c r="K2">
        <f>AVERAGE(G2:G3)</f>
        <v>27950</v>
      </c>
    </row>
    <row r="3" spans="1:15">
      <c r="A3">
        <v>428</v>
      </c>
      <c r="B3">
        <v>7600</v>
      </c>
      <c r="C3">
        <v>22300</v>
      </c>
      <c r="E3">
        <v>497</v>
      </c>
      <c r="F3">
        <v>8260</v>
      </c>
      <c r="G3">
        <v>28100</v>
      </c>
    </row>
    <row r="4" spans="1:15">
      <c r="A4">
        <v>470</v>
      </c>
      <c r="B4">
        <v>7900</v>
      </c>
      <c r="C4">
        <v>27800</v>
      </c>
      <c r="E4">
        <v>540</v>
      </c>
      <c r="F4">
        <v>8900</v>
      </c>
      <c r="G4">
        <v>29000</v>
      </c>
      <c r="H4" t="s">
        <v>4</v>
      </c>
      <c r="I4">
        <f>AVERAGE(E4:E5)</f>
        <v>580</v>
      </c>
      <c r="J4">
        <f>AVERAGE(F4:F5)</f>
        <v>9075</v>
      </c>
      <c r="K4">
        <f>AVERAGE(G4:G5)</f>
        <v>30200</v>
      </c>
    </row>
    <row r="5" spans="1:15">
      <c r="A5">
        <v>497</v>
      </c>
      <c r="B5">
        <v>8260</v>
      </c>
      <c r="C5">
        <v>28100</v>
      </c>
      <c r="E5">
        <v>620</v>
      </c>
      <c r="F5">
        <v>9250</v>
      </c>
      <c r="G5">
        <v>31400</v>
      </c>
    </row>
    <row r="6" spans="1:15">
      <c r="A6">
        <v>537</v>
      </c>
      <c r="B6">
        <v>8600</v>
      </c>
      <c r="C6">
        <v>28800</v>
      </c>
      <c r="E6">
        <v>845</v>
      </c>
      <c r="F6">
        <v>9830</v>
      </c>
      <c r="G6">
        <v>32800</v>
      </c>
      <c r="H6" t="s">
        <v>5</v>
      </c>
      <c r="I6">
        <f>AVERAGE(E6:E7)</f>
        <v>870</v>
      </c>
      <c r="J6">
        <f>AVERAGE(F6:F7)</f>
        <v>10015</v>
      </c>
      <c r="K6">
        <f>AVERAGE(G6:G7)</f>
        <v>33700</v>
      </c>
    </row>
    <row r="7" spans="1:15">
      <c r="A7">
        <v>540</v>
      </c>
      <c r="B7">
        <v>8900</v>
      </c>
      <c r="C7">
        <v>29000</v>
      </c>
      <c r="E7">
        <v>895</v>
      </c>
      <c r="F7">
        <v>10200</v>
      </c>
      <c r="G7">
        <v>34600</v>
      </c>
    </row>
    <row r="8" spans="1:15">
      <c r="A8">
        <v>620</v>
      </c>
      <c r="B8">
        <v>9250</v>
      </c>
      <c r="C8">
        <v>31400</v>
      </c>
      <c r="H8" t="s">
        <v>128</v>
      </c>
      <c r="I8">
        <f>(I2+I6)/2</f>
        <v>676.75</v>
      </c>
      <c r="J8">
        <f t="shared" ref="J8:K8" si="0">(J2+J6)/2</f>
        <v>9047.5</v>
      </c>
      <c r="K8">
        <f t="shared" si="0"/>
        <v>30825</v>
      </c>
    </row>
    <row r="9" spans="1:15">
      <c r="A9">
        <v>760</v>
      </c>
      <c r="B9">
        <v>9650</v>
      </c>
      <c r="C9">
        <v>32800</v>
      </c>
      <c r="F9" t="s">
        <v>0</v>
      </c>
      <c r="G9" t="s">
        <v>9</v>
      </c>
    </row>
    <row r="10" spans="1:15">
      <c r="A10">
        <v>845</v>
      </c>
      <c r="B10">
        <v>9830</v>
      </c>
      <c r="C10">
        <v>32800</v>
      </c>
      <c r="F10" t="s">
        <v>1</v>
      </c>
    </row>
    <row r="11" spans="1:15">
      <c r="A11">
        <v>895</v>
      </c>
      <c r="B11">
        <v>10200</v>
      </c>
      <c r="C11">
        <v>34600</v>
      </c>
      <c r="F11" t="s">
        <v>2</v>
      </c>
    </row>
    <row r="12" spans="1:15">
      <c r="A12">
        <v>1020</v>
      </c>
      <c r="B12">
        <v>11000</v>
      </c>
      <c r="C12">
        <v>39500</v>
      </c>
      <c r="M12" t="s">
        <v>26</v>
      </c>
    </row>
    <row r="13" spans="1:15">
      <c r="A13">
        <v>1050</v>
      </c>
      <c r="B13">
        <v>15500</v>
      </c>
      <c r="C13">
        <v>43300</v>
      </c>
      <c r="F13" t="s">
        <v>6</v>
      </c>
      <c r="M13" t="s">
        <v>24</v>
      </c>
      <c r="O13" t="s">
        <v>25</v>
      </c>
    </row>
    <row r="14" spans="1:15">
      <c r="F14" t="s">
        <v>7</v>
      </c>
      <c r="M14" t="s">
        <v>23</v>
      </c>
    </row>
    <row r="15" spans="1:15">
      <c r="F15" t="s">
        <v>8</v>
      </c>
    </row>
    <row r="16" spans="1:15">
      <c r="M16" t="s">
        <v>17</v>
      </c>
      <c r="N16" t="s">
        <v>20</v>
      </c>
    </row>
    <row r="17" spans="4:14">
      <c r="F17" t="s">
        <v>10</v>
      </c>
      <c r="M17" t="s">
        <v>18</v>
      </c>
      <c r="N17" t="s">
        <v>21</v>
      </c>
    </row>
    <row r="18" spans="4:14">
      <c r="E18" t="s">
        <v>11</v>
      </c>
      <c r="F18">
        <f>LOG(I4)</f>
        <v>2.7634279935629373</v>
      </c>
      <c r="G18">
        <f>LOG(J4)</f>
        <v>3.9578466337081499</v>
      </c>
      <c r="H18">
        <f>LOG(K4)</f>
        <v>4.480006942957151</v>
      </c>
      <c r="M18" t="s">
        <v>19</v>
      </c>
      <c r="N18" t="s">
        <v>22</v>
      </c>
    </row>
    <row r="19" spans="4:14">
      <c r="E19" t="s">
        <v>12</v>
      </c>
      <c r="F19">
        <f>LOG(I6-I2)</f>
        <v>2.5871494982543437</v>
      </c>
      <c r="G19">
        <f t="shared" ref="G19:H19" si="1">LOG(J6-J2)</f>
        <v>3.2866809693549301</v>
      </c>
      <c r="H19">
        <f t="shared" si="1"/>
        <v>3.7596678446896306</v>
      </c>
    </row>
    <row r="21" spans="4:14">
      <c r="E21" t="s">
        <v>13</v>
      </c>
      <c r="F21">
        <f>(F18-F19)/(I4-(I6-I2))</f>
        <v>9.1099997575500588E-4</v>
      </c>
      <c r="H21">
        <f>(G18-(H18-F18))/(G19-H19-F19)</f>
        <v>-0.73240777883545516</v>
      </c>
    </row>
    <row r="22" spans="4:14">
      <c r="E22" t="s">
        <v>14</v>
      </c>
      <c r="F22">
        <f>1-F21</f>
        <v>0.99908900002424494</v>
      </c>
    </row>
    <row r="23" spans="4:14">
      <c r="F23" t="s">
        <v>15</v>
      </c>
    </row>
    <row r="24" spans="4:14">
      <c r="F2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7AEB-19AF-4699-98D5-8FAAB2C75A0E}">
  <dimension ref="A1:M121"/>
  <sheetViews>
    <sheetView zoomScale="80" zoomScaleNormal="80" workbookViewId="0">
      <selection activeCell="K91" sqref="K91"/>
    </sheetView>
  </sheetViews>
  <sheetFormatPr defaultRowHeight="17.399999999999999"/>
  <cols>
    <col min="1" max="1" width="16.5" customWidth="1"/>
    <col min="2" max="2" width="10.59765625" customWidth="1"/>
    <col min="4" max="4" width="7.3984375" customWidth="1"/>
    <col min="6" max="6" width="17.3984375" customWidth="1"/>
    <col min="7" max="7" width="17.296875" customWidth="1"/>
    <col min="10" max="10" width="11.09765625" bestFit="1" customWidth="1"/>
    <col min="11" max="11" width="47.09765625" customWidth="1"/>
  </cols>
  <sheetData>
    <row r="1" spans="1:13">
      <c r="A1" t="s">
        <v>28</v>
      </c>
    </row>
    <row r="3" spans="1:13">
      <c r="A3" t="s">
        <v>29</v>
      </c>
    </row>
    <row r="4" spans="1:13">
      <c r="A4" t="s">
        <v>30</v>
      </c>
    </row>
    <row r="5" spans="1:13">
      <c r="A5" t="s">
        <v>31</v>
      </c>
      <c r="B5">
        <v>1</v>
      </c>
      <c r="C5">
        <v>2</v>
      </c>
      <c r="F5">
        <v>3</v>
      </c>
      <c r="H5">
        <v>4</v>
      </c>
      <c r="I5">
        <v>5</v>
      </c>
      <c r="J5">
        <v>6</v>
      </c>
    </row>
    <row r="6" spans="1:13">
      <c r="A6" t="s">
        <v>32</v>
      </c>
      <c r="B6">
        <v>6</v>
      </c>
      <c r="C6">
        <v>6</v>
      </c>
      <c r="F6">
        <v>6</v>
      </c>
      <c r="H6">
        <v>6</v>
      </c>
      <c r="I6">
        <v>6</v>
      </c>
      <c r="J6">
        <v>6</v>
      </c>
    </row>
    <row r="7" spans="1:13">
      <c r="A7" t="s">
        <v>33</v>
      </c>
      <c r="B7">
        <v>5</v>
      </c>
      <c r="C7">
        <v>6</v>
      </c>
      <c r="F7">
        <v>7</v>
      </c>
      <c r="H7">
        <v>7</v>
      </c>
      <c r="I7">
        <v>6</v>
      </c>
      <c r="J7">
        <v>5</v>
      </c>
    </row>
    <row r="8" spans="1:13">
      <c r="B8">
        <f>(B7-B6)^2/B6</f>
        <v>0.16666666666666666</v>
      </c>
      <c r="C8">
        <f t="shared" ref="C8:J8" si="0">(C7-C6)^2/C6</f>
        <v>0</v>
      </c>
      <c r="F8">
        <f t="shared" si="0"/>
        <v>0.16666666666666666</v>
      </c>
      <c r="H8">
        <f t="shared" si="0"/>
        <v>0.16666666666666666</v>
      </c>
      <c r="I8">
        <f t="shared" si="0"/>
        <v>0</v>
      </c>
      <c r="J8">
        <f t="shared" si="0"/>
        <v>0.16666666666666666</v>
      </c>
      <c r="K8" s="1">
        <f>SUM(B8:J8)</f>
        <v>0.66666666666666663</v>
      </c>
      <c r="L8" s="1" t="s">
        <v>34</v>
      </c>
      <c r="M8" s="1"/>
    </row>
    <row r="9" spans="1:13">
      <c r="J9" t="s">
        <v>35</v>
      </c>
      <c r="K9" t="s">
        <v>36</v>
      </c>
    </row>
    <row r="10" spans="1:13">
      <c r="J10" t="s">
        <v>37</v>
      </c>
    </row>
    <row r="12" spans="1:13">
      <c r="A12" t="s">
        <v>27</v>
      </c>
      <c r="K12">
        <f>_xlfn.CHISQ.DIST(K8,5,TRUE)</f>
        <v>1.5252120981490968E-2</v>
      </c>
      <c r="L12">
        <f>1-K12</f>
        <v>0.98474787901850902</v>
      </c>
      <c r="M12" t="s">
        <v>52</v>
      </c>
    </row>
    <row r="13" spans="1:13">
      <c r="J13" t="s">
        <v>38</v>
      </c>
    </row>
    <row r="15" spans="1:13">
      <c r="J15" t="s">
        <v>40</v>
      </c>
    </row>
    <row r="16" spans="1:13">
      <c r="I16" t="s">
        <v>41</v>
      </c>
      <c r="J16" t="s">
        <v>39</v>
      </c>
    </row>
    <row r="18" spans="1:10">
      <c r="I18" t="s">
        <v>42</v>
      </c>
      <c r="J18" t="s">
        <v>43</v>
      </c>
    </row>
    <row r="19" spans="1:10">
      <c r="I19" t="s">
        <v>44</v>
      </c>
      <c r="J19" t="s">
        <v>45</v>
      </c>
    </row>
    <row r="21" spans="1:10">
      <c r="I21" t="s">
        <v>46</v>
      </c>
    </row>
    <row r="22" spans="1:10">
      <c r="I22" t="s">
        <v>47</v>
      </c>
    </row>
    <row r="24" spans="1:10">
      <c r="I24" t="s">
        <v>48</v>
      </c>
    </row>
    <row r="25" spans="1:10">
      <c r="I25" t="s">
        <v>49</v>
      </c>
    </row>
    <row r="26" spans="1:10">
      <c r="I26" t="s">
        <v>50</v>
      </c>
    </row>
    <row r="27" spans="1:10">
      <c r="I27" t="s">
        <v>51</v>
      </c>
    </row>
    <row r="29" spans="1:10">
      <c r="I29" t="s">
        <v>53</v>
      </c>
    </row>
    <row r="30" spans="1:10">
      <c r="I30" t="s">
        <v>54</v>
      </c>
    </row>
    <row r="32" spans="1:10" ht="18" thickBot="1">
      <c r="A32" t="s">
        <v>57</v>
      </c>
    </row>
    <row r="33" spans="1:11">
      <c r="A33" s="2" t="s">
        <v>55</v>
      </c>
      <c r="B33" s="3">
        <v>0</v>
      </c>
      <c r="C33" s="3">
        <v>1</v>
      </c>
      <c r="D33" s="3"/>
      <c r="E33" s="3"/>
      <c r="F33" s="3">
        <v>2</v>
      </c>
      <c r="G33" s="3"/>
      <c r="H33" s="3">
        <v>3</v>
      </c>
      <c r="I33" s="3" t="s">
        <v>56</v>
      </c>
      <c r="J33" s="4" t="s">
        <v>59</v>
      </c>
    </row>
    <row r="34" spans="1:11" ht="18" thickBot="1">
      <c r="A34" s="5" t="s">
        <v>58</v>
      </c>
      <c r="B34" s="6">
        <v>109</v>
      </c>
      <c r="C34" s="6">
        <v>65</v>
      </c>
      <c r="D34" s="6"/>
      <c r="E34" s="6"/>
      <c r="F34" s="6">
        <v>22</v>
      </c>
      <c r="G34" s="6"/>
      <c r="H34" s="6">
        <v>3</v>
      </c>
      <c r="I34" s="6">
        <v>1</v>
      </c>
      <c r="J34" s="7">
        <f>SUM(B34:I34)</f>
        <v>200</v>
      </c>
    </row>
    <row r="35" spans="1:11">
      <c r="A35" t="s">
        <v>61</v>
      </c>
      <c r="B35">
        <f>_xlfn.POISSON.DIST(B33,0.61,TRUE)</f>
        <v>0.54335086907449981</v>
      </c>
      <c r="C35">
        <f t="shared" ref="C35:H35" si="1">_xlfn.POISSON.DIST(C33,0.61,TRUE)</f>
        <v>0.87479489920994469</v>
      </c>
      <c r="F35">
        <f t="shared" si="1"/>
        <v>0.97588532840125541</v>
      </c>
      <c r="H35">
        <f t="shared" si="1"/>
        <v>0.99644038233682186</v>
      </c>
      <c r="I35">
        <v>1</v>
      </c>
    </row>
    <row r="36" spans="1:11" ht="18" thickBot="1">
      <c r="A36" t="s">
        <v>60</v>
      </c>
      <c r="B36">
        <f>B35</f>
        <v>0.54335086907449981</v>
      </c>
      <c r="C36">
        <f>C35-B35</f>
        <v>0.33144403013544488</v>
      </c>
      <c r="F36">
        <f>F35-C35</f>
        <v>0.10109042919131073</v>
      </c>
      <c r="H36">
        <f>H35-F35</f>
        <v>2.0555053935566447E-2</v>
      </c>
      <c r="I36">
        <f>I35-H35</f>
        <v>3.5596176631781384E-3</v>
      </c>
    </row>
    <row r="37" spans="1:11" ht="18" thickBot="1">
      <c r="A37" s="8" t="s">
        <v>62</v>
      </c>
      <c r="B37" s="9">
        <f>B36*$J$34</f>
        <v>108.67017381489997</v>
      </c>
      <c r="C37" s="9">
        <f>C36*$J$34</f>
        <v>66.288806027088981</v>
      </c>
      <c r="D37" s="9"/>
      <c r="E37" s="9"/>
      <c r="F37" s="9">
        <f>F36*$J$34</f>
        <v>20.218085838262144</v>
      </c>
      <c r="G37" s="9"/>
      <c r="H37" s="9">
        <f>H36*$J$34</f>
        <v>4.1110107871132895</v>
      </c>
      <c r="I37" s="9">
        <f>I36*$J$34</f>
        <v>0.71192353263562769</v>
      </c>
    </row>
    <row r="38" spans="1:11">
      <c r="B38">
        <f>(B34-B37)^2/B37</f>
        <v>1.0010595231303915E-3</v>
      </c>
      <c r="C38">
        <f t="shared" ref="C38:I38" si="2">(C34-C37)^2/C37</f>
        <v>2.5057337354697645E-2</v>
      </c>
      <c r="F38">
        <f t="shared" si="2"/>
        <v>0.15704840236620796</v>
      </c>
      <c r="H38">
        <f t="shared" si="2"/>
        <v>0.30025340068466122</v>
      </c>
      <c r="I38">
        <f t="shared" si="2"/>
        <v>0.11656877072444058</v>
      </c>
      <c r="J38">
        <f>SUM(B38:I38)</f>
        <v>0.59992897065313777</v>
      </c>
      <c r="K38" t="s">
        <v>63</v>
      </c>
    </row>
    <row r="40" spans="1:11">
      <c r="A40" t="s">
        <v>64</v>
      </c>
      <c r="B40">
        <f>SQRT(2+4*B34)</f>
        <v>20.928449536456348</v>
      </c>
      <c r="C40">
        <f t="shared" ref="C40:I40" si="3">SQRT(2+4*C34)</f>
        <v>16.186414056238647</v>
      </c>
      <c r="F40">
        <f t="shared" si="3"/>
        <v>9.4868329805051381</v>
      </c>
      <c r="H40">
        <f t="shared" si="3"/>
        <v>3.7416573867739413</v>
      </c>
      <c r="I40">
        <f t="shared" si="3"/>
        <v>2.4494897427831779</v>
      </c>
      <c r="J40">
        <f>SUM(B40:I40)</f>
        <v>52.792843702757253</v>
      </c>
    </row>
    <row r="41" spans="1:11">
      <c r="A41" t="s">
        <v>65</v>
      </c>
      <c r="B41">
        <f>SQRT(1+4*B37)</f>
        <v>20.872965655593838</v>
      </c>
      <c r="C41">
        <f t="shared" ref="C41:I41" si="4">SQRT(1+4*C37)</f>
        <v>16.314264436632008</v>
      </c>
      <c r="F41">
        <f t="shared" si="4"/>
        <v>9.048333733514065</v>
      </c>
      <c r="H41">
        <f t="shared" si="4"/>
        <v>4.1766066547441545</v>
      </c>
      <c r="I41">
        <f t="shared" si="4"/>
        <v>1.9615540090811956</v>
      </c>
    </row>
    <row r="42" spans="1:11">
      <c r="A42" t="s">
        <v>69</v>
      </c>
      <c r="B42">
        <f>B40-B41</f>
        <v>5.5483880862510659E-2</v>
      </c>
      <c r="C42">
        <f t="shared" ref="C42:I42" si="5">C40-C41</f>
        <v>-0.12785038039336172</v>
      </c>
      <c r="F42">
        <f t="shared" si="5"/>
        <v>0.43849924699107312</v>
      </c>
      <c r="H42">
        <f t="shared" si="5"/>
        <v>-0.43494926797021316</v>
      </c>
      <c r="I42">
        <f t="shared" si="5"/>
        <v>0.48793573370198229</v>
      </c>
      <c r="K42" t="s">
        <v>72</v>
      </c>
    </row>
    <row r="43" spans="1:11">
      <c r="A43" t="s">
        <v>68</v>
      </c>
      <c r="K43" t="s">
        <v>73</v>
      </c>
    </row>
    <row r="48" spans="1:11">
      <c r="A48" t="s">
        <v>67</v>
      </c>
    </row>
    <row r="49" spans="1:10">
      <c r="A49" t="s">
        <v>70</v>
      </c>
    </row>
    <row r="50" spans="1:10">
      <c r="A50" t="s">
        <v>71</v>
      </c>
    </row>
    <row r="55" spans="1:10">
      <c r="A55" t="s">
        <v>74</v>
      </c>
    </row>
    <row r="57" spans="1:10">
      <c r="A57" t="s">
        <v>75</v>
      </c>
      <c r="B57" t="s">
        <v>78</v>
      </c>
      <c r="E57" t="s">
        <v>32</v>
      </c>
      <c r="F57" t="s">
        <v>80</v>
      </c>
      <c r="G57" t="s">
        <v>65</v>
      </c>
      <c r="H57" t="s">
        <v>66</v>
      </c>
      <c r="J57" t="s">
        <v>28</v>
      </c>
    </row>
    <row r="58" spans="1:10">
      <c r="A58">
        <v>0</v>
      </c>
      <c r="B58">
        <v>80</v>
      </c>
      <c r="C58">
        <f t="shared" ref="C58:C63" si="6">A58*B58</f>
        <v>0</v>
      </c>
      <c r="D58">
        <f t="shared" ref="D58:D63" si="7">_xlfn.POISSON.DIST(A58,2.8,)</f>
        <v>6.0810062625217973E-2</v>
      </c>
      <c r="E58">
        <f t="shared" ref="E58:E64" si="8">$B$66*D58</f>
        <v>100.03255301848357</v>
      </c>
      <c r="F58">
        <f t="shared" ref="F58:F64" si="9">SQRT(2+4*B58)</f>
        <v>17.944358444926362</v>
      </c>
      <c r="G58">
        <f>SQRT(1+4*E58)</f>
        <v>20.028235370944049</v>
      </c>
      <c r="H58" s="1">
        <f>F58-G58</f>
        <v>-2.0838769260176875</v>
      </c>
      <c r="J58">
        <f t="shared" ref="J58:J64" si="10">(B58-E58)^2/E58</f>
        <v>4.0117258665207123</v>
      </c>
    </row>
    <row r="59" spans="1:10">
      <c r="A59">
        <v>1</v>
      </c>
      <c r="B59">
        <v>200</v>
      </c>
      <c r="C59">
        <f t="shared" si="6"/>
        <v>200</v>
      </c>
      <c r="D59">
        <f t="shared" si="7"/>
        <v>0.17026817535061031</v>
      </c>
      <c r="E59">
        <f t="shared" si="8"/>
        <v>280.09114845175395</v>
      </c>
      <c r="F59">
        <f t="shared" si="9"/>
        <v>28.319604517012593</v>
      </c>
      <c r="G59">
        <f t="shared" ref="G59:G64" si="11">SQRT(1+4*E59)</f>
        <v>33.486782374647696</v>
      </c>
      <c r="H59" s="1">
        <f t="shared" ref="H59:H64" si="12">F59-G59</f>
        <v>-5.1671778576351031</v>
      </c>
      <c r="J59">
        <f t="shared" si="10"/>
        <v>22.901802130408313</v>
      </c>
    </row>
    <row r="60" spans="1:10">
      <c r="A60">
        <v>2</v>
      </c>
      <c r="B60">
        <v>383</v>
      </c>
      <c r="C60">
        <f t="shared" si="6"/>
        <v>766</v>
      </c>
      <c r="D60">
        <f t="shared" si="7"/>
        <v>0.23837544549085449</v>
      </c>
      <c r="E60">
        <f t="shared" si="8"/>
        <v>392.12760783245562</v>
      </c>
      <c r="F60">
        <f t="shared" si="9"/>
        <v>39.166312055132281</v>
      </c>
      <c r="G60">
        <f t="shared" si="11"/>
        <v>39.617047231334929</v>
      </c>
      <c r="H60">
        <f t="shared" si="12"/>
        <v>-0.4507351762026488</v>
      </c>
      <c r="J60">
        <f t="shared" si="10"/>
        <v>0.21246457295784818</v>
      </c>
    </row>
    <row r="61" spans="1:10">
      <c r="A61">
        <v>3</v>
      </c>
      <c r="B61">
        <v>525</v>
      </c>
      <c r="C61">
        <f t="shared" si="6"/>
        <v>1575</v>
      </c>
      <c r="D61">
        <f t="shared" si="7"/>
        <v>0.22248374912479749</v>
      </c>
      <c r="E61">
        <f t="shared" si="8"/>
        <v>365.98576731029186</v>
      </c>
      <c r="F61">
        <f t="shared" si="9"/>
        <v>45.847573545390603</v>
      </c>
      <c r="G61">
        <f t="shared" si="11"/>
        <v>38.274574710127972</v>
      </c>
      <c r="H61" s="1">
        <f t="shared" si="12"/>
        <v>7.5729988352626307</v>
      </c>
      <c r="J61">
        <f t="shared" si="10"/>
        <v>69.088823818820657</v>
      </c>
    </row>
    <row r="62" spans="1:10">
      <c r="A62">
        <v>4</v>
      </c>
      <c r="B62">
        <v>273</v>
      </c>
      <c r="C62">
        <f t="shared" si="6"/>
        <v>1092</v>
      </c>
      <c r="D62">
        <f t="shared" si="7"/>
        <v>0.15573862438735825</v>
      </c>
      <c r="E62">
        <f t="shared" si="8"/>
        <v>256.19003711720433</v>
      </c>
      <c r="F62">
        <f t="shared" si="9"/>
        <v>33.075670817082454</v>
      </c>
      <c r="G62">
        <f t="shared" si="11"/>
        <v>32.027490511571735</v>
      </c>
      <c r="H62">
        <f t="shared" si="12"/>
        <v>1.0481803055107193</v>
      </c>
      <c r="J62">
        <f t="shared" si="10"/>
        <v>1.1029892313559919</v>
      </c>
    </row>
    <row r="63" spans="1:10">
      <c r="A63">
        <v>5</v>
      </c>
      <c r="B63">
        <v>139</v>
      </c>
      <c r="C63">
        <f t="shared" si="6"/>
        <v>695</v>
      </c>
      <c r="D63">
        <f t="shared" si="7"/>
        <v>8.7213629656920602E-2</v>
      </c>
      <c r="E63">
        <f t="shared" si="8"/>
        <v>143.4664207856344</v>
      </c>
      <c r="F63">
        <f t="shared" si="9"/>
        <v>23.622023622035432</v>
      </c>
      <c r="G63">
        <f t="shared" si="11"/>
        <v>23.976356752904259</v>
      </c>
      <c r="H63">
        <f t="shared" si="12"/>
        <v>-0.35433313086882734</v>
      </c>
      <c r="J63">
        <f t="shared" si="10"/>
        <v>0.1390493644791933</v>
      </c>
    </row>
    <row r="64" spans="1:10">
      <c r="A64" t="s">
        <v>76</v>
      </c>
      <c r="B64">
        <v>45</v>
      </c>
      <c r="C64">
        <f>6*B64</f>
        <v>270</v>
      </c>
      <c r="D64">
        <f>1-SUM(D58:D63)</f>
        <v>6.5110313364241001E-2</v>
      </c>
      <c r="E64">
        <f t="shared" si="8"/>
        <v>107.10646548417645</v>
      </c>
      <c r="F64">
        <f t="shared" si="9"/>
        <v>13.490737563232042</v>
      </c>
      <c r="G64">
        <f t="shared" si="11"/>
        <v>20.722593031199203</v>
      </c>
      <c r="H64" s="1">
        <f t="shared" si="12"/>
        <v>-7.2318554679671614</v>
      </c>
      <c r="J64">
        <f t="shared" si="10"/>
        <v>36.012887153923053</v>
      </c>
    </row>
    <row r="65" spans="1:12">
      <c r="J65">
        <f>SUM(J58:J64)</f>
        <v>133.46974213846576</v>
      </c>
      <c r="K65">
        <f>1-_xlfn.CHISQ.DIST(J65,5,TRUE)</f>
        <v>0</v>
      </c>
    </row>
    <row r="66" spans="1:12">
      <c r="B66">
        <f>SUM(B58:B64)</f>
        <v>1645</v>
      </c>
      <c r="C66">
        <f>SUM(C58:C64)</f>
        <v>4598</v>
      </c>
    </row>
    <row r="67" spans="1:12">
      <c r="B67" s="10" t="s">
        <v>77</v>
      </c>
      <c r="C67" s="11">
        <v>2.8</v>
      </c>
      <c r="D67" s="11"/>
      <c r="E67" s="11"/>
    </row>
    <row r="68" spans="1:12">
      <c r="B68" t="s">
        <v>79</v>
      </c>
      <c r="C68">
        <v>1645</v>
      </c>
    </row>
    <row r="72" spans="1:12">
      <c r="A72" t="s">
        <v>74</v>
      </c>
    </row>
    <row r="74" spans="1:12">
      <c r="A74" t="s">
        <v>75</v>
      </c>
      <c r="B74" t="s">
        <v>81</v>
      </c>
      <c r="D74" s="12"/>
      <c r="E74" s="12" t="s">
        <v>84</v>
      </c>
      <c r="F74" t="s">
        <v>64</v>
      </c>
      <c r="G74" t="s">
        <v>65</v>
      </c>
      <c r="H74" t="s">
        <v>66</v>
      </c>
      <c r="J74" t="s">
        <v>28</v>
      </c>
      <c r="L74" t="s">
        <v>85</v>
      </c>
    </row>
    <row r="75" spans="1:12">
      <c r="A75">
        <v>0</v>
      </c>
      <c r="B75">
        <v>57</v>
      </c>
      <c r="C75">
        <f>A75*B75</f>
        <v>0</v>
      </c>
      <c r="D75">
        <f>_xlfn.POISSON.DIST(A75,$C$93,TRUE)</f>
        <v>2.0826083160879652E-2</v>
      </c>
      <c r="E75">
        <f>D75*$B$91</f>
        <v>54.314424883574134</v>
      </c>
      <c r="F75">
        <f t="shared" ref="F75:F89" si="13">SQRT(2+4*B75)</f>
        <v>15.165750888103101</v>
      </c>
      <c r="G75">
        <f>SQRT(1+4*E75)</f>
        <v>14.773547290149937</v>
      </c>
      <c r="H75">
        <f>F75-G75</f>
        <v>0.39220359795316462</v>
      </c>
      <c r="J75">
        <f t="shared" ref="J75:J89" si="14">((E75-B75)^2)/E75</f>
        <v>0.13278818143478063</v>
      </c>
      <c r="L75">
        <f>H75^2</f>
        <v>0.15382366224740759</v>
      </c>
    </row>
    <row r="76" spans="1:12">
      <c r="A76">
        <v>1</v>
      </c>
      <c r="B76">
        <v>203</v>
      </c>
      <c r="C76">
        <f t="shared" ref="C76:C89" si="15">A76*B76</f>
        <v>203</v>
      </c>
      <c r="D76">
        <f t="shared" ref="D76:D88" si="16">_xlfn.POISSON.DIST(A76,$C$93,TRUE)</f>
        <v>0.10145528625727607</v>
      </c>
      <c r="E76">
        <f>(D76-D75)*$B$91</f>
        <v>210.28096167540184</v>
      </c>
      <c r="F76">
        <f t="shared" si="13"/>
        <v>28.530685235374211</v>
      </c>
      <c r="G76">
        <f t="shared" ref="G76:G89" si="17">SQRT(1+4*E76)</f>
        <v>29.019370198224621</v>
      </c>
      <c r="H76">
        <f t="shared" ref="H76:H89" si="18">F76-G76</f>
        <v>-0.48868496285041019</v>
      </c>
      <c r="J76">
        <f t="shared" si="14"/>
        <v>0.25210272245426796</v>
      </c>
      <c r="L76">
        <f t="shared" ref="L76:L89" si="19">H76^2</f>
        <v>0.23881299291610678</v>
      </c>
    </row>
    <row r="77" spans="1:12">
      <c r="A77">
        <v>2</v>
      </c>
      <c r="B77">
        <v>383</v>
      </c>
      <c r="C77">
        <f t="shared" si="15"/>
        <v>766</v>
      </c>
      <c r="D77">
        <f t="shared" si="16"/>
        <v>0.25753524478187623</v>
      </c>
      <c r="E77">
        <f t="shared" ref="E77:E88" si="20">(D77-D76)*$B$91</f>
        <v>407.05653183215719</v>
      </c>
      <c r="F77">
        <f t="shared" si="13"/>
        <v>39.166312055132281</v>
      </c>
      <c r="G77">
        <f t="shared" si="17"/>
        <v>40.363673362673879</v>
      </c>
      <c r="H77">
        <f t="shared" si="18"/>
        <v>-1.1973613075415983</v>
      </c>
      <c r="J77">
        <f t="shared" si="14"/>
        <v>1.4217109382492754</v>
      </c>
      <c r="L77">
        <f t="shared" si="19"/>
        <v>1.4336741007977261</v>
      </c>
    </row>
    <row r="78" spans="1:12">
      <c r="A78">
        <v>3</v>
      </c>
      <c r="B78">
        <v>525</v>
      </c>
      <c r="C78">
        <f t="shared" si="15"/>
        <v>1575</v>
      </c>
      <c r="D78">
        <f t="shared" si="16"/>
        <v>0.45895898471322694</v>
      </c>
      <c r="E78">
        <f t="shared" si="20"/>
        <v>525.31311374096265</v>
      </c>
      <c r="F78">
        <f t="shared" si="13"/>
        <v>45.847573545390603</v>
      </c>
      <c r="G78">
        <f t="shared" si="17"/>
        <v>45.850326661473751</v>
      </c>
      <c r="H78">
        <f t="shared" si="18"/>
        <v>-2.7531160831486545E-3</v>
      </c>
      <c r="J78">
        <f t="shared" si="14"/>
        <v>1.8663195761750866E-4</v>
      </c>
      <c r="L78">
        <f t="shared" si="19"/>
        <v>7.5796481672917895E-6</v>
      </c>
    </row>
    <row r="79" spans="1:12">
      <c r="A79">
        <v>4</v>
      </c>
      <c r="B79">
        <v>532</v>
      </c>
      <c r="C79">
        <f t="shared" si="15"/>
        <v>2128</v>
      </c>
      <c r="D79">
        <f t="shared" si="16"/>
        <v>0.65391445845621443</v>
      </c>
      <c r="E79">
        <f t="shared" si="20"/>
        <v>508.44387552171139</v>
      </c>
      <c r="F79">
        <f t="shared" si="13"/>
        <v>46.151923036857305</v>
      </c>
      <c r="G79">
        <f t="shared" si="17"/>
        <v>45.108485921019842</v>
      </c>
      <c r="H79">
        <f t="shared" si="18"/>
        <v>1.0434371158374631</v>
      </c>
      <c r="J79">
        <f t="shared" si="14"/>
        <v>1.0913515279680717</v>
      </c>
      <c r="L79">
        <f t="shared" si="19"/>
        <v>1.0887610147072035</v>
      </c>
    </row>
    <row r="80" spans="1:12">
      <c r="A80">
        <v>5</v>
      </c>
      <c r="B80">
        <v>408</v>
      </c>
      <c r="C80">
        <f t="shared" si="15"/>
        <v>2040</v>
      </c>
      <c r="D80">
        <f t="shared" si="16"/>
        <v>0.80487039544877192</v>
      </c>
      <c r="E80">
        <f t="shared" si="20"/>
        <v>393.69308367658994</v>
      </c>
      <c r="F80">
        <f t="shared" si="13"/>
        <v>40.422765862815474</v>
      </c>
      <c r="G80">
        <f t="shared" si="17"/>
        <v>39.695998976047441</v>
      </c>
      <c r="H80">
        <f t="shared" si="18"/>
        <v>0.7267668867680328</v>
      </c>
      <c r="J80">
        <f t="shared" si="14"/>
        <v>0.51991732436225335</v>
      </c>
      <c r="L80">
        <f t="shared" si="19"/>
        <v>0.52819010770249863</v>
      </c>
    </row>
    <row r="81" spans="1:13">
      <c r="A81">
        <v>6</v>
      </c>
      <c r="B81">
        <v>273</v>
      </c>
      <c r="C81">
        <f t="shared" si="15"/>
        <v>1638</v>
      </c>
      <c r="D81">
        <f t="shared" si="16"/>
        <v>0.90227594860661009</v>
      </c>
      <c r="E81">
        <f t="shared" si="20"/>
        <v>254.03368263564192</v>
      </c>
      <c r="F81">
        <f t="shared" si="13"/>
        <v>33.075670817082454</v>
      </c>
      <c r="G81">
        <f t="shared" si="17"/>
        <v>31.892549765463528</v>
      </c>
      <c r="H81">
        <f t="shared" si="18"/>
        <v>1.1831210516189259</v>
      </c>
      <c r="J81">
        <f t="shared" si="14"/>
        <v>1.416037395645267</v>
      </c>
      <c r="L81">
        <f t="shared" si="19"/>
        <v>1.399775422783873</v>
      </c>
    </row>
    <row r="82" spans="1:13">
      <c r="A82">
        <v>7</v>
      </c>
      <c r="B82">
        <v>139</v>
      </c>
      <c r="C82">
        <f t="shared" si="15"/>
        <v>973</v>
      </c>
      <c r="D82">
        <f t="shared" si="16"/>
        <v>0.95614885999106947</v>
      </c>
      <c r="E82">
        <f t="shared" si="20"/>
        <v>140.50055289067006</v>
      </c>
      <c r="F82">
        <f t="shared" si="13"/>
        <v>23.622023622035432</v>
      </c>
      <c r="G82">
        <f t="shared" si="17"/>
        <v>23.727667638490729</v>
      </c>
      <c r="H82">
        <f t="shared" si="18"/>
        <v>-0.10564401645529742</v>
      </c>
      <c r="J82">
        <f t="shared" si="14"/>
        <v>1.6025979481023155E-2</v>
      </c>
      <c r="L82">
        <f t="shared" si="19"/>
        <v>1.1160658212807152E-2</v>
      </c>
    </row>
    <row r="83" spans="1:13">
      <c r="A83">
        <v>8</v>
      </c>
      <c r="B83">
        <v>45</v>
      </c>
      <c r="C83">
        <f t="shared" si="15"/>
        <v>360</v>
      </c>
      <c r="D83">
        <f t="shared" si="16"/>
        <v>0.98222031255284514</v>
      </c>
      <c r="E83">
        <f t="shared" si="20"/>
        <v>67.994348281110959</v>
      </c>
      <c r="F83">
        <f t="shared" si="13"/>
        <v>13.490737563232042</v>
      </c>
      <c r="G83">
        <f t="shared" si="17"/>
        <v>16.522027512519273</v>
      </c>
      <c r="H83">
        <f t="shared" si="18"/>
        <v>-3.0312899492872312</v>
      </c>
      <c r="J83">
        <f t="shared" si="14"/>
        <v>7.7762353230748769</v>
      </c>
      <c r="L83">
        <f t="shared" si="19"/>
        <v>9.1887187566497843</v>
      </c>
    </row>
    <row r="84" spans="1:13">
      <c r="A84">
        <v>9</v>
      </c>
      <c r="B84">
        <v>27</v>
      </c>
      <c r="C84">
        <f t="shared" si="15"/>
        <v>243</v>
      </c>
      <c r="D84">
        <f t="shared" si="16"/>
        <v>0.9934355245721127</v>
      </c>
      <c r="E84">
        <f t="shared" si="20"/>
        <v>29.249272946249803</v>
      </c>
      <c r="F84">
        <f t="shared" si="13"/>
        <v>10.488088481701515</v>
      </c>
      <c r="G84">
        <f t="shared" si="17"/>
        <v>10.862646628929767</v>
      </c>
      <c r="H84">
        <f t="shared" si="18"/>
        <v>-0.37455814722825131</v>
      </c>
      <c r="J84">
        <f t="shared" si="14"/>
        <v>0.17296938614605598</v>
      </c>
      <c r="L84">
        <f t="shared" si="19"/>
        <v>0.14029380565506039</v>
      </c>
    </row>
    <row r="85" spans="1:13">
      <c r="A85">
        <v>10</v>
      </c>
      <c r="B85">
        <v>10</v>
      </c>
      <c r="C85">
        <f t="shared" si="15"/>
        <v>100</v>
      </c>
      <c r="D85">
        <f t="shared" si="16"/>
        <v>0.99777754894935755</v>
      </c>
      <c r="E85">
        <f t="shared" si="20"/>
        <v>11.323999575854559</v>
      </c>
      <c r="F85">
        <f t="shared" si="13"/>
        <v>6.4807406984078604</v>
      </c>
      <c r="G85">
        <f t="shared" si="17"/>
        <v>6.8041162764475329</v>
      </c>
      <c r="H85">
        <f t="shared" si="18"/>
        <v>-0.32337557803967254</v>
      </c>
      <c r="J85">
        <f t="shared" si="14"/>
        <v>0.15480174342295183</v>
      </c>
      <c r="L85">
        <f t="shared" si="19"/>
        <v>0.10457176447249235</v>
      </c>
    </row>
    <row r="86" spans="1:13">
      <c r="A86">
        <v>11</v>
      </c>
      <c r="B86">
        <v>4</v>
      </c>
      <c r="C86">
        <f t="shared" si="15"/>
        <v>44</v>
      </c>
      <c r="D86">
        <f t="shared" si="16"/>
        <v>0.99930576353862977</v>
      </c>
      <c r="E86">
        <f t="shared" si="20"/>
        <v>3.9855836488219349</v>
      </c>
      <c r="F86">
        <f t="shared" si="13"/>
        <v>4.2426406871192848</v>
      </c>
      <c r="G86">
        <f t="shared" si="17"/>
        <v>4.1161067278786323</v>
      </c>
      <c r="H86">
        <f t="shared" si="18"/>
        <v>0.12653395924065247</v>
      </c>
      <c r="J86">
        <f t="shared" si="14"/>
        <v>5.2145733122607729E-5</v>
      </c>
      <c r="L86">
        <f t="shared" si="19"/>
        <v>1.6010842841115102E-2</v>
      </c>
    </row>
    <row r="87" spans="1:13">
      <c r="A87">
        <v>12</v>
      </c>
      <c r="B87">
        <v>0</v>
      </c>
      <c r="C87">
        <f t="shared" si="15"/>
        <v>0</v>
      </c>
      <c r="D87">
        <f t="shared" si="16"/>
        <v>0.99979881002086013</v>
      </c>
      <c r="E87">
        <f t="shared" si="20"/>
        <v>1.2858652256567886</v>
      </c>
      <c r="F87">
        <f t="shared" si="13"/>
        <v>1.4142135623730951</v>
      </c>
      <c r="G87" s="1">
        <f>1-SQRT(1+4*E87)</f>
        <v>-1.4786005936066333</v>
      </c>
      <c r="H87">
        <f t="shared" si="18"/>
        <v>2.8928141559797282</v>
      </c>
      <c r="J87">
        <f t="shared" si="14"/>
        <v>1.2858652256567886</v>
      </c>
      <c r="L87">
        <f t="shared" si="19"/>
        <v>8.3683737410367076</v>
      </c>
    </row>
    <row r="88" spans="1:13">
      <c r="A88">
        <v>13</v>
      </c>
      <c r="B88">
        <v>1</v>
      </c>
      <c r="C88">
        <f t="shared" si="15"/>
        <v>13</v>
      </c>
      <c r="D88">
        <f t="shared" si="16"/>
        <v>0.99994564491736437</v>
      </c>
      <c r="E88">
        <f t="shared" si="20"/>
        <v>0.38294541008306915</v>
      </c>
      <c r="F88">
        <f t="shared" si="13"/>
        <v>2.4494897427831779</v>
      </c>
      <c r="G88">
        <f t="shared" si="17"/>
        <v>1.5911573273351307</v>
      </c>
      <c r="H88">
        <f t="shared" si="18"/>
        <v>0.85833241544804717</v>
      </c>
      <c r="J88">
        <f t="shared" si="14"/>
        <v>0.99428366788612876</v>
      </c>
      <c r="L88">
        <f t="shared" si="19"/>
        <v>0.73673453540887901</v>
      </c>
    </row>
    <row r="89" spans="1:13">
      <c r="A89">
        <v>14</v>
      </c>
      <c r="B89">
        <v>1</v>
      </c>
      <c r="C89">
        <f t="shared" si="15"/>
        <v>14</v>
      </c>
      <c r="D89">
        <v>1</v>
      </c>
      <c r="E89">
        <f>(D89-D88)*$B$91</f>
        <v>0.1417580555137139</v>
      </c>
      <c r="F89">
        <f t="shared" si="13"/>
        <v>2.4494897427831779</v>
      </c>
      <c r="G89">
        <f t="shared" si="17"/>
        <v>1.2518115760987576</v>
      </c>
      <c r="H89">
        <f t="shared" si="18"/>
        <v>1.1976781666844203</v>
      </c>
      <c r="J89">
        <f t="shared" si="14"/>
        <v>5.1960308894357228</v>
      </c>
      <c r="L89">
        <f t="shared" si="19"/>
        <v>1.4344329909525539</v>
      </c>
    </row>
    <row r="91" spans="1:13">
      <c r="A91" t="s">
        <v>99</v>
      </c>
      <c r="B91">
        <f>SUM(B75:B89)</f>
        <v>2608</v>
      </c>
      <c r="C91">
        <f>SUM(C75:C89)</f>
        <v>10097</v>
      </c>
      <c r="D91">
        <f>SUM(D75:D89)</f>
        <v>11.128468865967093</v>
      </c>
      <c r="J91" s="1">
        <f>SUM(J75:J89)</f>
        <v>20.430359082908204</v>
      </c>
      <c r="K91">
        <f>1-J113</f>
        <v>8.49867027727641E-2</v>
      </c>
      <c r="L91" s="1">
        <f>SUM(L75:L89)</f>
        <v>24.843341976032384</v>
      </c>
      <c r="M91" t="s">
        <v>86</v>
      </c>
    </row>
    <row r="92" spans="1:13">
      <c r="M92" t="s">
        <v>87</v>
      </c>
    </row>
    <row r="93" spans="1:13">
      <c r="B93" s="10" t="s">
        <v>83</v>
      </c>
      <c r="C93">
        <f>C91/B91</f>
        <v>3.8715490797546011</v>
      </c>
    </row>
    <row r="94" spans="1:13">
      <c r="B94" t="s">
        <v>82</v>
      </c>
      <c r="C94">
        <f>B91</f>
        <v>2608</v>
      </c>
      <c r="J94" s="1" t="s">
        <v>88</v>
      </c>
    </row>
    <row r="95" spans="1:13">
      <c r="J95" t="s">
        <v>89</v>
      </c>
      <c r="L95" t="s">
        <v>90</v>
      </c>
    </row>
    <row r="96" spans="1:13">
      <c r="J96" t="s">
        <v>91</v>
      </c>
    </row>
    <row r="97" spans="8:12">
      <c r="J97" t="s">
        <v>93</v>
      </c>
    </row>
    <row r="98" spans="8:12">
      <c r="J98" t="s">
        <v>92</v>
      </c>
      <c r="L98" t="s">
        <v>127</v>
      </c>
    </row>
    <row r="100" spans="8:12">
      <c r="J100" t="s">
        <v>94</v>
      </c>
    </row>
    <row r="101" spans="8:12">
      <c r="J101" t="s">
        <v>95</v>
      </c>
    </row>
    <row r="102" spans="8:12">
      <c r="J102" t="s">
        <v>96</v>
      </c>
    </row>
    <row r="103" spans="8:12">
      <c r="J103" t="s">
        <v>97</v>
      </c>
    </row>
    <row r="105" spans="8:12">
      <c r="J105" t="s">
        <v>98</v>
      </c>
    </row>
    <row r="106" spans="8:12">
      <c r="J106" t="s">
        <v>100</v>
      </c>
    </row>
    <row r="107" spans="8:12">
      <c r="J107" t="s">
        <v>101</v>
      </c>
    </row>
    <row r="109" spans="8:12">
      <c r="J109" s="10" t="s">
        <v>102</v>
      </c>
    </row>
    <row r="110" spans="8:12">
      <c r="H110" t="s">
        <v>105</v>
      </c>
      <c r="I110" s="12" t="s">
        <v>104</v>
      </c>
      <c r="J110" s="13">
        <f>15-1-1</f>
        <v>13</v>
      </c>
      <c r="K110" t="s">
        <v>103</v>
      </c>
    </row>
    <row r="111" spans="8:12">
      <c r="H111" t="s">
        <v>106</v>
      </c>
      <c r="I111" s="12" t="s">
        <v>107</v>
      </c>
    </row>
    <row r="113" spans="8:10">
      <c r="J113">
        <f>_xlfn.CHISQ.DIST(J91,J110,TRUE)</f>
        <v>0.9150132972272359</v>
      </c>
    </row>
    <row r="114" spans="8:10">
      <c r="H114" t="s">
        <v>108</v>
      </c>
      <c r="I114" t="s">
        <v>109</v>
      </c>
    </row>
    <row r="115" spans="8:10">
      <c r="H115" t="s">
        <v>110</v>
      </c>
      <c r="I115" t="s">
        <v>111</v>
      </c>
    </row>
    <row r="116" spans="8:10">
      <c r="H116" t="s">
        <v>112</v>
      </c>
    </row>
    <row r="118" spans="8:10">
      <c r="H118" t="s">
        <v>113</v>
      </c>
    </row>
    <row r="119" spans="8:10">
      <c r="H119" t="s">
        <v>114</v>
      </c>
    </row>
    <row r="120" spans="8:10">
      <c r="H120" t="s">
        <v>115</v>
      </c>
    </row>
    <row r="121" spans="8:10">
      <c r="H121" t="s">
        <v>116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ED0-CA90-49C8-B1F1-C9BC060AAFE1}">
  <dimension ref="A1:J51"/>
  <sheetViews>
    <sheetView zoomScale="80" zoomScaleNormal="80" workbookViewId="0">
      <selection activeCell="H40" sqref="H40"/>
    </sheetView>
  </sheetViews>
  <sheetFormatPr defaultRowHeight="17.399999999999999"/>
  <cols>
    <col min="4" max="4" width="17.3984375" customWidth="1"/>
    <col min="5" max="5" width="33" customWidth="1"/>
    <col min="6" max="6" width="28.59765625" customWidth="1"/>
    <col min="7" max="8" width="28.59765625" style="14" customWidth="1"/>
    <col min="9" max="9" width="17.796875" customWidth="1"/>
  </cols>
  <sheetData>
    <row r="1" spans="1:10">
      <c r="C1" t="s">
        <v>119</v>
      </c>
      <c r="E1" t="s">
        <v>42</v>
      </c>
      <c r="F1" t="s">
        <v>117</v>
      </c>
    </row>
    <row r="2" spans="1:10">
      <c r="E2" t="s">
        <v>44</v>
      </c>
      <c r="F2" t="s">
        <v>118</v>
      </c>
    </row>
    <row r="3" spans="1:10">
      <c r="J3" t="s">
        <v>129</v>
      </c>
    </row>
    <row r="4" spans="1:10" ht="75" customHeight="1">
      <c r="B4" s="14" t="s">
        <v>125</v>
      </c>
      <c r="C4" s="1" t="s">
        <v>78</v>
      </c>
      <c r="D4" s="14" t="s">
        <v>122</v>
      </c>
      <c r="E4" t="s">
        <v>123</v>
      </c>
      <c r="F4" s="1" t="s">
        <v>126</v>
      </c>
      <c r="G4" s="14" t="s">
        <v>132</v>
      </c>
    </row>
    <row r="5" spans="1:10">
      <c r="B5">
        <v>1</v>
      </c>
      <c r="C5" s="1">
        <v>-67</v>
      </c>
      <c r="D5" s="14">
        <f>(ROW()-4-3/8)/(COUNT($C$5:$C$19)+1/4)</f>
        <v>4.0983606557377046E-2</v>
      </c>
      <c r="E5">
        <f t="shared" ref="E5:E19" si="0">_xlfn.NORM.DIST(C5,$F$21,$F$22,TRUE)</f>
        <v>8.0953036328998263E-5</v>
      </c>
      <c r="F5" s="1">
        <f>_xlfn.NORM.INV(D5,$F$21,$F$22)</f>
        <v>-15.806712100196222</v>
      </c>
      <c r="G5" s="14">
        <f>_xlfn.NORM.S.INV(D5)</f>
        <v>-1.7393841569195561</v>
      </c>
      <c r="H5" s="14">
        <f>$F$21+$F$22*G5</f>
        <v>-15.806712100196222</v>
      </c>
    </row>
    <row r="6" spans="1:10">
      <c r="B6">
        <v>2</v>
      </c>
      <c r="C6" s="1">
        <v>-48</v>
      </c>
      <c r="D6" s="14">
        <f t="shared" ref="D6:D19" si="1">(ROW()-4-3/8)/(COUNT($C$5:$C$19)+1/4)</f>
        <v>0.10655737704918032</v>
      </c>
      <c r="E6">
        <f t="shared" si="0"/>
        <v>1.2737270287158189E-3</v>
      </c>
      <c r="F6" s="1">
        <f t="shared" ref="F6:F11" si="2">_xlfn.NORM.INV(D6,$F$21,$F$22)</f>
        <v>-3.3567200876430547</v>
      </c>
      <c r="G6" s="14">
        <f t="shared" ref="G6:G19" si="3">_xlfn.NORM.S.INV(D6)</f>
        <v>-1.2450462387740626</v>
      </c>
      <c r="H6" s="14">
        <f t="shared" ref="H6:H19" si="4">$F$21+$F$22*G6</f>
        <v>-3.3567200876430547</v>
      </c>
      <c r="J6" t="s">
        <v>130</v>
      </c>
    </row>
    <row r="7" spans="1:10">
      <c r="B7">
        <v>3</v>
      </c>
      <c r="C7" s="1">
        <v>6</v>
      </c>
      <c r="D7" s="14">
        <f t="shared" si="1"/>
        <v>0.1721311475409836</v>
      </c>
      <c r="E7">
        <f t="shared" si="0"/>
        <v>0.1911872911035554</v>
      </c>
      <c r="F7" s="1">
        <f t="shared" si="2"/>
        <v>4.1804289404171371</v>
      </c>
      <c r="G7" s="14">
        <f t="shared" si="3"/>
        <v>-0.94577708618931966</v>
      </c>
      <c r="H7" s="14">
        <f t="shared" si="4"/>
        <v>4.1804289404171371</v>
      </c>
    </row>
    <row r="8" spans="1:10">
      <c r="B8">
        <v>4</v>
      </c>
      <c r="C8" s="1">
        <v>8</v>
      </c>
      <c r="D8" s="14">
        <f t="shared" si="1"/>
        <v>0.23770491803278687</v>
      </c>
      <c r="E8">
        <f t="shared" si="0"/>
        <v>0.21356347254733171</v>
      </c>
      <c r="F8" s="1">
        <f t="shared" si="2"/>
        <v>10.025216451148978</v>
      </c>
      <c r="G8" s="14">
        <f t="shared" si="3"/>
        <v>-0.7137046409102612</v>
      </c>
      <c r="H8" s="14">
        <f t="shared" si="4"/>
        <v>10.025216451148978</v>
      </c>
    </row>
    <row r="9" spans="1:10">
      <c r="B9">
        <v>5</v>
      </c>
      <c r="C9" s="1">
        <v>14</v>
      </c>
      <c r="D9" s="14">
        <f t="shared" si="1"/>
        <v>0.30327868852459017</v>
      </c>
      <c r="E9">
        <f t="shared" si="0"/>
        <v>0.28914564138992449</v>
      </c>
      <c r="F9" s="1">
        <f t="shared" si="2"/>
        <v>15.029786662041937</v>
      </c>
      <c r="G9" s="14">
        <f t="shared" si="3"/>
        <v>-0.51499376488951132</v>
      </c>
      <c r="H9" s="14">
        <f t="shared" si="4"/>
        <v>15.029786662041937</v>
      </c>
    </row>
    <row r="10" spans="1:10">
      <c r="B10">
        <v>6</v>
      </c>
      <c r="C10" s="1">
        <v>16</v>
      </c>
      <c r="D10" s="14">
        <f t="shared" si="1"/>
        <v>0.36885245901639346</v>
      </c>
      <c r="E10">
        <f t="shared" si="0"/>
        <v>0.31686957810401628</v>
      </c>
      <c r="F10" s="1">
        <f t="shared" si="2"/>
        <v>19.565628242365236</v>
      </c>
      <c r="G10" s="14">
        <f t="shared" si="3"/>
        <v>-0.33489417272961575</v>
      </c>
      <c r="H10" s="14">
        <f t="shared" si="4"/>
        <v>19.565628242365236</v>
      </c>
    </row>
    <row r="11" spans="1:10" ht="18" thickBot="1">
      <c r="B11">
        <v>7</v>
      </c>
      <c r="C11" s="1">
        <v>23</v>
      </c>
      <c r="D11" s="14">
        <f t="shared" si="1"/>
        <v>0.4344262295081967</v>
      </c>
      <c r="E11">
        <f t="shared" si="0"/>
        <v>0.42131543771518293</v>
      </c>
      <c r="F11" s="1">
        <f t="shared" si="2"/>
        <v>23.841515901993684</v>
      </c>
      <c r="G11" s="14">
        <f t="shared" si="3"/>
        <v>-0.16511628036201545</v>
      </c>
      <c r="H11" s="14">
        <f t="shared" si="4"/>
        <v>23.841515901993684</v>
      </c>
    </row>
    <row r="12" spans="1:10" ht="18" thickBot="1">
      <c r="B12" s="8">
        <v>8</v>
      </c>
      <c r="C12" s="15">
        <v>24</v>
      </c>
      <c r="D12" s="16">
        <f t="shared" si="1"/>
        <v>0.5</v>
      </c>
      <c r="E12" s="9">
        <f t="shared" si="0"/>
        <v>0.43690395515914066</v>
      </c>
      <c r="F12" s="17">
        <f>_xlfn.NORM.INV(D12,$F$21,$F$22)</f>
        <v>28</v>
      </c>
      <c r="G12" s="14">
        <f t="shared" si="3"/>
        <v>0</v>
      </c>
      <c r="H12" s="14">
        <f t="shared" si="4"/>
        <v>28</v>
      </c>
    </row>
    <row r="13" spans="1:10">
      <c r="B13">
        <v>9</v>
      </c>
      <c r="C13" s="1">
        <v>28</v>
      </c>
      <c r="D13" s="14">
        <f t="shared" si="1"/>
        <v>0.56557377049180324</v>
      </c>
      <c r="E13">
        <f t="shared" si="0"/>
        <v>0.5</v>
      </c>
      <c r="F13" s="1">
        <f>_xlfn.NORM.INV(D13,$F$21,$F$22)</f>
        <v>32.158484098006312</v>
      </c>
      <c r="G13" s="14">
        <f t="shared" si="3"/>
        <v>0.16511628036201531</v>
      </c>
      <c r="H13" s="14">
        <f t="shared" si="4"/>
        <v>32.158484098006312</v>
      </c>
    </row>
    <row r="14" spans="1:10">
      <c r="B14">
        <v>10</v>
      </c>
      <c r="C14" s="1">
        <v>29</v>
      </c>
      <c r="D14" s="14">
        <f t="shared" si="1"/>
        <v>0.63114754098360659</v>
      </c>
      <c r="E14">
        <f t="shared" si="0"/>
        <v>0.51583619403126924</v>
      </c>
      <c r="F14" s="1">
        <f t="shared" ref="F14:F19" si="5">_xlfn.NORM.INV(D14,$F$21,$F$22)</f>
        <v>36.434371757634771</v>
      </c>
      <c r="G14" s="14">
        <f t="shared" si="3"/>
        <v>0.33489417272961586</v>
      </c>
      <c r="H14" s="14">
        <f t="shared" si="4"/>
        <v>36.434371757634771</v>
      </c>
    </row>
    <row r="15" spans="1:10">
      <c r="B15">
        <v>11</v>
      </c>
      <c r="C15" s="1">
        <v>41</v>
      </c>
      <c r="D15" s="14">
        <f t="shared" si="1"/>
        <v>0.69672131147540983</v>
      </c>
      <c r="E15">
        <f t="shared" si="0"/>
        <v>0.69713441882057225</v>
      </c>
      <c r="F15" s="1">
        <f t="shared" si="5"/>
        <v>40.970213337958064</v>
      </c>
      <c r="G15" s="14">
        <f t="shared" si="3"/>
        <v>0.51499376488951132</v>
      </c>
      <c r="H15" s="14">
        <f t="shared" si="4"/>
        <v>40.970213337958064</v>
      </c>
    </row>
    <row r="16" spans="1:10">
      <c r="B16">
        <v>12</v>
      </c>
      <c r="C16" s="1">
        <v>49</v>
      </c>
      <c r="D16" s="14">
        <f t="shared" si="1"/>
        <v>0.76229508196721307</v>
      </c>
      <c r="E16">
        <f t="shared" si="0"/>
        <v>0.79780978290494686</v>
      </c>
      <c r="F16" s="1">
        <f t="shared" si="5"/>
        <v>45.974783548851001</v>
      </c>
      <c r="G16" s="14">
        <f t="shared" si="3"/>
        <v>0.71370464091026031</v>
      </c>
      <c r="H16" s="14">
        <f t="shared" si="4"/>
        <v>45.974783548851001</v>
      </c>
    </row>
    <row r="17" spans="2:10">
      <c r="B17">
        <v>13</v>
      </c>
      <c r="C17" s="1">
        <v>56</v>
      </c>
      <c r="D17" s="14">
        <f t="shared" si="1"/>
        <v>0.82786885245901642</v>
      </c>
      <c r="E17">
        <f t="shared" si="0"/>
        <v>0.86688033469648362</v>
      </c>
      <c r="F17" s="1">
        <f t="shared" si="5"/>
        <v>51.819571059582863</v>
      </c>
      <c r="G17" s="14">
        <f t="shared" si="3"/>
        <v>0.94577708618931966</v>
      </c>
      <c r="H17" s="14">
        <f t="shared" si="4"/>
        <v>51.819571059582863</v>
      </c>
    </row>
    <row r="18" spans="2:10">
      <c r="B18">
        <v>14</v>
      </c>
      <c r="C18" s="1">
        <v>60</v>
      </c>
      <c r="D18" s="14">
        <f t="shared" si="1"/>
        <v>0.89344262295081966</v>
      </c>
      <c r="E18">
        <f t="shared" si="0"/>
        <v>0.89806241275950349</v>
      </c>
      <c r="F18" s="1">
        <f t="shared" si="5"/>
        <v>59.356720087643055</v>
      </c>
      <c r="G18" s="14">
        <f t="shared" si="3"/>
        <v>1.2450462387740626</v>
      </c>
      <c r="H18" s="14">
        <f t="shared" si="4"/>
        <v>59.356720087643055</v>
      </c>
    </row>
    <row r="19" spans="2:10">
      <c r="B19">
        <v>15</v>
      </c>
      <c r="C19" s="1">
        <v>75</v>
      </c>
      <c r="D19" s="14">
        <f t="shared" si="1"/>
        <v>0.95901639344262291</v>
      </c>
      <c r="E19">
        <f t="shared" si="0"/>
        <v>0.96899166005387127</v>
      </c>
      <c r="F19" s="1">
        <f t="shared" si="5"/>
        <v>71.806712100196208</v>
      </c>
      <c r="G19" s="14">
        <f t="shared" si="3"/>
        <v>1.7393841569195554</v>
      </c>
      <c r="H19" s="14">
        <f t="shared" si="4"/>
        <v>71.806712100196208</v>
      </c>
    </row>
    <row r="20" spans="2:10" ht="18" thickBot="1">
      <c r="B20" t="s">
        <v>124</v>
      </c>
    </row>
    <row r="21" spans="2:10" ht="18" thickBot="1">
      <c r="B21" s="10" t="s">
        <v>120</v>
      </c>
      <c r="D21">
        <f>_xlfn.QUARTILE.INC(C5:C19,1)</f>
        <v>11</v>
      </c>
      <c r="E21">
        <f>_xlfn.QUARTILE.INC(C5:C19,3)</f>
        <v>45</v>
      </c>
      <c r="F21" s="18">
        <f>(D21+E21)/2</f>
        <v>28</v>
      </c>
    </row>
    <row r="22" spans="2:10">
      <c r="B22" s="11" t="s">
        <v>121</v>
      </c>
      <c r="F22" s="11">
        <f>(E21-D21)/1.35</f>
        <v>25.185185185185183</v>
      </c>
    </row>
    <row r="30" spans="2:10">
      <c r="J30" t="s">
        <v>131</v>
      </c>
    </row>
    <row r="51" spans="10:10">
      <c r="J51" t="s">
        <v>133</v>
      </c>
    </row>
  </sheetData>
  <sortState ref="B5:F22">
    <sortCondition ref="C5:C22"/>
  </sortState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5A41-58BF-4D89-B2A8-A526B1F11DBD}">
  <dimension ref="A1:T65"/>
  <sheetViews>
    <sheetView topLeftCell="A43" workbookViewId="0">
      <selection activeCell="G53" sqref="G53"/>
    </sheetView>
  </sheetViews>
  <sheetFormatPr defaultRowHeight="17.399999999999999"/>
  <cols>
    <col min="1" max="1" width="11.8984375" customWidth="1"/>
    <col min="4" max="4" width="29.296875" customWidth="1"/>
    <col min="5" max="5" width="10.69921875" customWidth="1"/>
    <col min="7" max="7" width="16.5" customWidth="1"/>
    <col min="8" max="8" width="13.19921875" customWidth="1"/>
    <col min="16" max="16" width="29.09765625" customWidth="1"/>
  </cols>
  <sheetData>
    <row r="1" spans="1:19">
      <c r="A1" t="s">
        <v>134</v>
      </c>
      <c r="B1" t="s">
        <v>124</v>
      </c>
      <c r="C1" t="s">
        <v>141</v>
      </c>
      <c r="D1" t="s">
        <v>137</v>
      </c>
      <c r="F1" s="25" t="s">
        <v>186</v>
      </c>
    </row>
    <row r="2" spans="1:19">
      <c r="A2" t="s">
        <v>136</v>
      </c>
      <c r="B2">
        <v>3</v>
      </c>
      <c r="C2">
        <f>B2</f>
        <v>3</v>
      </c>
      <c r="D2">
        <v>33</v>
      </c>
    </row>
    <row r="3" spans="1:19">
      <c r="A3">
        <v>34.5</v>
      </c>
      <c r="B3">
        <v>18</v>
      </c>
      <c r="C3">
        <f>C2+B3</f>
        <v>21</v>
      </c>
      <c r="D3">
        <v>34</v>
      </c>
      <c r="G3" t="s">
        <v>142</v>
      </c>
      <c r="O3" t="s">
        <v>143</v>
      </c>
    </row>
    <row r="4" spans="1:19">
      <c r="A4">
        <v>35.5</v>
      </c>
      <c r="B4">
        <v>81</v>
      </c>
      <c r="C4">
        <f t="shared" ref="C4:C18" si="0">C3+B4</f>
        <v>102</v>
      </c>
      <c r="D4">
        <v>35</v>
      </c>
      <c r="G4" t="s">
        <v>138</v>
      </c>
      <c r="O4" t="s">
        <v>144</v>
      </c>
    </row>
    <row r="5" spans="1:19">
      <c r="A5">
        <v>36.5</v>
      </c>
      <c r="B5">
        <v>185</v>
      </c>
      <c r="C5">
        <f t="shared" si="0"/>
        <v>287</v>
      </c>
      <c r="D5">
        <v>36</v>
      </c>
      <c r="G5" t="s">
        <v>139</v>
      </c>
      <c r="H5">
        <f>(C17+1)/2</f>
        <v>2869.5</v>
      </c>
    </row>
    <row r="6" spans="1:19">
      <c r="A6">
        <v>37.5</v>
      </c>
      <c r="B6">
        <v>420</v>
      </c>
      <c r="C6" s="23">
        <f t="shared" si="0"/>
        <v>707</v>
      </c>
      <c r="D6">
        <v>37</v>
      </c>
      <c r="E6">
        <f>1457-707</f>
        <v>750</v>
      </c>
      <c r="G6" t="s">
        <v>140</v>
      </c>
      <c r="O6" t="s">
        <v>145</v>
      </c>
    </row>
    <row r="7" spans="1:19" ht="18" thickBot="1">
      <c r="A7">
        <v>38.5</v>
      </c>
      <c r="B7">
        <v>749</v>
      </c>
      <c r="C7" s="22">
        <f t="shared" si="0"/>
        <v>1456</v>
      </c>
      <c r="D7">
        <v>38</v>
      </c>
      <c r="O7" t="s">
        <v>146</v>
      </c>
    </row>
    <row r="8" spans="1:19" ht="18" thickTop="1">
      <c r="A8">
        <v>39.5</v>
      </c>
      <c r="B8">
        <v>1073</v>
      </c>
      <c r="C8">
        <f t="shared" si="0"/>
        <v>2529</v>
      </c>
      <c r="D8">
        <v>39</v>
      </c>
    </row>
    <row r="9" spans="1:19" ht="18" thickBot="1">
      <c r="A9" s="1">
        <v>40.5</v>
      </c>
      <c r="B9" s="1">
        <v>1079</v>
      </c>
      <c r="C9" s="1">
        <f t="shared" si="0"/>
        <v>3608</v>
      </c>
      <c r="D9">
        <v>40</v>
      </c>
      <c r="E9">
        <f>C9-C8</f>
        <v>1079</v>
      </c>
      <c r="F9" s="19">
        <f>2869-C8</f>
        <v>340</v>
      </c>
      <c r="G9" s="20" t="s">
        <v>168</v>
      </c>
    </row>
    <row r="10" spans="1:19" ht="18" thickBot="1">
      <c r="A10" s="8">
        <v>41.5</v>
      </c>
      <c r="B10" s="9">
        <v>934</v>
      </c>
      <c r="C10" s="21">
        <f t="shared" si="0"/>
        <v>4542</v>
      </c>
      <c r="D10">
        <v>41</v>
      </c>
      <c r="G10" t="s">
        <v>169</v>
      </c>
      <c r="H10" t="s">
        <v>170</v>
      </c>
      <c r="O10" t="s">
        <v>148</v>
      </c>
      <c r="S10" t="s">
        <v>149</v>
      </c>
    </row>
    <row r="11" spans="1:19">
      <c r="A11">
        <v>42.5</v>
      </c>
      <c r="B11">
        <v>658</v>
      </c>
      <c r="C11">
        <f t="shared" si="0"/>
        <v>5200</v>
      </c>
      <c r="D11">
        <v>42</v>
      </c>
      <c r="G11" t="s">
        <v>173</v>
      </c>
      <c r="H11" t="s">
        <v>174</v>
      </c>
      <c r="O11" t="s">
        <v>147</v>
      </c>
      <c r="S11" t="s">
        <v>150</v>
      </c>
    </row>
    <row r="12" spans="1:19">
      <c r="A12">
        <v>43.5</v>
      </c>
      <c r="B12">
        <v>370</v>
      </c>
      <c r="C12">
        <f t="shared" si="0"/>
        <v>5570</v>
      </c>
      <c r="D12">
        <v>43</v>
      </c>
      <c r="S12" t="s">
        <v>151</v>
      </c>
    </row>
    <row r="13" spans="1:19">
      <c r="A13">
        <v>44.5</v>
      </c>
      <c r="B13">
        <v>92</v>
      </c>
      <c r="C13">
        <f t="shared" si="0"/>
        <v>5662</v>
      </c>
      <c r="D13">
        <v>44</v>
      </c>
    </row>
    <row r="14" spans="1:19">
      <c r="A14">
        <v>45.5</v>
      </c>
      <c r="B14">
        <v>50</v>
      </c>
      <c r="C14">
        <f t="shared" si="0"/>
        <v>5712</v>
      </c>
      <c r="D14">
        <v>45</v>
      </c>
      <c r="E14">
        <f>C14-C13</f>
        <v>50</v>
      </c>
      <c r="G14" t="s">
        <v>179</v>
      </c>
      <c r="S14" t="s">
        <v>152</v>
      </c>
    </row>
    <row r="15" spans="1:19">
      <c r="A15">
        <v>46.5</v>
      </c>
      <c r="B15">
        <v>21</v>
      </c>
      <c r="C15">
        <f t="shared" si="0"/>
        <v>5733</v>
      </c>
      <c r="D15">
        <v>46</v>
      </c>
      <c r="H15">
        <f>37.5+727.5/749</f>
        <v>38.471295060080109</v>
      </c>
      <c r="S15" t="s">
        <v>153</v>
      </c>
    </row>
    <row r="16" spans="1:19">
      <c r="A16">
        <v>47.5</v>
      </c>
      <c r="B16">
        <v>4</v>
      </c>
      <c r="C16">
        <f t="shared" si="0"/>
        <v>5737</v>
      </c>
      <c r="D16">
        <v>47</v>
      </c>
      <c r="S16" t="s">
        <v>154</v>
      </c>
    </row>
    <row r="17" spans="1:20">
      <c r="A17" t="s">
        <v>135</v>
      </c>
      <c r="B17">
        <v>1</v>
      </c>
      <c r="C17">
        <f t="shared" si="0"/>
        <v>5738</v>
      </c>
      <c r="D17">
        <v>48</v>
      </c>
    </row>
    <row r="18" spans="1:20">
      <c r="C18">
        <f t="shared" si="0"/>
        <v>5738</v>
      </c>
      <c r="G18" t="s">
        <v>175</v>
      </c>
      <c r="S18" t="s">
        <v>164</v>
      </c>
      <c r="T18" t="s">
        <v>165</v>
      </c>
    </row>
    <row r="19" spans="1:20">
      <c r="F19">
        <v>239</v>
      </c>
      <c r="G19" t="s">
        <v>176</v>
      </c>
      <c r="H19" s="12" t="s">
        <v>178</v>
      </c>
      <c r="S19" t="s">
        <v>162</v>
      </c>
    </row>
    <row r="20" spans="1:20">
      <c r="G20" t="s">
        <v>177</v>
      </c>
      <c r="H20" s="12" t="s">
        <v>180</v>
      </c>
      <c r="S20" t="s">
        <v>156</v>
      </c>
      <c r="T20" t="s">
        <v>155</v>
      </c>
    </row>
    <row r="21" spans="1:20">
      <c r="H21">
        <f>41.5-238.5/934</f>
        <v>41.244646680942182</v>
      </c>
      <c r="S21" t="s">
        <v>163</v>
      </c>
      <c r="T21" t="s">
        <v>157</v>
      </c>
    </row>
    <row r="22" spans="1:20">
      <c r="S22" t="s">
        <v>158</v>
      </c>
    </row>
    <row r="23" spans="1:20">
      <c r="P23" t="s">
        <v>171</v>
      </c>
      <c r="Q23" t="s">
        <v>172</v>
      </c>
      <c r="R23" t="s">
        <v>161</v>
      </c>
      <c r="S23" t="s">
        <v>159</v>
      </c>
      <c r="T23" t="s">
        <v>160</v>
      </c>
    </row>
    <row r="25" spans="1:20">
      <c r="Q25" t="s">
        <v>166</v>
      </c>
      <c r="R25" t="s">
        <v>167</v>
      </c>
    </row>
    <row r="26" spans="1:20"/>
    <row r="29" spans="1:20"/>
    <row r="31" spans="1:20">
      <c r="A31" t="s">
        <v>134</v>
      </c>
      <c r="B31" t="s">
        <v>124</v>
      </c>
      <c r="C31" t="s">
        <v>181</v>
      </c>
    </row>
    <row r="32" spans="1:20">
      <c r="A32" t="s">
        <v>136</v>
      </c>
      <c r="B32">
        <v>20</v>
      </c>
      <c r="C32">
        <f>B32</f>
        <v>20</v>
      </c>
    </row>
    <row r="33" spans="1:8">
      <c r="A33">
        <v>34.5</v>
      </c>
      <c r="B33">
        <v>40</v>
      </c>
      <c r="C33">
        <f>C32+B33</f>
        <v>60</v>
      </c>
      <c r="G33" t="s">
        <v>185</v>
      </c>
    </row>
    <row r="34" spans="1:8">
      <c r="A34">
        <v>35.5</v>
      </c>
      <c r="B34">
        <v>25</v>
      </c>
      <c r="C34">
        <f t="shared" ref="C34:C38" si="1">C33+B34</f>
        <v>85</v>
      </c>
      <c r="D34" s="24">
        <f>G34-C33</f>
        <v>21.5</v>
      </c>
      <c r="E34" t="s">
        <v>187</v>
      </c>
      <c r="F34" t="s">
        <v>183</v>
      </c>
      <c r="G34" s="24">
        <f>G35/2</f>
        <v>81.5</v>
      </c>
      <c r="H34">
        <f>A33+1*(D34-0.5)/B34</f>
        <v>35.340000000000003</v>
      </c>
    </row>
    <row r="35" spans="1:8">
      <c r="A35" s="1">
        <v>36.5</v>
      </c>
      <c r="B35" s="14">
        <v>80</v>
      </c>
      <c r="C35" s="14">
        <f t="shared" si="1"/>
        <v>165</v>
      </c>
      <c r="D35" s="24">
        <f>G35-C34</f>
        <v>78</v>
      </c>
      <c r="E35" t="s">
        <v>188</v>
      </c>
      <c r="F35" t="s">
        <v>182</v>
      </c>
      <c r="G35" s="24">
        <f>C39/2</f>
        <v>163</v>
      </c>
      <c r="H35">
        <f>A34+1*(D35-0.5)/B35</f>
        <v>36.46875</v>
      </c>
    </row>
    <row r="36" spans="1:8">
      <c r="A36">
        <v>37.5</v>
      </c>
      <c r="B36">
        <v>85</v>
      </c>
      <c r="C36">
        <f t="shared" si="1"/>
        <v>250</v>
      </c>
      <c r="D36" s="24">
        <f>G36-C35</f>
        <v>79.5</v>
      </c>
      <c r="E36" t="s">
        <v>189</v>
      </c>
      <c r="F36" t="s">
        <v>184</v>
      </c>
      <c r="G36" s="24">
        <f>C39*3/4</f>
        <v>244.5</v>
      </c>
      <c r="H36">
        <f>37.5-(6.5)/85</f>
        <v>37.423529411764704</v>
      </c>
    </row>
    <row r="37" spans="1:8">
      <c r="A37">
        <v>38.5</v>
      </c>
      <c r="B37">
        <v>60</v>
      </c>
      <c r="C37">
        <f t="shared" si="1"/>
        <v>310</v>
      </c>
      <c r="D37">
        <v>7</v>
      </c>
    </row>
    <row r="38" spans="1:8">
      <c r="A38">
        <v>39.5</v>
      </c>
      <c r="B38">
        <v>15</v>
      </c>
      <c r="C38">
        <f t="shared" si="1"/>
        <v>325</v>
      </c>
    </row>
    <row r="39" spans="1:8">
      <c r="C39">
        <f>C38+1</f>
        <v>326</v>
      </c>
    </row>
    <row r="43" spans="1:8">
      <c r="A43" t="s">
        <v>190</v>
      </c>
      <c r="C43" t="s">
        <v>191</v>
      </c>
      <c r="F43">
        <f>(H34+H36)/2</f>
        <v>36.381764705882354</v>
      </c>
    </row>
    <row r="44" spans="1:8">
      <c r="A44" t="s">
        <v>192</v>
      </c>
      <c r="C44" t="s">
        <v>193</v>
      </c>
      <c r="F44">
        <f>((H36-H34)/1.35)</f>
        <v>1.5433551198257043</v>
      </c>
    </row>
    <row r="51" spans="1:8">
      <c r="A51" t="s">
        <v>134</v>
      </c>
      <c r="B51" t="s">
        <v>124</v>
      </c>
      <c r="C51" t="s">
        <v>181</v>
      </c>
      <c r="D51" t="s">
        <v>194</v>
      </c>
      <c r="E51" t="s">
        <v>195</v>
      </c>
      <c r="G51" t="s">
        <v>197</v>
      </c>
      <c r="H51" t="s">
        <v>198</v>
      </c>
    </row>
    <row r="52" spans="1:8">
      <c r="A52">
        <v>33.5</v>
      </c>
      <c r="B52">
        <v>20</v>
      </c>
      <c r="C52">
        <f>B52</f>
        <v>20</v>
      </c>
      <c r="D52">
        <f>_xlfn.NORM.DIST(A52, $F$43,$F$44,TRUE)*$C$59</f>
        <v>10.054293579584838</v>
      </c>
      <c r="E52">
        <f>D52</f>
        <v>10.054293579584838</v>
      </c>
      <c r="G52">
        <f>SQRT(2+4*B52)-SQRT(1+1*E52)</f>
        <v>5.730585357761937</v>
      </c>
      <c r="H52">
        <f>G52^2</f>
        <v>32.839608542595506</v>
      </c>
    </row>
    <row r="53" spans="1:8">
      <c r="A53">
        <v>34.5</v>
      </c>
      <c r="B53">
        <v>40</v>
      </c>
      <c r="C53">
        <f>C52+B53</f>
        <v>60</v>
      </c>
      <c r="D53">
        <f t="shared" ref="D53:D57" si="2">_xlfn.NORM.DIST(A53, $F$43,$F$44,TRUE)*$C$59</f>
        <v>36.195606858919156</v>
      </c>
      <c r="E53">
        <f>D53-E52</f>
        <v>26.141313279334319</v>
      </c>
      <c r="G53">
        <f t="shared" ref="G53:G58" si="3">SQRT(2+4*B53)-SQRT(1+1*E53)</f>
        <v>7.5181895078255421</v>
      </c>
      <c r="H53">
        <f t="shared" ref="H53:H58" si="4">G53^2</f>
        <v>56.523173475578069</v>
      </c>
    </row>
    <row r="54" spans="1:8">
      <c r="A54">
        <v>35.5</v>
      </c>
      <c r="B54">
        <v>25</v>
      </c>
      <c r="C54">
        <f t="shared" ref="C54:C58" si="5">C53+B54</f>
        <v>85</v>
      </c>
      <c r="D54">
        <f t="shared" si="2"/>
        <v>92.263621788505901</v>
      </c>
      <c r="E54">
        <f t="shared" ref="E54:E58" si="6">D54-E53</f>
        <v>66.122308509171575</v>
      </c>
      <c r="G54">
        <f t="shared" si="3"/>
        <v>1.9066843917388585</v>
      </c>
      <c r="H54">
        <f t="shared" si="4"/>
        <v>3.6354453697005806</v>
      </c>
    </row>
    <row r="55" spans="1:8">
      <c r="A55" s="1">
        <v>36.5</v>
      </c>
      <c r="B55" s="14">
        <v>80</v>
      </c>
      <c r="C55" s="14">
        <f t="shared" si="5"/>
        <v>165</v>
      </c>
      <c r="D55">
        <f t="shared" si="2"/>
        <v>172.42316130842912</v>
      </c>
      <c r="E55">
        <f t="shared" si="6"/>
        <v>106.30085279925754</v>
      </c>
      <c r="G55">
        <f t="shared" si="3"/>
        <v>7.5857459510033678</v>
      </c>
      <c r="H55">
        <f t="shared" si="4"/>
        <v>57.54354163316399</v>
      </c>
    </row>
    <row r="56" spans="1:8">
      <c r="A56">
        <v>37.5</v>
      </c>
      <c r="B56">
        <v>85</v>
      </c>
      <c r="C56">
        <f t="shared" si="5"/>
        <v>250</v>
      </c>
      <c r="D56">
        <f t="shared" si="2"/>
        <v>248.83150510204339</v>
      </c>
      <c r="E56">
        <f t="shared" si="6"/>
        <v>142.53065230278585</v>
      </c>
      <c r="G56">
        <f t="shared" si="3"/>
        <v>6.5128141241114168</v>
      </c>
      <c r="H56">
        <f t="shared" si="4"/>
        <v>42.416747815225165</v>
      </c>
    </row>
    <row r="57" spans="1:8">
      <c r="A57">
        <v>38.5</v>
      </c>
      <c r="B57">
        <v>60</v>
      </c>
      <c r="C57">
        <f t="shared" si="5"/>
        <v>310</v>
      </c>
      <c r="D57">
        <f t="shared" si="2"/>
        <v>297.38933392442362</v>
      </c>
      <c r="E57">
        <f t="shared" si="6"/>
        <v>154.85868162163777</v>
      </c>
      <c r="G57">
        <f t="shared" si="3"/>
        <v>3.072011733854616</v>
      </c>
      <c r="H57">
        <f t="shared" si="4"/>
        <v>9.4372560929404443</v>
      </c>
    </row>
    <row r="58" spans="1:8">
      <c r="A58" t="s">
        <v>196</v>
      </c>
      <c r="B58">
        <v>15</v>
      </c>
      <c r="C58">
        <f t="shared" si="5"/>
        <v>325</v>
      </c>
      <c r="D58">
        <f>1*$C$59</f>
        <v>325</v>
      </c>
      <c r="E58">
        <f t="shared" si="6"/>
        <v>170.14131837836223</v>
      </c>
      <c r="G58">
        <f t="shared" si="3"/>
        <v>-5.2080912839353655</v>
      </c>
      <c r="H58">
        <f t="shared" si="4"/>
        <v>27.124214821803523</v>
      </c>
    </row>
    <row r="59" spans="1:8">
      <c r="C59">
        <f>C58</f>
        <v>325</v>
      </c>
      <c r="G59" t="s">
        <v>199</v>
      </c>
      <c r="H59">
        <f>SUM(H52:H58)</f>
        <v>229.51998775100728</v>
      </c>
    </row>
    <row r="60" spans="1:8">
      <c r="G60" t="s">
        <v>200</v>
      </c>
      <c r="H60">
        <f>7-1-2</f>
        <v>4</v>
      </c>
    </row>
    <row r="61" spans="1:8">
      <c r="G61" t="s">
        <v>201</v>
      </c>
      <c r="H61">
        <f>1-_xlfn.CHISQ.DIST(H59,H60,TRUE)</f>
        <v>0</v>
      </c>
    </row>
    <row r="64" spans="1:8">
      <c r="B64" t="s">
        <v>202</v>
      </c>
    </row>
    <row r="65" spans="2:2">
      <c r="B65" t="s">
        <v>203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0148-CFA6-4555-85D9-81AA0EA72EE7}">
  <dimension ref="A1:I76"/>
  <sheetViews>
    <sheetView topLeftCell="C1" workbookViewId="0">
      <selection activeCell="G75" sqref="G75"/>
    </sheetView>
  </sheetViews>
  <sheetFormatPr defaultRowHeight="17.399999999999999"/>
  <cols>
    <col min="1" max="1" width="15.59765625" customWidth="1"/>
    <col min="4" max="4" width="15.59765625" customWidth="1"/>
    <col min="5" max="5" width="22.8984375" customWidth="1"/>
    <col min="7" max="7" width="13.69921875" customWidth="1"/>
  </cols>
  <sheetData>
    <row r="1" spans="2:7">
      <c r="B1" t="s">
        <v>204</v>
      </c>
    </row>
    <row r="2" spans="2:7">
      <c r="B2" t="s">
        <v>205</v>
      </c>
    </row>
    <row r="3" spans="2:7" ht="18" thickBot="1">
      <c r="B3" s="28"/>
      <c r="C3" s="29" t="s">
        <v>124</v>
      </c>
      <c r="D3" s="30" t="s">
        <v>181</v>
      </c>
    </row>
    <row r="4" spans="2:7" ht="18" thickTop="1">
      <c r="B4" s="31" t="s">
        <v>206</v>
      </c>
      <c r="C4" s="26">
        <v>23</v>
      </c>
      <c r="D4" s="32">
        <f>C4</f>
        <v>23</v>
      </c>
    </row>
    <row r="5" spans="2:7">
      <c r="B5" s="31">
        <v>63.5</v>
      </c>
      <c r="C5" s="26">
        <v>20</v>
      </c>
      <c r="D5" s="32">
        <f>D4+C5</f>
        <v>43</v>
      </c>
    </row>
    <row r="6" spans="2:7">
      <c r="B6" s="31">
        <v>64.5</v>
      </c>
      <c r="C6" s="26">
        <v>64</v>
      </c>
      <c r="D6" s="32">
        <f t="shared" ref="D6:D16" si="0">D5+C6</f>
        <v>107</v>
      </c>
    </row>
    <row r="7" spans="2:7">
      <c r="B7" s="31">
        <v>65.5</v>
      </c>
      <c r="C7" s="26">
        <v>110</v>
      </c>
      <c r="D7" s="32">
        <f t="shared" si="0"/>
        <v>217</v>
      </c>
    </row>
    <row r="8" spans="2:7">
      <c r="B8" s="31">
        <v>66.5</v>
      </c>
      <c r="C8" s="26">
        <v>155</v>
      </c>
      <c r="D8" s="32">
        <f t="shared" si="0"/>
        <v>372</v>
      </c>
      <c r="E8" s="12" t="s">
        <v>217</v>
      </c>
      <c r="F8" s="12">
        <f>333-217</f>
        <v>116</v>
      </c>
      <c r="G8" t="s">
        <v>218</v>
      </c>
    </row>
    <row r="9" spans="2:7">
      <c r="B9" s="31">
        <v>67.5</v>
      </c>
      <c r="C9" s="26">
        <v>199</v>
      </c>
      <c r="D9" s="32">
        <f t="shared" si="0"/>
        <v>571</v>
      </c>
    </row>
    <row r="10" spans="2:7">
      <c r="B10" s="31">
        <v>68.5</v>
      </c>
      <c r="C10" s="26">
        <v>203</v>
      </c>
      <c r="D10" s="32">
        <f t="shared" si="0"/>
        <v>774</v>
      </c>
    </row>
    <row r="11" spans="2:7">
      <c r="B11" s="31">
        <v>69.5</v>
      </c>
      <c r="C11" s="26">
        <v>198</v>
      </c>
      <c r="D11" s="32">
        <f t="shared" si="0"/>
        <v>972</v>
      </c>
    </row>
    <row r="12" spans="2:7">
      <c r="B12" s="31">
        <v>70.5</v>
      </c>
      <c r="C12" s="26">
        <v>171</v>
      </c>
      <c r="D12" s="32">
        <f t="shared" si="0"/>
        <v>1143</v>
      </c>
    </row>
    <row r="13" spans="2:7">
      <c r="B13" s="31">
        <v>71.5</v>
      </c>
      <c r="C13" s="26">
        <v>88</v>
      </c>
      <c r="D13" s="32">
        <f t="shared" si="0"/>
        <v>1231</v>
      </c>
    </row>
    <row r="14" spans="2:7">
      <c r="B14" s="31">
        <v>72.5</v>
      </c>
      <c r="C14" s="26">
        <v>47</v>
      </c>
      <c r="D14" s="32">
        <f t="shared" si="0"/>
        <v>1278</v>
      </c>
    </row>
    <row r="15" spans="2:7">
      <c r="B15" s="31">
        <v>73.5</v>
      </c>
      <c r="C15" s="26">
        <v>27</v>
      </c>
      <c r="D15" s="32">
        <f t="shared" si="0"/>
        <v>1305</v>
      </c>
    </row>
    <row r="16" spans="2:7">
      <c r="B16" s="33" t="s">
        <v>207</v>
      </c>
      <c r="C16" s="27">
        <v>24</v>
      </c>
      <c r="D16" s="34">
        <f t="shared" si="0"/>
        <v>1329</v>
      </c>
    </row>
    <row r="17" spans="1:6">
      <c r="B17" s="33" t="s">
        <v>208</v>
      </c>
      <c r="C17" s="27">
        <f>SUM(C4:C16)</f>
        <v>1329</v>
      </c>
      <c r="D17" s="34"/>
    </row>
    <row r="19" spans="1:6">
      <c r="D19" t="s">
        <v>215</v>
      </c>
    </row>
    <row r="20" spans="1:6">
      <c r="C20" t="s">
        <v>209</v>
      </c>
      <c r="D20" t="s">
        <v>212</v>
      </c>
      <c r="E20" t="s">
        <v>213</v>
      </c>
      <c r="F20" t="s">
        <v>214</v>
      </c>
    </row>
    <row r="21" spans="1:6">
      <c r="B21" t="s">
        <v>210</v>
      </c>
      <c r="C21">
        <f>(C22+1)/2</f>
        <v>333</v>
      </c>
      <c r="D21">
        <f>65.5+(C21-D7-1+0.5)/(D8-D7)</f>
        <v>66.245161290322585</v>
      </c>
      <c r="E21">
        <f>(D21+D23)/2</f>
        <v>67.944218072061886</v>
      </c>
      <c r="F21">
        <f>D23-D21</f>
        <v>3.3981135634785886</v>
      </c>
    </row>
    <row r="22" spans="1:6">
      <c r="B22" t="s">
        <v>182</v>
      </c>
      <c r="C22">
        <f>(C17+1)/2</f>
        <v>665</v>
      </c>
      <c r="D22">
        <f>67.5+(C22-D9-1+0.5)/(D10-D9)</f>
        <v>67.960591133004925</v>
      </c>
    </row>
    <row r="23" spans="1:6">
      <c r="A23" t="s">
        <v>221</v>
      </c>
      <c r="B23" t="s">
        <v>211</v>
      </c>
      <c r="C23">
        <f>D16-C21</f>
        <v>996</v>
      </c>
      <c r="D23">
        <f>70.5-(F41-1+0.5)/(C41)*1</f>
        <v>69.643274853801174</v>
      </c>
    </row>
    <row r="25" spans="1:6">
      <c r="B25" t="s">
        <v>77</v>
      </c>
      <c r="C25">
        <f>(D21+D23)/2</f>
        <v>67.944218072061886</v>
      </c>
    </row>
    <row r="26" spans="1:6">
      <c r="B26" t="s">
        <v>224</v>
      </c>
      <c r="C26">
        <f>(D23-D21)/1.35</f>
        <v>2.5171211581322877</v>
      </c>
    </row>
    <row r="28" spans="1:6">
      <c r="C28" t="s">
        <v>166</v>
      </c>
      <c r="D28" t="s">
        <v>216</v>
      </c>
    </row>
    <row r="29" spans="1:6">
      <c r="D29" t="s">
        <v>219</v>
      </c>
    </row>
    <row r="32" spans="1:6" ht="18" thickBot="1">
      <c r="B32" s="28"/>
      <c r="C32" s="29" t="s">
        <v>124</v>
      </c>
      <c r="D32" s="30"/>
    </row>
    <row r="33" spans="2:7" ht="18" thickTop="1">
      <c r="B33" s="31" t="s">
        <v>206</v>
      </c>
      <c r="C33" s="26">
        <v>23</v>
      </c>
      <c r="D33" s="32"/>
    </row>
    <row r="34" spans="2:7">
      <c r="B34" s="31">
        <v>63.5</v>
      </c>
      <c r="C34" s="26">
        <v>20</v>
      </c>
      <c r="D34" s="32"/>
    </row>
    <row r="35" spans="2:7">
      <c r="B35" s="31">
        <v>64.5</v>
      </c>
      <c r="C35" s="26">
        <v>64</v>
      </c>
      <c r="D35" s="32"/>
    </row>
    <row r="36" spans="2:7">
      <c r="B36" s="31">
        <v>65.5</v>
      </c>
      <c r="C36" s="26">
        <v>110</v>
      </c>
      <c r="D36" s="32"/>
    </row>
    <row r="37" spans="2:7">
      <c r="B37" s="31">
        <v>66.5</v>
      </c>
      <c r="C37" s="26">
        <v>155</v>
      </c>
      <c r="D37" s="32"/>
    </row>
    <row r="38" spans="2:7">
      <c r="B38" s="31">
        <v>67.5</v>
      </c>
      <c r="C38" s="26">
        <v>199</v>
      </c>
      <c r="D38" s="32"/>
    </row>
    <row r="39" spans="2:7">
      <c r="B39" s="31">
        <v>68.5</v>
      </c>
      <c r="C39" s="26">
        <v>203</v>
      </c>
      <c r="D39" s="32"/>
    </row>
    <row r="40" spans="2:7">
      <c r="B40" s="31">
        <v>69.5</v>
      </c>
      <c r="C40" s="26">
        <v>198</v>
      </c>
      <c r="D40" s="32">
        <f>SUM(C40:C45)</f>
        <v>555</v>
      </c>
    </row>
    <row r="41" spans="2:7">
      <c r="B41" s="31">
        <v>70.5</v>
      </c>
      <c r="C41" s="26">
        <v>171</v>
      </c>
      <c r="D41" s="32">
        <f>SUM(C41:C45)</f>
        <v>357</v>
      </c>
      <c r="E41" s="12" t="s">
        <v>223</v>
      </c>
      <c r="F41" s="12">
        <f>333-D42</f>
        <v>147</v>
      </c>
      <c r="G41" t="s">
        <v>222</v>
      </c>
    </row>
    <row r="42" spans="2:7">
      <c r="B42" s="31">
        <v>71.5</v>
      </c>
      <c r="C42" s="26">
        <v>88</v>
      </c>
      <c r="D42" s="32">
        <f>SUM(C42:C45)</f>
        <v>186</v>
      </c>
    </row>
    <row r="43" spans="2:7">
      <c r="B43" s="31">
        <v>72.5</v>
      </c>
      <c r="C43" s="26">
        <v>47</v>
      </c>
      <c r="D43" s="32">
        <f>SUM(C43:C45)</f>
        <v>98</v>
      </c>
    </row>
    <row r="44" spans="2:7">
      <c r="B44" s="31">
        <v>73.5</v>
      </c>
      <c r="C44" s="26">
        <v>27</v>
      </c>
      <c r="D44" s="32">
        <f>SUM(C44:C45)</f>
        <v>51</v>
      </c>
    </row>
    <row r="45" spans="2:7">
      <c r="B45" s="33" t="s">
        <v>207</v>
      </c>
      <c r="C45" s="27">
        <v>24</v>
      </c>
      <c r="D45" s="34">
        <f>C45</f>
        <v>24</v>
      </c>
    </row>
    <row r="46" spans="2:7">
      <c r="B46" s="33" t="s">
        <v>208</v>
      </c>
      <c r="C46" s="27">
        <f>SUM(C33:C45)</f>
        <v>1329</v>
      </c>
      <c r="D46" s="34" t="s">
        <v>220</v>
      </c>
    </row>
    <row r="52" spans="1:8">
      <c r="B52" t="s">
        <v>225</v>
      </c>
    </row>
    <row r="54" spans="1:8" ht="18" thickBot="1">
      <c r="B54" s="28"/>
      <c r="C54" s="29" t="s">
        <v>124</v>
      </c>
      <c r="D54" s="40" t="s">
        <v>226</v>
      </c>
      <c r="E54" s="41"/>
      <c r="F54" s="42"/>
      <c r="G54" t="s">
        <v>66</v>
      </c>
      <c r="H54" t="s">
        <v>229</v>
      </c>
    </row>
    <row r="55" spans="1:8" ht="18" thickTop="1">
      <c r="A55" t="s">
        <v>227</v>
      </c>
      <c r="B55" s="31">
        <v>63</v>
      </c>
      <c r="C55" s="37">
        <v>23</v>
      </c>
      <c r="D55" s="31">
        <f>_xlfn.NORM.DIST(B55,$C$25,$C$26,TRUE)</f>
        <v>2.475140915904046E-2</v>
      </c>
      <c r="E55" s="32">
        <f>D55*$C$68</f>
        <v>32.89462277236477</v>
      </c>
      <c r="F55" s="35">
        <f t="shared" ref="F55:F66" si="1">E55-E54</f>
        <v>32.89462277236477</v>
      </c>
      <c r="G55">
        <f>SQRT(2+4*C55)-SQRT(1+4*F55)</f>
        <v>-1.818913648669664</v>
      </c>
      <c r="H55">
        <f>G55^2</f>
        <v>3.3084468613167899</v>
      </c>
    </row>
    <row r="56" spans="1:8">
      <c r="B56" s="31">
        <v>63.5</v>
      </c>
      <c r="C56" s="37">
        <v>20</v>
      </c>
      <c r="D56" s="31">
        <f t="shared" ref="D56:D66" si="2">_xlfn.NORM.DIST(B56,$C$25,$C$26,TRUE)</f>
        <v>3.8731858349060407E-2</v>
      </c>
      <c r="E56" s="32">
        <f t="shared" ref="E56:E67" si="3">D56*$C$68</f>
        <v>51.474639745901278</v>
      </c>
      <c r="F56" s="35">
        <f t="shared" si="1"/>
        <v>18.580016973536509</v>
      </c>
      <c r="G56">
        <f t="shared" ref="G56:G67" si="4">SQRT(2+4*C56)-SQRT(1+4*F56)</f>
        <v>0.3766716451048211</v>
      </c>
      <c r="H56">
        <f t="shared" ref="H56:H67" si="5">G56^2</f>
        <v>0.1418815282259723</v>
      </c>
    </row>
    <row r="57" spans="1:8">
      <c r="B57" s="31">
        <v>64.5</v>
      </c>
      <c r="C57" s="37">
        <v>64</v>
      </c>
      <c r="D57" s="31">
        <f t="shared" si="2"/>
        <v>8.5606535312642479E-2</v>
      </c>
      <c r="E57" s="32">
        <f t="shared" si="3"/>
        <v>113.77108543050186</v>
      </c>
      <c r="F57" s="35">
        <f t="shared" si="1"/>
        <v>62.296445684600577</v>
      </c>
      <c r="G57">
        <f t="shared" si="4"/>
        <v>0.24511622839608194</v>
      </c>
      <c r="H57">
        <f t="shared" si="5"/>
        <v>6.0081965423120207E-2</v>
      </c>
    </row>
    <row r="58" spans="1:8">
      <c r="B58" s="31">
        <v>65.5</v>
      </c>
      <c r="C58" s="37">
        <v>110</v>
      </c>
      <c r="D58" s="31">
        <f t="shared" si="2"/>
        <v>0.16576489789253498</v>
      </c>
      <c r="E58" s="32">
        <f t="shared" si="3"/>
        <v>220.30154929917899</v>
      </c>
      <c r="F58" s="35">
        <f t="shared" si="1"/>
        <v>106.53046386867713</v>
      </c>
      <c r="G58">
        <f t="shared" si="4"/>
        <v>0.35686943231615231</v>
      </c>
      <c r="H58">
        <f t="shared" si="5"/>
        <v>0.12735579172165282</v>
      </c>
    </row>
    <row r="59" spans="1:8">
      <c r="B59" s="31">
        <v>66.5</v>
      </c>
      <c r="C59" s="37">
        <v>155</v>
      </c>
      <c r="D59" s="31">
        <f t="shared" si="2"/>
        <v>0.28306583113188138</v>
      </c>
      <c r="E59" s="32">
        <f t="shared" si="3"/>
        <v>376.19448957427034</v>
      </c>
      <c r="F59" s="35">
        <f t="shared" si="1"/>
        <v>155.89294027509135</v>
      </c>
      <c r="G59">
        <f t="shared" si="4"/>
        <v>-5.1505927716181787E-2</v>
      </c>
      <c r="H59">
        <f t="shared" si="5"/>
        <v>2.6528605899045431E-3</v>
      </c>
    </row>
    <row r="60" spans="1:8">
      <c r="B60" s="31">
        <v>67.5</v>
      </c>
      <c r="C60" s="37">
        <v>199</v>
      </c>
      <c r="D60" s="31">
        <f t="shared" si="2"/>
        <v>0.42995897133928446</v>
      </c>
      <c r="E60" s="32">
        <f t="shared" si="3"/>
        <v>571.415472909909</v>
      </c>
      <c r="F60" s="35">
        <f t="shared" si="1"/>
        <v>195.22098333563866</v>
      </c>
      <c r="G60">
        <f t="shared" si="4"/>
        <v>0.28670622004019464</v>
      </c>
      <c r="H60">
        <f t="shared" si="5"/>
        <v>8.2200456609736502E-2</v>
      </c>
    </row>
    <row r="61" spans="1:8">
      <c r="B61" s="31">
        <v>68.5</v>
      </c>
      <c r="C61" s="37">
        <v>203</v>
      </c>
      <c r="D61" s="31">
        <f t="shared" si="2"/>
        <v>0.58737616201145759</v>
      </c>
      <c r="E61" s="32">
        <f t="shared" si="3"/>
        <v>780.62291931322716</v>
      </c>
      <c r="F61" s="35">
        <f t="shared" si="1"/>
        <v>209.20744640331816</v>
      </c>
      <c r="G61">
        <f t="shared" si="4"/>
        <v>-0.4146042883682064</v>
      </c>
      <c r="H61">
        <f t="shared" si="5"/>
        <v>0.17189671593330685</v>
      </c>
    </row>
    <row r="62" spans="1:8">
      <c r="B62" s="31">
        <v>69.5</v>
      </c>
      <c r="C62" s="37">
        <v>198</v>
      </c>
      <c r="D62" s="31">
        <f t="shared" si="2"/>
        <v>0.73173865581072373</v>
      </c>
      <c r="E62" s="32">
        <f t="shared" si="3"/>
        <v>972.48067357245179</v>
      </c>
      <c r="F62" s="35">
        <f t="shared" si="1"/>
        <v>191.85775425922463</v>
      </c>
      <c r="G62">
        <f t="shared" si="4"/>
        <v>0.45741728306259688</v>
      </c>
      <c r="H62">
        <f t="shared" si="5"/>
        <v>0.20923057084436789</v>
      </c>
    </row>
    <row r="63" spans="1:8">
      <c r="B63" s="31">
        <v>70.5</v>
      </c>
      <c r="C63" s="37">
        <v>171</v>
      </c>
      <c r="D63" s="31">
        <f t="shared" si="2"/>
        <v>0.84503266419162859</v>
      </c>
      <c r="E63" s="32">
        <f t="shared" si="3"/>
        <v>1123.0484107106745</v>
      </c>
      <c r="F63" s="35">
        <f t="shared" si="1"/>
        <v>150.5677371382227</v>
      </c>
      <c r="G63">
        <f t="shared" si="4"/>
        <v>1.6300270723724921</v>
      </c>
      <c r="H63">
        <f t="shared" si="5"/>
        <v>2.6569882566672378</v>
      </c>
    </row>
    <row r="64" spans="1:8">
      <c r="B64" s="31">
        <v>71.5</v>
      </c>
      <c r="C64" s="37">
        <v>88</v>
      </c>
      <c r="D64" s="31">
        <f t="shared" si="2"/>
        <v>0.92111895934161492</v>
      </c>
      <c r="E64" s="32">
        <f t="shared" si="3"/>
        <v>1224.1670969650063</v>
      </c>
      <c r="F64" s="35">
        <f t="shared" si="1"/>
        <v>101.11868625433181</v>
      </c>
      <c r="G64">
        <f t="shared" si="4"/>
        <v>-1.3215157554880861</v>
      </c>
      <c r="H64">
        <f t="shared" si="5"/>
        <v>1.746403892003247</v>
      </c>
    </row>
    <row r="65" spans="1:9">
      <c r="B65" s="31">
        <v>72.5</v>
      </c>
      <c r="C65" s="37">
        <v>47</v>
      </c>
      <c r="D65" s="31">
        <f t="shared" si="2"/>
        <v>0.96484571812663344</v>
      </c>
      <c r="E65" s="32">
        <f t="shared" si="3"/>
        <v>1282.2799593902957</v>
      </c>
      <c r="F65" s="35">
        <f t="shared" si="1"/>
        <v>58.11286242528945</v>
      </c>
      <c r="G65">
        <f t="shared" si="4"/>
        <v>-1.4950693409529041</v>
      </c>
      <c r="H65">
        <f t="shared" si="5"/>
        <v>2.235232334257351</v>
      </c>
    </row>
    <row r="66" spans="1:9">
      <c r="B66" s="31">
        <v>73.5</v>
      </c>
      <c r="C66" s="37">
        <v>27</v>
      </c>
      <c r="D66" s="31">
        <f t="shared" si="2"/>
        <v>0.98634984563169603</v>
      </c>
      <c r="E66" s="32">
        <f t="shared" si="3"/>
        <v>1310.8589448445241</v>
      </c>
      <c r="F66" s="35">
        <f t="shared" si="1"/>
        <v>28.578985454228359</v>
      </c>
      <c r="G66">
        <f t="shared" si="4"/>
        <v>-0.25043757250692167</v>
      </c>
      <c r="H66">
        <f t="shared" si="5"/>
        <v>6.2718977723159652E-2</v>
      </c>
    </row>
    <row r="67" spans="1:9" ht="18" thickBot="1">
      <c r="A67" t="s">
        <v>228</v>
      </c>
      <c r="B67" s="33">
        <v>74</v>
      </c>
      <c r="C67" s="38">
        <v>24</v>
      </c>
      <c r="D67" s="33">
        <v>1</v>
      </c>
      <c r="E67" s="34">
        <f t="shared" si="3"/>
        <v>1329</v>
      </c>
      <c r="F67" s="36">
        <f>E67-E66</f>
        <v>18.141055155475897</v>
      </c>
      <c r="G67">
        <f t="shared" si="4"/>
        <v>1.3225362319248113</v>
      </c>
      <c r="H67">
        <f t="shared" si="5"/>
        <v>1.7491020847538783</v>
      </c>
    </row>
    <row r="68" spans="1:9" ht="18" thickBot="1">
      <c r="C68">
        <f>SUM(C55:C67)</f>
        <v>1329</v>
      </c>
      <c r="G68" s="8" t="s">
        <v>230</v>
      </c>
      <c r="H68" s="39">
        <f>SUM(H55:H67)</f>
        <v>12.554192296069726</v>
      </c>
    </row>
    <row r="69" spans="1:9">
      <c r="G69" t="s">
        <v>231</v>
      </c>
      <c r="H69">
        <f>1-_xlfn.CHISQ.DIST(H68,13-1-2,TRUE)</f>
        <v>0.24967588728724577</v>
      </c>
    </row>
    <row r="71" spans="1:9">
      <c r="F71" t="s">
        <v>232</v>
      </c>
    </row>
    <row r="72" spans="1:9">
      <c r="F72" t="s">
        <v>233</v>
      </c>
    </row>
    <row r="74" spans="1:9">
      <c r="F74" t="s">
        <v>234</v>
      </c>
      <c r="G74" t="s">
        <v>235</v>
      </c>
    </row>
    <row r="75" spans="1:9">
      <c r="G75">
        <f>_xlfn.CHISQ.INV(0.95, 10)</f>
        <v>18.307038053275139</v>
      </c>
      <c r="I75" t="s">
        <v>236</v>
      </c>
    </row>
    <row r="76" spans="1:9">
      <c r="I76" t="s">
        <v>237</v>
      </c>
    </row>
  </sheetData>
  <mergeCells count="1">
    <mergeCell ref="D54:F54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83EE-FF62-4E7B-83AC-2EB5768F74DC}">
  <dimension ref="A1:D46"/>
  <sheetViews>
    <sheetView topLeftCell="A13" workbookViewId="0">
      <selection activeCell="L18" sqref="L18"/>
    </sheetView>
  </sheetViews>
  <sheetFormatPr defaultRowHeight="17.399999999999999"/>
  <sheetData>
    <row r="1" spans="1:4">
      <c r="A1" s="43" t="s">
        <v>242</v>
      </c>
      <c r="B1" t="s">
        <v>238</v>
      </c>
    </row>
    <row r="2" spans="1:4">
      <c r="A2" s="43"/>
      <c r="B2" t="s">
        <v>239</v>
      </c>
    </row>
    <row r="3" spans="1:4">
      <c r="A3" s="43"/>
      <c r="B3" t="s">
        <v>240</v>
      </c>
    </row>
    <row r="4" spans="1:4">
      <c r="B4" t="s">
        <v>241</v>
      </c>
    </row>
    <row r="6" spans="1:4">
      <c r="A6" t="s">
        <v>243</v>
      </c>
      <c r="B6" t="s">
        <v>244</v>
      </c>
      <c r="C6" t="s">
        <v>245</v>
      </c>
      <c r="D6" t="s">
        <v>246</v>
      </c>
    </row>
    <row r="7" spans="1:4">
      <c r="A7">
        <v>97.293991782498779</v>
      </c>
      <c r="B7">
        <v>81.125564469693927</v>
      </c>
      <c r="C7">
        <v>101.49937022797531</v>
      </c>
      <c r="D7">
        <v>0.11810663167210914</v>
      </c>
    </row>
    <row r="8" spans="1:4">
      <c r="A8">
        <v>99.171666331676533</v>
      </c>
      <c r="B8">
        <v>81.414698519729427</v>
      </c>
      <c r="C8">
        <v>82.144186105870176</v>
      </c>
      <c r="D8">
        <v>0.68144779808954126</v>
      </c>
    </row>
    <row r="9" spans="1:4">
      <c r="A9">
        <v>113.32219881078345</v>
      </c>
      <c r="B9">
        <v>72.542896027080133</v>
      </c>
      <c r="C9">
        <v>106.15170847595436</v>
      </c>
      <c r="D9">
        <v>0.16043580431531723</v>
      </c>
    </row>
    <row r="10" spans="1:4">
      <c r="A10">
        <v>66.110590321477503</v>
      </c>
      <c r="B10">
        <v>66.645124156202655</v>
      </c>
      <c r="C10">
        <v>83.448674356623087</v>
      </c>
      <c r="D10">
        <v>0.76866969817194131</v>
      </c>
    </row>
    <row r="11" spans="1:4">
      <c r="A11">
        <v>93.911899309750879</v>
      </c>
      <c r="B11">
        <v>83.159547052055132</v>
      </c>
      <c r="C11">
        <v>83.143629833648447</v>
      </c>
      <c r="D11">
        <v>0.65157017731254008</v>
      </c>
    </row>
    <row r="12" spans="1:4">
      <c r="A12">
        <v>98.15769342603744</v>
      </c>
      <c r="B12">
        <v>73.15281454277283</v>
      </c>
      <c r="C12">
        <v>86.530770001991186</v>
      </c>
      <c r="D12">
        <v>0.8503677480391858</v>
      </c>
    </row>
    <row r="13" spans="1:4">
      <c r="A13">
        <v>106.67729977976705</v>
      </c>
      <c r="B13">
        <v>72.809895249811234</v>
      </c>
      <c r="C13">
        <v>98.851973259661463</v>
      </c>
      <c r="D13">
        <v>0.30072939237647633</v>
      </c>
    </row>
    <row r="14" spans="1:4">
      <c r="A14">
        <v>93.301162248826586</v>
      </c>
      <c r="B14">
        <v>70.697332325216848</v>
      </c>
      <c r="C14">
        <v>77.212860358122271</v>
      </c>
      <c r="D14">
        <v>0.54133732108523824</v>
      </c>
    </row>
    <row r="15" spans="1:4">
      <c r="A15">
        <v>72.020077620982192</v>
      </c>
      <c r="B15">
        <v>87.659260720392922</v>
      </c>
      <c r="C15">
        <v>76.628214426455088</v>
      </c>
      <c r="D15">
        <v>0.3485824152348399</v>
      </c>
    </row>
    <row r="16" spans="1:4">
      <c r="A16">
        <v>101.32648665385204</v>
      </c>
      <c r="B16">
        <v>86.927720025705639</v>
      </c>
      <c r="C16">
        <v>115.47804231449845</v>
      </c>
      <c r="D16">
        <v>0.92706076235236667</v>
      </c>
    </row>
    <row r="17" spans="1:4">
      <c r="A17">
        <v>112.59065811609617</v>
      </c>
      <c r="B17">
        <v>57.06824726468767</v>
      </c>
      <c r="C17">
        <v>92.636418255642639</v>
      </c>
      <c r="D17">
        <v>0.92898342844935455</v>
      </c>
    </row>
    <row r="18" spans="1:4">
      <c r="A18">
        <v>92.784916003074613</v>
      </c>
      <c r="B18">
        <v>61.170523117034463</v>
      </c>
      <c r="C18">
        <v>98.642408627347322</v>
      </c>
      <c r="D18">
        <v>0.99777214880825216</v>
      </c>
    </row>
    <row r="19" spans="1:4">
      <c r="A19">
        <v>97.284646724438062</v>
      </c>
      <c r="B19">
        <v>71.866590082499897</v>
      </c>
      <c r="C19">
        <v>111.94455307995668</v>
      </c>
      <c r="D19">
        <v>0.20777001251258889</v>
      </c>
    </row>
    <row r="20" spans="1:4">
      <c r="A20">
        <v>115.63523710501613</v>
      </c>
      <c r="B20">
        <v>73.808264636973036</v>
      </c>
      <c r="C20">
        <v>111.23313495554612</v>
      </c>
      <c r="D20">
        <v>0.9081392864772484</v>
      </c>
    </row>
    <row r="21" spans="1:4">
      <c r="A21">
        <v>102.46027411776595</v>
      </c>
      <c r="B21">
        <v>45.83511230914155</v>
      </c>
      <c r="C21">
        <v>102.49052618528367</v>
      </c>
      <c r="D21">
        <v>0.57716605121005893</v>
      </c>
    </row>
    <row r="22" spans="1:4">
      <c r="A22">
        <v>85.486545028834371</v>
      </c>
      <c r="B22">
        <v>81.329041171848075</v>
      </c>
      <c r="C22">
        <v>103.20678736898117</v>
      </c>
      <c r="D22">
        <v>0.47599719229712822</v>
      </c>
    </row>
    <row r="23" spans="1:4">
      <c r="A23">
        <v>102.07724610845617</v>
      </c>
      <c r="B23">
        <v>55.829106208257144</v>
      </c>
      <c r="C23">
        <v>118.12675236578798</v>
      </c>
      <c r="D23">
        <v>0.91271706289864807</v>
      </c>
    </row>
    <row r="24" spans="1:4">
      <c r="A24">
        <v>74.856473272666335</v>
      </c>
      <c r="B24">
        <v>65.300458976998925</v>
      </c>
      <c r="C24">
        <v>110.39678636516328</v>
      </c>
      <c r="D24">
        <v>0.14978484450819421</v>
      </c>
    </row>
    <row r="25" spans="1:4">
      <c r="A25">
        <v>95.917335127160186</v>
      </c>
      <c r="B25">
        <v>84.170893791742856</v>
      </c>
      <c r="C25">
        <v>111.34889089371427</v>
      </c>
      <c r="D25">
        <v>0.456648457289346</v>
      </c>
    </row>
    <row r="26" spans="1:4">
      <c r="A26">
        <v>66.953691910021007</v>
      </c>
      <c r="B26">
        <v>38.055999488569796</v>
      </c>
      <c r="C26">
        <v>99.12454882178281</v>
      </c>
      <c r="D26">
        <v>2.7771843623157445E-3</v>
      </c>
    </row>
    <row r="27" spans="1:4">
      <c r="A27">
        <v>92.429889061895665</v>
      </c>
      <c r="B27">
        <v>149.0516061593371</v>
      </c>
      <c r="C27">
        <v>106.46258513370412</v>
      </c>
      <c r="D27">
        <v>0.90121158482619712</v>
      </c>
    </row>
    <row r="28" spans="1:4">
      <c r="A28">
        <v>76.894923747749999</v>
      </c>
      <c r="B28">
        <v>154.83561729604844</v>
      </c>
      <c r="C28">
        <v>137.13194018928334</v>
      </c>
      <c r="D28">
        <v>0.28431043427838987</v>
      </c>
    </row>
    <row r="29" spans="1:4">
      <c r="A29">
        <v>79.486744905443629</v>
      </c>
      <c r="B29">
        <v>117.0848569116788</v>
      </c>
      <c r="C29">
        <v>99.528893113165395</v>
      </c>
      <c r="D29">
        <v>0.33307901242103338</v>
      </c>
    </row>
    <row r="30" spans="1:4">
      <c r="A30">
        <v>78.456946791993687</v>
      </c>
      <c r="B30">
        <v>112.67143155317171</v>
      </c>
      <c r="C30">
        <v>103.49385800291202</v>
      </c>
      <c r="D30">
        <v>0.79320657979064302</v>
      </c>
    </row>
    <row r="31" spans="1:4">
      <c r="A31">
        <v>105.35011395186302</v>
      </c>
      <c r="B31">
        <v>119.88013771850092</v>
      </c>
      <c r="C31">
        <v>134.53878889558837</v>
      </c>
      <c r="D31">
        <v>0.4915311136204108</v>
      </c>
    </row>
    <row r="32" spans="1:4">
      <c r="A32">
        <v>107.59357590141008</v>
      </c>
      <c r="B32">
        <v>154.33446297800401</v>
      </c>
      <c r="C32">
        <v>110.02209728540038</v>
      </c>
      <c r="D32">
        <v>0.96682638019959111</v>
      </c>
    </row>
    <row r="33" spans="1:4">
      <c r="A33">
        <v>110.47277464749641</v>
      </c>
      <c r="B33">
        <v>136.79024196870159</v>
      </c>
      <c r="C33">
        <v>116.91905708867125</v>
      </c>
      <c r="D33">
        <v>0.9115573595385601</v>
      </c>
    </row>
    <row r="34" spans="1:4">
      <c r="A34">
        <v>136.56932676676661</v>
      </c>
      <c r="B34">
        <v>125.98517206322867</v>
      </c>
      <c r="C34">
        <v>76.670642354292795</v>
      </c>
      <c r="D34">
        <v>0.22086245307779168</v>
      </c>
    </row>
    <row r="35" spans="1:4">
      <c r="A35">
        <v>86.648845151648857</v>
      </c>
      <c r="B35">
        <v>154.64776116539724</v>
      </c>
      <c r="C35">
        <v>77.482025315111969</v>
      </c>
      <c r="D35">
        <v>0.59630115665150918</v>
      </c>
    </row>
    <row r="36" spans="1:4">
      <c r="A36">
        <v>116.76175997999962</v>
      </c>
      <c r="B36">
        <v>125.67027089142357</v>
      </c>
      <c r="C36">
        <v>79.21147496526828</v>
      </c>
      <c r="D36">
        <v>0.85833307901242106</v>
      </c>
    </row>
    <row r="37" spans="1:4">
      <c r="A37">
        <v>105.60403350391425</v>
      </c>
      <c r="B37">
        <v>130.97891188488575</v>
      </c>
      <c r="C37">
        <v>83.478176091011846</v>
      </c>
      <c r="D37">
        <v>0.51228370006408885</v>
      </c>
    </row>
    <row r="38" spans="1:4">
      <c r="A38">
        <v>100.35976768231194</v>
      </c>
      <c r="B38">
        <v>163.46158337080851</v>
      </c>
      <c r="C38">
        <v>101.62743845066871</v>
      </c>
      <c r="D38">
        <v>0.91543321024201174</v>
      </c>
    </row>
    <row r="39" spans="1:4">
      <c r="A39">
        <v>115.12664766778471</v>
      </c>
      <c r="B39">
        <v>141.58558688985067</v>
      </c>
      <c r="C39">
        <v>100.67666405811906</v>
      </c>
      <c r="D39">
        <v>5.5665761284218879E-2</v>
      </c>
    </row>
    <row r="40" spans="1:4">
      <c r="A40">
        <v>69.13361428596545</v>
      </c>
      <c r="B40">
        <v>151.55270522052888</v>
      </c>
      <c r="C40">
        <v>113.53635070699966</v>
      </c>
      <c r="D40">
        <v>0.75127414777062285</v>
      </c>
    </row>
    <row r="41" spans="1:4">
      <c r="A41">
        <v>103.52687266058638</v>
      </c>
      <c r="B41">
        <v>120.55160060379421</v>
      </c>
      <c r="C41">
        <v>92.067955645325128</v>
      </c>
      <c r="D41">
        <v>0.31885738700521865</v>
      </c>
    </row>
    <row r="42" spans="1:4">
      <c r="A42">
        <v>84.920964379853103</v>
      </c>
      <c r="B42">
        <v>126.00062210447504</v>
      </c>
      <c r="C42">
        <v>78.999539962387644</v>
      </c>
      <c r="D42">
        <v>0.14288766136661885</v>
      </c>
    </row>
    <row r="43" spans="1:4">
      <c r="A43">
        <v>93.764561168063665</v>
      </c>
      <c r="B43">
        <v>135.51307266505319</v>
      </c>
      <c r="C43">
        <v>98.77369987189013</v>
      </c>
      <c r="D43">
        <v>0.12091433454390088</v>
      </c>
    </row>
    <row r="44" spans="1:4">
      <c r="A44">
        <v>99.697615749028046</v>
      </c>
      <c r="B44">
        <v>117.89245410080184</v>
      </c>
      <c r="C44">
        <v>94.397194313933142</v>
      </c>
      <c r="D44">
        <v>0.24402600177007355</v>
      </c>
    </row>
    <row r="45" spans="1:4">
      <c r="A45">
        <v>99.054426780276117</v>
      </c>
      <c r="B45">
        <v>125.3763449411781</v>
      </c>
      <c r="C45">
        <v>10</v>
      </c>
      <c r="D45">
        <v>0.98001037629322185</v>
      </c>
    </row>
    <row r="46" spans="1:4">
      <c r="A46">
        <v>80.366033014433924</v>
      </c>
      <c r="B46">
        <v>124.36520283779828</v>
      </c>
      <c r="C46">
        <v>180</v>
      </c>
      <c r="D46">
        <v>0.12570574053163244</v>
      </c>
    </row>
  </sheetData>
  <mergeCells count="1">
    <mergeCell ref="A1:A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CB0F-175D-4122-B6C2-AEC2904A53F5}">
  <dimension ref="A1:K75"/>
  <sheetViews>
    <sheetView tabSelected="1" workbookViewId="0">
      <selection activeCell="K76" sqref="K76"/>
    </sheetView>
  </sheetViews>
  <sheetFormatPr defaultRowHeight="17.399999999999999"/>
  <sheetData>
    <row r="1" spans="1:1"/>
    <row r="43" spans="3:11">
      <c r="C43" s="44" t="s">
        <v>248</v>
      </c>
      <c r="D43" s="44"/>
      <c r="E43" s="44"/>
      <c r="F43" s="44"/>
      <c r="G43" s="44"/>
      <c r="H43" s="44"/>
      <c r="I43" s="44"/>
      <c r="J43" s="45"/>
    </row>
    <row r="44" spans="3:11" ht="18.600000000000001">
      <c r="C44" s="46" t="s">
        <v>247</v>
      </c>
      <c r="D44" s="47" t="s">
        <v>258</v>
      </c>
      <c r="E44" s="48"/>
      <c r="F44" s="49"/>
      <c r="G44" s="49" t="s">
        <v>249</v>
      </c>
      <c r="H44" s="48"/>
      <c r="I44" s="49"/>
      <c r="J44" s="45"/>
    </row>
    <row r="45" spans="3:11">
      <c r="C45" s="50"/>
      <c r="D45" s="51" t="s">
        <v>250</v>
      </c>
      <c r="E45" s="52" t="s">
        <v>251</v>
      </c>
      <c r="F45" s="53" t="s">
        <v>252</v>
      </c>
      <c r="G45" s="52" t="s">
        <v>250</v>
      </c>
      <c r="H45" s="52" t="s">
        <v>251</v>
      </c>
      <c r="I45" s="53" t="s">
        <v>252</v>
      </c>
      <c r="J45" s="45"/>
    </row>
    <row r="46" spans="3:11">
      <c r="C46" s="54" t="s">
        <v>253</v>
      </c>
      <c r="D46" s="55">
        <v>0.11513119650024811</v>
      </c>
      <c r="E46" s="56">
        <v>40</v>
      </c>
      <c r="F46" s="57">
        <v>0.19868803499751897</v>
      </c>
      <c r="G46" s="58">
        <v>0.97260671795401499</v>
      </c>
      <c r="H46" s="56">
        <v>40</v>
      </c>
      <c r="I46" s="57">
        <v>0.4335283916368427</v>
      </c>
      <c r="J46" s="45"/>
    </row>
    <row r="47" spans="3:11">
      <c r="C47" s="59" t="s">
        <v>254</v>
      </c>
      <c r="D47" s="60">
        <v>0.16230952927312892</v>
      </c>
      <c r="E47" s="61">
        <v>40</v>
      </c>
      <c r="F47" s="62">
        <v>9.5725726785089848E-3</v>
      </c>
      <c r="G47" s="63">
        <v>0.93617685499163383</v>
      </c>
      <c r="H47" s="61">
        <v>40</v>
      </c>
      <c r="I47" s="62">
        <v>2.5745320069495356E-2</v>
      </c>
      <c r="J47" s="45"/>
    </row>
    <row r="48" spans="3:11">
      <c r="C48" s="59" t="s">
        <v>255</v>
      </c>
      <c r="D48" s="60">
        <v>0.15348216162531925</v>
      </c>
      <c r="E48" s="61">
        <v>40</v>
      </c>
      <c r="F48" s="62">
        <v>1.8582293043484157E-2</v>
      </c>
      <c r="G48" s="63">
        <v>0.8639471843251092</v>
      </c>
      <c r="H48" s="61">
        <v>40</v>
      </c>
      <c r="I48" s="62">
        <v>1.9985691573307066E-4</v>
      </c>
      <c r="J48" s="45"/>
    </row>
    <row r="49" spans="1:11">
      <c r="C49" s="64" t="s">
        <v>256</v>
      </c>
      <c r="D49" s="65">
        <v>0.13488295216602209</v>
      </c>
      <c r="E49" s="66">
        <v>40</v>
      </c>
      <c r="F49" s="67">
        <v>6.4506120742912551E-2</v>
      </c>
      <c r="G49" s="68">
        <v>0.91160930556073227</v>
      </c>
      <c r="H49" s="66">
        <v>40</v>
      </c>
      <c r="I49" s="67">
        <v>4.2357174012655876E-3</v>
      </c>
      <c r="J49" s="45"/>
    </row>
    <row r="50" spans="1:11">
      <c r="C50" s="69" t="s">
        <v>257</v>
      </c>
      <c r="D50" s="69"/>
      <c r="E50" s="69"/>
      <c r="F50" s="69"/>
      <c r="G50" s="69"/>
      <c r="H50" s="69"/>
      <c r="I50" s="69"/>
      <c r="J50" s="45"/>
    </row>
    <row r="51" spans="1:11">
      <c r="K51" t="s">
        <v>262</v>
      </c>
    </row>
    <row r="52" spans="1:11" ht="21.6" customHeight="1">
      <c r="B52" t="s">
        <v>259</v>
      </c>
      <c r="C52" s="70" t="s">
        <v>260</v>
      </c>
      <c r="D52" s="70"/>
      <c r="E52" s="70"/>
      <c r="F52" s="70"/>
      <c r="G52" s="70"/>
      <c r="H52" s="70"/>
      <c r="I52" s="70"/>
      <c r="K52" t="s">
        <v>263</v>
      </c>
    </row>
    <row r="53" spans="1:11" ht="54" customHeight="1">
      <c r="C53" s="70" t="s">
        <v>261</v>
      </c>
      <c r="D53" s="70"/>
      <c r="E53" s="70"/>
      <c r="F53" s="70"/>
      <c r="G53" s="70"/>
      <c r="H53" s="70"/>
      <c r="I53" s="70"/>
    </row>
    <row r="56" spans="1:11">
      <c r="B56" t="s">
        <v>264</v>
      </c>
    </row>
    <row r="57" spans="1:11">
      <c r="B57" t="s">
        <v>268</v>
      </c>
    </row>
    <row r="58" spans="1:11">
      <c r="B58" t="s">
        <v>265</v>
      </c>
    </row>
    <row r="59" spans="1:11">
      <c r="B59" t="s">
        <v>266</v>
      </c>
    </row>
    <row r="61" spans="1:11">
      <c r="B61" t="s">
        <v>269</v>
      </c>
    </row>
    <row r="62" spans="1:11">
      <c r="B62" t="s">
        <v>267</v>
      </c>
    </row>
    <row r="64" spans="1:11">
      <c r="B64" t="s">
        <v>270</v>
      </c>
      <c r="C64" t="s">
        <v>271</v>
      </c>
    </row>
    <row r="66" spans="1:2">
      <c r="A66" t="s">
        <v>273</v>
      </c>
      <c r="B66" t="s">
        <v>274</v>
      </c>
    </row>
    <row r="67" spans="1:2">
      <c r="B67" s="71" t="s">
        <v>272</v>
      </c>
    </row>
    <row r="69" spans="1:2">
      <c r="B69" t="s">
        <v>275</v>
      </c>
    </row>
    <row r="70" spans="1:2">
      <c r="B70" t="s">
        <v>276</v>
      </c>
    </row>
    <row r="71" spans="1:2">
      <c r="B71" t="s">
        <v>277</v>
      </c>
    </row>
    <row r="72" spans="1:2">
      <c r="B72" t="s">
        <v>278</v>
      </c>
    </row>
    <row r="74" spans="1:2">
      <c r="B74" t="s">
        <v>279</v>
      </c>
    </row>
    <row r="75" spans="1:2">
      <c r="B75" t="s">
        <v>280</v>
      </c>
    </row>
  </sheetData>
  <mergeCells count="7">
    <mergeCell ref="C53:I53"/>
    <mergeCell ref="C43:I43"/>
    <mergeCell ref="C44:C45"/>
    <mergeCell ref="D44:F44"/>
    <mergeCell ref="G44:I44"/>
    <mergeCell ref="C50:I50"/>
    <mergeCell ref="C52:I52"/>
  </mergeCells>
  <phoneticPr fontId="2" type="noConversion"/>
  <hyperlinks>
    <hyperlink ref="B67" r:id="rId1" xr:uid="{A9315B7D-A61B-48C5-8541-841D0FE81EBE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기말고사범위</vt:lpstr>
      <vt:lpstr>Sheet3</vt:lpstr>
      <vt:lpstr>정규성검정</vt:lpstr>
      <vt:lpstr>다양한 분포의 난수생성</vt:lpstr>
      <vt:lpstr>spss를 이용한 q-q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2018-10-15T01:05:44Z</dcterms:created>
  <dcterms:modified xsi:type="dcterms:W3CDTF">2018-11-19T02:43:13Z</dcterms:modified>
</cp:coreProperties>
</file>