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6F8604B6-09E3-41DD-9D16-5A58C3F2E62C}" xr6:coauthVersionLast="37" xr6:coauthVersionMax="37" xr10:uidLastSave="{00000000-0000-0000-0000-000000000000}"/>
  <bookViews>
    <workbookView xWindow="0" yWindow="0" windowWidth="5880" windowHeight="8292" activeTab="1" xr2:uid="{6D90B7EA-F1BF-4934-BBA9-88DC5BD7BB9C}"/>
  </bookViews>
  <sheets>
    <sheet name="Sheet1" sheetId="1" r:id="rId1"/>
    <sheet name="Sheet2" sheetId="2" r:id="rId2"/>
    <sheet name="기말고사범위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12" i="3"/>
  <c r="F6" i="3"/>
  <c r="F7" i="3"/>
  <c r="F8" i="3"/>
  <c r="F9" i="3"/>
  <c r="F10" i="3"/>
  <c r="F11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  <c r="E21" i="3"/>
  <c r="D21" i="3"/>
  <c r="F21" i="3" s="1"/>
  <c r="J113" i="2"/>
  <c r="K91" i="2" s="1"/>
  <c r="G87" i="2"/>
  <c r="G76" i="2"/>
  <c r="G77" i="2"/>
  <c r="G78" i="2"/>
  <c r="G79" i="2"/>
  <c r="G80" i="2"/>
  <c r="G81" i="2"/>
  <c r="G82" i="2"/>
  <c r="G83" i="2"/>
  <c r="G84" i="2"/>
  <c r="G85" i="2"/>
  <c r="G86" i="2"/>
  <c r="G88" i="2"/>
  <c r="G89" i="2"/>
  <c r="G75" i="2"/>
  <c r="E89" i="2"/>
  <c r="E77" i="2"/>
  <c r="E78" i="2"/>
  <c r="E79" i="2"/>
  <c r="E80" i="2"/>
  <c r="E81" i="2"/>
  <c r="E82" i="2"/>
  <c r="E83" i="2"/>
  <c r="E84" i="2"/>
  <c r="E85" i="2"/>
  <c r="E86" i="2"/>
  <c r="E87" i="2"/>
  <c r="E88" i="2"/>
  <c r="E76" i="2"/>
  <c r="J110" i="2"/>
  <c r="H89" i="2"/>
  <c r="L89" i="2" s="1"/>
  <c r="F76" i="2"/>
  <c r="H76" i="2" s="1"/>
  <c r="L76" i="2" s="1"/>
  <c r="F77" i="2"/>
  <c r="F78" i="2"/>
  <c r="F79" i="2"/>
  <c r="F80" i="2"/>
  <c r="H80" i="2" s="1"/>
  <c r="L80" i="2" s="1"/>
  <c r="F81" i="2"/>
  <c r="F82" i="2"/>
  <c r="F83" i="2"/>
  <c r="F84" i="2"/>
  <c r="F85" i="2"/>
  <c r="F86" i="2"/>
  <c r="F87" i="2"/>
  <c r="F88" i="2"/>
  <c r="H88" i="2" s="1"/>
  <c r="L88" i="2" s="1"/>
  <c r="F89" i="2"/>
  <c r="F75" i="2"/>
  <c r="B91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75" i="2"/>
  <c r="F22" i="3" l="1"/>
  <c r="E5" i="3" s="1"/>
  <c r="H87" i="2"/>
  <c r="L87" i="2" s="1"/>
  <c r="C91" i="2"/>
  <c r="C93" i="2" s="1"/>
  <c r="C94" i="2"/>
  <c r="H75" i="2"/>
  <c r="L75" i="2" s="1"/>
  <c r="H84" i="2"/>
  <c r="L84" i="2" s="1"/>
  <c r="J89" i="2"/>
  <c r="H83" i="2"/>
  <c r="L83" i="2" s="1"/>
  <c r="H79" i="2"/>
  <c r="L79" i="2" s="1"/>
  <c r="H86" i="2"/>
  <c r="L86" i="2" s="1"/>
  <c r="H82" i="2"/>
  <c r="L82" i="2" s="1"/>
  <c r="H78" i="2"/>
  <c r="L78" i="2" s="1"/>
  <c r="H85" i="2"/>
  <c r="L85" i="2" s="1"/>
  <c r="H81" i="2"/>
  <c r="L81" i="2" s="1"/>
  <c r="H77" i="2"/>
  <c r="L77" i="2" s="1"/>
  <c r="F59" i="2"/>
  <c r="F60" i="2"/>
  <c r="F61" i="2"/>
  <c r="F62" i="2"/>
  <c r="F63" i="2"/>
  <c r="F64" i="2"/>
  <c r="F58" i="2"/>
  <c r="I8" i="1"/>
  <c r="F21" i="1"/>
  <c r="E10" i="3" l="1"/>
  <c r="E6" i="3"/>
  <c r="E18" i="3"/>
  <c r="E16" i="3"/>
  <c r="E19" i="3"/>
  <c r="E17" i="3"/>
  <c r="E14" i="3"/>
  <c r="E12" i="3"/>
  <c r="E9" i="3"/>
  <c r="E13" i="3"/>
  <c r="E11" i="3"/>
  <c r="E15" i="3"/>
  <c r="E7" i="3"/>
  <c r="E8" i="3"/>
  <c r="L91" i="2"/>
  <c r="D83" i="2"/>
  <c r="J83" i="2" s="1"/>
  <c r="D76" i="2"/>
  <c r="J76" i="2" s="1"/>
  <c r="D80" i="2"/>
  <c r="J80" i="2" s="1"/>
  <c r="D84" i="2"/>
  <c r="J84" i="2" s="1"/>
  <c r="D88" i="2"/>
  <c r="J88" i="2" s="1"/>
  <c r="D77" i="2"/>
  <c r="J77" i="2" s="1"/>
  <c r="D81" i="2"/>
  <c r="J81" i="2" s="1"/>
  <c r="D85" i="2"/>
  <c r="J85" i="2" s="1"/>
  <c r="D75" i="2"/>
  <c r="E75" i="2" s="1"/>
  <c r="J75" i="2" s="1"/>
  <c r="D78" i="2"/>
  <c r="J78" i="2" s="1"/>
  <c r="D82" i="2"/>
  <c r="J82" i="2" s="1"/>
  <c r="J91" i="2" s="1"/>
  <c r="D86" i="2"/>
  <c r="J86" i="2" s="1"/>
  <c r="D79" i="2"/>
  <c r="J79" i="2" s="1"/>
  <c r="D87" i="2"/>
  <c r="J87" i="2" s="1"/>
  <c r="D59" i="2"/>
  <c r="D60" i="2"/>
  <c r="D61" i="2"/>
  <c r="D62" i="2"/>
  <c r="D63" i="2"/>
  <c r="D58" i="2"/>
  <c r="B66" i="2"/>
  <c r="E58" i="2" s="1"/>
  <c r="C64" i="2"/>
  <c r="C59" i="2"/>
  <c r="C60" i="2"/>
  <c r="C61" i="2"/>
  <c r="C62" i="2"/>
  <c r="C63" i="2"/>
  <c r="C58" i="2"/>
  <c r="C40" i="2"/>
  <c r="F40" i="2"/>
  <c r="H40" i="2"/>
  <c r="I40" i="2"/>
  <c r="B40" i="2"/>
  <c r="C35" i="2"/>
  <c r="F35" i="2"/>
  <c r="H35" i="2"/>
  <c r="B35" i="2"/>
  <c r="B36" i="2" s="1"/>
  <c r="B37" i="2" s="1"/>
  <c r="J34" i="2"/>
  <c r="C8" i="2"/>
  <c r="F8" i="2"/>
  <c r="H8" i="2"/>
  <c r="I8" i="2"/>
  <c r="J8" i="2"/>
  <c r="B8" i="2"/>
  <c r="F18" i="1"/>
  <c r="I4" i="1"/>
  <c r="J4" i="1"/>
  <c r="G18" i="1" s="1"/>
  <c r="K4" i="1"/>
  <c r="H18" i="1" s="1"/>
  <c r="I6" i="1"/>
  <c r="F19" i="1" s="1"/>
  <c r="F22" i="1" s="1"/>
  <c r="J6" i="1"/>
  <c r="K6" i="1"/>
  <c r="H19" i="1" s="1"/>
  <c r="J2" i="1"/>
  <c r="G19" i="1" s="1"/>
  <c r="K2" i="1"/>
  <c r="I2" i="1"/>
  <c r="F36" i="2" l="1"/>
  <c r="D91" i="2"/>
  <c r="J58" i="2"/>
  <c r="G58" i="2"/>
  <c r="H58" i="2" s="1"/>
  <c r="D64" i="2"/>
  <c r="E64" i="2" s="1"/>
  <c r="E60" i="2"/>
  <c r="F37" i="2"/>
  <c r="F41" i="2" s="1"/>
  <c r="F42" i="2" s="1"/>
  <c r="E63" i="2"/>
  <c r="E59" i="2"/>
  <c r="C36" i="2"/>
  <c r="C37" i="2" s="1"/>
  <c r="C41" i="2" s="1"/>
  <c r="C42" i="2" s="1"/>
  <c r="B38" i="2"/>
  <c r="B41" i="2"/>
  <c r="B42" i="2"/>
  <c r="C66" i="2"/>
  <c r="E62" i="2"/>
  <c r="E61" i="2"/>
  <c r="K8" i="2"/>
  <c r="K12" i="2" s="1"/>
  <c r="L12" i="2" s="1"/>
  <c r="H36" i="2"/>
  <c r="H37" i="2" s="1"/>
  <c r="H38" i="2" s="1"/>
  <c r="F38" i="2"/>
  <c r="I36" i="2"/>
  <c r="I37" i="2" s="1"/>
  <c r="J40" i="2"/>
  <c r="C38" i="2" l="1"/>
  <c r="J64" i="2"/>
  <c r="G64" i="2"/>
  <c r="H64" i="2" s="1"/>
  <c r="J61" i="2"/>
  <c r="G61" i="2"/>
  <c r="H61" i="2" s="1"/>
  <c r="J62" i="2"/>
  <c r="G62" i="2"/>
  <c r="H62" i="2" s="1"/>
  <c r="J63" i="2"/>
  <c r="G63" i="2"/>
  <c r="H63" i="2" s="1"/>
  <c r="J60" i="2"/>
  <c r="G60" i="2"/>
  <c r="H60" i="2" s="1"/>
  <c r="J59" i="2"/>
  <c r="J65" i="2" s="1"/>
  <c r="K65" i="2" s="1"/>
  <c r="G59" i="2"/>
  <c r="H59" i="2" s="1"/>
  <c r="H41" i="2"/>
  <c r="H42" i="2" s="1"/>
  <c r="I41" i="2"/>
  <c r="I42" i="2" s="1"/>
  <c r="I38" i="2"/>
  <c r="J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18" authorId="0" shapeId="0" xr:uid="{1F6D104F-BFFD-468B-B13E-5DAE3B2AC13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1,2,3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등분산성을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8" authorId="0" shapeId="0" xr:uid="{B551714C-29FA-478F-BDCC-983B838CEAC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기대값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실제값의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되버리니까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제곱값을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구해봅시다
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나눠봄</t>
        </r>
      </text>
    </comment>
    <comment ref="A37" authorId="0" shapeId="0" xr:uid="{77D2AB0F-DDCF-4474-AF26-E1E245999AC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귀무가설</t>
        </r>
        <r>
          <rPr>
            <sz val="9"/>
            <color indexed="81"/>
            <rFont val="Tahoma"/>
            <family val="2"/>
          </rPr>
          <t>: X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포아송분포를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
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가정하에
</t>
        </r>
        <r>
          <rPr>
            <sz val="9"/>
            <color indexed="81"/>
            <rFont val="Tahoma"/>
            <family val="2"/>
          </rPr>
          <t>(Under H0)</t>
        </r>
      </text>
    </comment>
    <comment ref="A40" authorId="0" shapeId="0" xr:uid="{01B9355F-B94F-4CE5-B305-C9F9D068038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나오잖아요
주의</t>
        </r>
        <r>
          <rPr>
            <sz val="9"/>
            <color indexed="81"/>
            <rFont val="Tahoma"/>
            <family val="2"/>
          </rPr>
          <t>**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대체한다</t>
        </r>
        <r>
          <rPr>
            <sz val="9"/>
            <color indexed="81"/>
            <rFont val="Tahoma"/>
            <family val="2"/>
          </rPr>
          <t>.</t>
        </r>
      </text>
    </comment>
    <comment ref="A42" authorId="0" shapeId="0" xr:uid="{17CC6F9F-704B-4310-93F7-70A8C2C4468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표준정규분포를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경향이있음
</t>
        </r>
        <r>
          <rPr>
            <sz val="9"/>
            <color indexed="81"/>
            <rFont val="Tahoma"/>
            <family val="2"/>
          </rPr>
          <t>+- 2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그래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회귀분석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표준화잔차와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얘가</t>
        </r>
        <r>
          <rPr>
            <sz val="9"/>
            <color indexed="81"/>
            <rFont val="Tahoma"/>
            <family val="2"/>
          </rPr>
          <t xml:space="preserve"> +-2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봅시다
그러며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카이제곱검정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안해도</t>
        </r>
        <r>
          <rPr>
            <sz val="9"/>
            <color indexed="81"/>
            <rFont val="Tahoma"/>
            <family val="2"/>
          </rPr>
          <t xml:space="preserve"> DRRS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포아송분포가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맞겠다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따져볼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  <comment ref="J65" authorId="0" shapeId="0" xr:uid="{56AFFFE4-BCA0-4B6F-986A-A74F6AF4A48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카이제곱검정통계량</t>
        </r>
      </text>
    </comment>
    <comment ref="K65" authorId="0" shapeId="0" xr:uid="{23607395-52A8-4431-93CC-B9D3E90AB1E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p-value</t>
        </r>
      </text>
    </comment>
    <comment ref="H74" authorId="0" shapeId="0" xr:uid="{D5C700AD-0F53-41A7-AA75-3C002C93978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차이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얘는</t>
        </r>
        <r>
          <rPr>
            <sz val="9"/>
            <color indexed="81"/>
            <rFont val="Tahoma"/>
            <family val="2"/>
          </rPr>
          <t xml:space="preserve"> m=0,sd=1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정규분포따르니
</t>
        </r>
        <r>
          <rPr>
            <sz val="9"/>
            <color indexed="81"/>
            <rFont val="Tahoma"/>
            <family val="2"/>
          </rPr>
          <t xml:space="preserve">+-2 </t>
        </r>
        <r>
          <rPr>
            <sz val="9"/>
            <color indexed="81"/>
            <rFont val="돋움"/>
            <family val="3"/>
            <charset val="129"/>
          </rPr>
          <t>벗어나면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이상한값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프린트참고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87" authorId="0" shapeId="0" xr:uid="{4D42E206-81B9-4B19-A1A1-AD8C613B590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관측빈도가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>!
DRRS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따른다고햇는데
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관측값이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인경우에는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할거임
</t>
        </r>
      </text>
    </comment>
    <comment ref="K91" authorId="0" shapeId="0" xr:uid="{E004D4A2-D971-4D5A-B287-6F3A2B9168B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p-value</t>
        </r>
        <r>
          <rPr>
            <sz val="9"/>
            <color indexed="81"/>
            <rFont val="돋움"/>
            <family val="3"/>
            <charset val="129"/>
          </rPr>
          <t>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C4" authorId="0" shapeId="0" xr:uid="{3F1F0091-B5E2-4689-8F95-1A8C9A493B2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나열해야함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마지막케이스까지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있을때
전체</t>
        </r>
        <r>
          <rPr>
            <sz val="9"/>
            <color indexed="81"/>
            <rFont val="Tahoma"/>
            <family val="2"/>
          </rPr>
          <t xml:space="preserve"> 1/N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
정규분포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얘기하구싶잖아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좌우대칭이니까
제일작은거보다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있을거랑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똑같이</t>
        </r>
        <r>
          <rPr>
            <sz val="9"/>
            <color indexed="81"/>
            <rFont val="Tahoma"/>
            <family val="2"/>
          </rPr>
          <t xml:space="preserve"> 1/N</t>
        </r>
        <r>
          <rPr>
            <sz val="9"/>
            <color indexed="81"/>
            <rFont val="돋움"/>
            <family val="3"/>
            <charset val="129"/>
          </rPr>
          <t>일거라고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기대하는거지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변형시키니까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나온것임</t>
        </r>
      </text>
    </comment>
    <comment ref="D4" authorId="0" shapeId="0" xr:uid="{5ECF2DAD-D314-421C-9A58-143C5BC2343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 </t>
        </r>
        <r>
          <rPr>
            <sz val="9"/>
            <color indexed="81"/>
            <rFont val="돋움"/>
            <family val="3"/>
            <charset val="129"/>
          </rPr>
          <t>자료순번</t>
        </r>
        <r>
          <rPr>
            <sz val="9"/>
            <color indexed="81"/>
            <rFont val="Tahoma"/>
            <family val="2"/>
          </rPr>
          <t xml:space="preserve"> - 3/8 ) / (</t>
        </r>
        <r>
          <rPr>
            <sz val="9"/>
            <color indexed="81"/>
            <rFont val="돋움"/>
            <family val="3"/>
            <charset val="129"/>
          </rPr>
          <t>전체자료개수</t>
        </r>
        <r>
          <rPr>
            <sz val="9"/>
            <color indexed="81"/>
            <rFont val="Tahoma"/>
            <family val="2"/>
          </rPr>
          <t xml:space="preserve"> +1 /4)</t>
        </r>
      </text>
    </comment>
    <comment ref="E4" authorId="0" shapeId="0" xr:uid="{C33ACF87-D0DD-4F46-84A6-821C3F016D8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저항성이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없는건데
저항성이있는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볼거야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받는거지만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비교해볼려고
</t>
        </r>
      </text>
    </comment>
    <comment ref="G4" authorId="0" shapeId="0" xr:uid="{41F44548-8985-49D8-B444-E929C39ADB4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정규분포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경험함수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찍어보고
일직선에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점검해보자
</t>
        </r>
        <r>
          <rPr>
            <sz val="9"/>
            <color indexed="81"/>
            <rFont val="Tahoma"/>
            <family val="2"/>
          </rPr>
          <t>(Q-Q, P-P plot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유사함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일직선위에있음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따름</t>
        </r>
        <r>
          <rPr>
            <sz val="9"/>
            <color indexed="81"/>
            <rFont val="Tahoma"/>
            <family val="2"/>
          </rPr>
          <t>*
q-q plot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알아ㅑ함
콜모고르프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스미노르프에서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비모수통계에서도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  <r>
          <rPr>
            <sz val="9"/>
            <color indexed="81"/>
            <rFont val="Tahoma"/>
            <family val="2"/>
          </rPr>
          <t>*</t>
        </r>
      </text>
    </comment>
    <comment ref="D5" authorId="0" shapeId="0" xr:uid="{CCB29973-AF83-431F-9694-72ACA158728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row()
</t>
        </r>
        <r>
          <rPr>
            <sz val="9"/>
            <color indexed="81"/>
            <rFont val="돋움"/>
            <family val="3"/>
            <charset val="129"/>
          </rPr>
          <t>양쪽끝값을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더해보면
거의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같을거야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나왔다면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위치와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보는데
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떨어지길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바라겟지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경험함수를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의존한게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본건데
정규분포는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확률인데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두개가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정규분포를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봐야겠찌</t>
        </r>
        <r>
          <rPr>
            <sz val="9"/>
            <color indexed="81"/>
            <rFont val="Tahoma"/>
            <family val="2"/>
          </rPr>
          <t>**</t>
        </r>
      </text>
    </comment>
    <comment ref="E16" authorId="0" shapeId="0" xr:uid="{66794BC1-97E6-4E33-A9CE-BCAAB751F77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49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ㄱㅄ이</t>
        </r>
        <r>
          <rPr>
            <sz val="9"/>
            <color indexed="81"/>
            <rFont val="Tahoma"/>
            <family val="2"/>
          </rPr>
          <t xml:space="preserve"> 79.8</t>
        </r>
        <r>
          <rPr>
            <sz val="9"/>
            <color indexed="81"/>
            <rFont val="돋움"/>
            <family val="3"/>
            <charset val="129"/>
          </rPr>
          <t>퍼센트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<sst xmlns="http://schemas.openxmlformats.org/spreadsheetml/2006/main" count="147" uniqueCount="129">
  <si>
    <t>자료1</t>
    <phoneticPr fontId="2" type="noConversion"/>
  </si>
  <si>
    <t>자료2</t>
    <phoneticPr fontId="2" type="noConversion"/>
  </si>
  <si>
    <t>자료3</t>
    <phoneticPr fontId="2" type="noConversion"/>
  </si>
  <si>
    <t>Q1</t>
    <phoneticPr fontId="2" type="noConversion"/>
  </si>
  <si>
    <t>M</t>
    <phoneticPr fontId="2" type="noConversion"/>
  </si>
  <si>
    <t>Q3</t>
    <phoneticPr fontId="2" type="noConversion"/>
  </si>
  <si>
    <t>좌우대칭이면 H(l)+Hu /2 과 M이 일치할 것이다.</t>
    <phoneticPr fontId="2" type="noConversion"/>
  </si>
  <si>
    <t>그래서 p=1이 되니까 변환할 이유가 없다는 의미이다</t>
    <phoneticPr fontId="2" type="noConversion"/>
  </si>
  <si>
    <t>(이 건 사분위 범위 안에서 보는 거야. 윗부분에 의해 결정이 남)</t>
    <phoneticPr fontId="2" type="noConversion"/>
  </si>
  <si>
    <t>대칭성P (프린트참고)</t>
    <phoneticPr fontId="2" type="noConversion"/>
  </si>
  <si>
    <t>양쪽끝의 위치는 데이터의 크기마다 바뀔 수 있는데.</t>
    <phoneticPr fontId="2" type="noConversion"/>
  </si>
  <si>
    <t>log(M)</t>
    <phoneticPr fontId="2" type="noConversion"/>
  </si>
  <si>
    <t>log(SPR(H))</t>
    <phoneticPr fontId="2" type="noConversion"/>
  </si>
  <si>
    <t>기울기</t>
    <phoneticPr fontId="2" type="noConversion"/>
  </si>
  <si>
    <t>p값=1-기울기</t>
    <phoneticPr fontId="2" type="noConversion"/>
  </si>
  <si>
    <t>0.3정도 나옴 =&gt;세제곱근을 씌우는게 좋겠다.</t>
    <phoneticPr fontId="2" type="noConversion"/>
  </si>
  <si>
    <t>이론적으로 이렇게 나왔다는 걸 보여주는 것임.</t>
    <phoneticPr fontId="2" type="noConversion"/>
  </si>
  <si>
    <t>log580</t>
    <phoneticPr fontId="2" type="noConversion"/>
  </si>
  <si>
    <t>log9075</t>
    <phoneticPr fontId="2" type="noConversion"/>
  </si>
  <si>
    <t>log10015</t>
    <phoneticPr fontId="2" type="noConversion"/>
  </si>
  <si>
    <t>log386.5</t>
    <phoneticPr fontId="2" type="noConversion"/>
  </si>
  <si>
    <t>log1935</t>
    <phoneticPr fontId="2" type="noConversion"/>
  </si>
  <si>
    <t>log5750</t>
    <phoneticPr fontId="2" type="noConversion"/>
  </si>
  <si>
    <t>log5750-log386.5   / log10015-log580   = star</t>
    <phoneticPr fontId="2" type="noConversion"/>
  </si>
  <si>
    <t xml:space="preserve">star = 1 - p = 0.7   </t>
    <phoneticPr fontId="2" type="noConversion"/>
  </si>
  <si>
    <t>따라서 p=0.3정도. 삼제곱근을 하는 것이 좋아보인다.</t>
    <phoneticPr fontId="2" type="noConversion"/>
  </si>
  <si>
    <t>** 왼쪽 계산이 교수님꺼랑 약간 달라서 칠판 필기를 옮겨옴(다시공부해보기)</t>
    <phoneticPr fontId="2" type="noConversion"/>
  </si>
  <si>
    <t>포아송분포인지 아닌지?</t>
    <phoneticPr fontId="2" type="noConversion"/>
  </si>
  <si>
    <t>카이제곱</t>
    <phoneticPr fontId="2" type="noConversion"/>
  </si>
  <si>
    <t>주사위는 공정한가?</t>
    <phoneticPr fontId="2" type="noConversion"/>
  </si>
  <si>
    <t>공정한 주사위라면 여섯개의 눈이 나올 가능성이 같다고 기대하겠죠</t>
    <phoneticPr fontId="2" type="noConversion"/>
  </si>
  <si>
    <t xml:space="preserve">주사위 눈 </t>
    <phoneticPr fontId="2" type="noConversion"/>
  </si>
  <si>
    <t>기대값</t>
    <phoneticPr fontId="2" type="noConversion"/>
  </si>
  <si>
    <t>실제조사값</t>
    <phoneticPr fontId="2" type="noConversion"/>
  </si>
  <si>
    <t>&lt;- chi-squared</t>
    <phoneticPr fontId="2" type="noConversion"/>
  </si>
  <si>
    <t>자유도</t>
    <phoneticPr fontId="2" type="noConversion"/>
  </si>
  <si>
    <t>셀의 크기 - 1</t>
    <phoneticPr fontId="2" type="noConversion"/>
  </si>
  <si>
    <t>여기선 5 임</t>
    <phoneticPr fontId="2" type="noConversion"/>
  </si>
  <si>
    <t>누적과 누적분포함수는 작거나 같은쪽의 면적 확률을 의미한다.</t>
    <phoneticPr fontId="2" type="noConversion"/>
  </si>
  <si>
    <t>귀무가설이 참이라는 전제하에 지금 나타난 상황이 일어난 상황보다 더 극단적으로 이상한 사건이 일어날 확률</t>
    <phoneticPr fontId="2" type="noConversion"/>
  </si>
  <si>
    <t>가설검정 하에서</t>
    <phoneticPr fontId="2" type="noConversion"/>
  </si>
  <si>
    <t>유의확률</t>
    <phoneticPr fontId="2" type="noConversion"/>
  </si>
  <si>
    <t>귀무가설</t>
    <phoneticPr fontId="2" type="noConversion"/>
  </si>
  <si>
    <t>모든 주사위 눈이 나올 확률이 1/6이다</t>
    <phoneticPr fontId="2" type="noConversion"/>
  </si>
  <si>
    <t>대립가설</t>
    <phoneticPr fontId="2" type="noConversion"/>
  </si>
  <si>
    <t>어떤 하나라도 1/6이 안나올 수 있다.</t>
    <phoneticPr fontId="2" type="noConversion"/>
  </si>
  <si>
    <t>기대값과 실제값의 차이가 거의 차이가 안나길 바라는 게 귀무가설</t>
    <phoneticPr fontId="2" type="noConversion"/>
  </si>
  <si>
    <t>그러니까 카이스퀘어 값이 거의 0에 가깝길 바라는 게 귀무가설이지</t>
    <phoneticPr fontId="2" type="noConversion"/>
  </si>
  <si>
    <t>귀무가설이 참일때 더 극단적이 나올 확률이 유의확률이잖아</t>
    <phoneticPr fontId="2" type="noConversion"/>
  </si>
  <si>
    <t>그러니까 귀무가설이 참이 아니라면 0.6667이 커져야 하는 거거든</t>
    <phoneticPr fontId="2" type="noConversion"/>
  </si>
  <si>
    <t xml:space="preserve">넓이를 구한다하면 바깥쪽을 구해야한다. </t>
    <phoneticPr fontId="2" type="noConversion"/>
  </si>
  <si>
    <t>엑셀엔 아랫쪽 넓이가 나오는거지. 그러니까 엑셀에서 계산할때 조심하기</t>
    <phoneticPr fontId="2" type="noConversion"/>
  </si>
  <si>
    <t>유의확률이 0.984748임. 카이스퀘어 유의확률 구할때 조심하기!</t>
    <phoneticPr fontId="2" type="noConversion"/>
  </si>
  <si>
    <t>유의확률이 0.984748이므로 유의수준 5퍼센트하에서 귀무가설을 기각할수 없으므로</t>
    <phoneticPr fontId="2" type="noConversion"/>
  </si>
  <si>
    <t>주사위는 공정하다는 입장을 계속 유지한다.</t>
    <phoneticPr fontId="2" type="noConversion"/>
  </si>
  <si>
    <t>x</t>
    <phoneticPr fontId="2" type="noConversion"/>
  </si>
  <si>
    <t>4+</t>
    <phoneticPr fontId="2" type="noConversion"/>
  </si>
  <si>
    <t>포아송 : 단위 안에서 일어난 횟수에 관심이 있죠. 여기서 X는 횟수에 관한 확률변수라고 합시다.</t>
    <phoneticPr fontId="2" type="noConversion"/>
  </si>
  <si>
    <t>관측된 값</t>
    <phoneticPr fontId="2" type="noConversion"/>
  </si>
  <si>
    <t>ToTal</t>
    <phoneticPr fontId="2" type="noConversion"/>
  </si>
  <si>
    <t>확률밀도함수(X범위에맞춤)</t>
    <phoneticPr fontId="2" type="noConversion"/>
  </si>
  <si>
    <t>(누적분포함수)</t>
    <phoneticPr fontId="2" type="noConversion"/>
  </si>
  <si>
    <t>기대값(확률*N)</t>
    <phoneticPr fontId="2" type="noConversion"/>
  </si>
  <si>
    <t>&lt;= 카이스퀘어검정통계량</t>
    <phoneticPr fontId="2" type="noConversion"/>
  </si>
  <si>
    <t>루트(2+4*관측값)</t>
    <phoneticPr fontId="2" type="noConversion"/>
  </si>
  <si>
    <t>루트(1+4*기대값)</t>
    <phoneticPr fontId="2" type="noConversion"/>
  </si>
  <si>
    <t>DRRS</t>
    <phoneticPr fontId="2" type="noConversion"/>
  </si>
  <si>
    <t>관측값과 기대값의 차이를 이용</t>
    <phoneticPr fontId="2" type="noConversion"/>
  </si>
  <si>
    <t xml:space="preserve"> </t>
    <phoneticPr fontId="2" type="noConversion"/>
  </si>
  <si>
    <t>DRRS(2배 제곱근의 잔차)</t>
    <phoneticPr fontId="2" type="noConversion"/>
  </si>
  <si>
    <t>1. 카이제곱검정</t>
    <phoneticPr fontId="2" type="noConversion"/>
  </si>
  <si>
    <t>2. DRRS(잔차)를 이용해서 +-2를 벗어나는 값이 있는지 아닌지를 확인해보자.</t>
    <phoneticPr fontId="2" type="noConversion"/>
  </si>
  <si>
    <t>포아송분포를 따른다고 해도 괜찮겠다.</t>
    <phoneticPr fontId="2" type="noConversion"/>
  </si>
  <si>
    <t>(꼭 유의확률을 구할 필요는 없겠다)</t>
    <phoneticPr fontId="2" type="noConversion"/>
  </si>
  <si>
    <t>포아송분포인가?</t>
    <phoneticPr fontId="2" type="noConversion"/>
  </si>
  <si>
    <t>X</t>
    <phoneticPr fontId="2" type="noConversion"/>
  </si>
  <si>
    <t>6+</t>
    <phoneticPr fontId="2" type="noConversion"/>
  </si>
  <si>
    <t>평균</t>
    <phoneticPr fontId="2" type="noConversion"/>
  </si>
  <si>
    <t>관측값</t>
    <phoneticPr fontId="2" type="noConversion"/>
  </si>
  <si>
    <t>관측개수</t>
    <phoneticPr fontId="2" type="noConversion"/>
  </si>
  <si>
    <t>루트(2+4*관측값)</t>
    <phoneticPr fontId="2" type="noConversion"/>
  </si>
  <si>
    <t>관측값</t>
    <phoneticPr fontId="2" type="noConversion"/>
  </si>
  <si>
    <t>관측개수</t>
    <phoneticPr fontId="2" type="noConversion"/>
  </si>
  <si>
    <t>평균(모름)</t>
    <phoneticPr fontId="2" type="noConversion"/>
  </si>
  <si>
    <t>기대값=N*p</t>
    <phoneticPr fontId="2" type="noConversion"/>
  </si>
  <si>
    <t>DRRS의제곱</t>
    <phoneticPr fontId="2" type="noConversion"/>
  </si>
  <si>
    <t>&lt;DRRS 제곱합</t>
    <phoneticPr fontId="2" type="noConversion"/>
  </si>
  <si>
    <t>수리적입 방식으로 잘 풀어보면 이 값도 카이제곱값을 따름</t>
    <phoneticPr fontId="2" type="noConversion"/>
  </si>
  <si>
    <t>둘다 카이제곱을 따름</t>
    <phoneticPr fontId="2" type="noConversion"/>
  </si>
  <si>
    <t>잔차의제곱합*</t>
    <phoneticPr fontId="2" type="noConversion"/>
  </si>
  <si>
    <t>정규분포에 근거해서 구한 카이제곱이고</t>
    <phoneticPr fontId="2" type="noConversion"/>
  </si>
  <si>
    <t>정통적인 방법으로 써서 정통적으로 구한 것</t>
    <phoneticPr fontId="2" type="noConversion"/>
  </si>
  <si>
    <t>np&gt;=5 이상인 뭐 기본적 조건과 맞물려서 위가 저런 조건을 만족</t>
    <phoneticPr fontId="2" type="noConversion"/>
  </si>
  <si>
    <t>주의:E(i)가 5미만이 셀(칸)이 전체셀 (k개)의 20%를 넘어가면 안됨</t>
    <phoneticPr fontId="2" type="noConversion"/>
  </si>
  <si>
    <t>저때는 : Fisher의 정확검정*</t>
    <phoneticPr fontId="2" type="noConversion"/>
  </si>
  <si>
    <t>근데 이건 비모수검정법이라,</t>
    <phoneticPr fontId="2" type="noConversion"/>
  </si>
  <si>
    <t>이거 하기 싫으면 X의 범위를 늘려서 범주를 합해주는 거지!</t>
    <phoneticPr fontId="2" type="noConversion"/>
  </si>
  <si>
    <t>(근데 사실 정보력이 상실된다는 문제점을 가진다는 단점이 있음)</t>
    <phoneticPr fontId="2" type="noConversion"/>
  </si>
  <si>
    <t>카이제곱(k-1의자유도를 가짐)</t>
    <phoneticPr fontId="2" type="noConversion"/>
  </si>
  <si>
    <t>전체합계</t>
    <phoneticPr fontId="2" type="noConversion"/>
  </si>
  <si>
    <t>분포문제를 다룰때 우리는 모수를 추정하게 됨(E(i))</t>
    <phoneticPr fontId="2" type="noConversion"/>
  </si>
  <si>
    <t>그래서 카이제곱분포는 k-1개의 셀이 자유도가 되는데, 거기에 p개의 모수를 빼야함** (주의)</t>
    <phoneticPr fontId="2" type="noConversion"/>
  </si>
  <si>
    <t>그래서 카이제곱의 모수는 k-1-p</t>
    <phoneticPr fontId="2" type="noConversion"/>
  </si>
  <si>
    <t>(평균 하나 추정했으니까 1을 한번 더 빼줘야함)</t>
    <phoneticPr fontId="2" type="noConversion"/>
  </si>
  <si>
    <t>=15-1-1</t>
    <phoneticPr fontId="2" type="noConversion"/>
  </si>
  <si>
    <t>자유도</t>
    <phoneticPr fontId="2" type="noConversion"/>
  </si>
  <si>
    <t>유의확률</t>
    <phoneticPr fontId="2" type="noConversion"/>
  </si>
  <si>
    <t>=1-chisq.dist(H63, 13, TRUE)</t>
    <phoneticPr fontId="2" type="noConversion"/>
  </si>
  <si>
    <t>귀무가설</t>
    <phoneticPr fontId="2" type="noConversion"/>
  </si>
  <si>
    <t>포아송분포이다</t>
    <phoneticPr fontId="2" type="noConversion"/>
  </si>
  <si>
    <t>대립가설</t>
    <phoneticPr fontId="2" type="noConversion"/>
  </si>
  <si>
    <t>포아송분포가 아니다</t>
    <phoneticPr fontId="2" type="noConversion"/>
  </si>
  <si>
    <t>유의수준 5%에서 유의확률이 약 13.4%이므로 귀무가설을 채택한다</t>
    <phoneticPr fontId="2" type="noConversion"/>
  </si>
  <si>
    <t>전체적인 양상은 포아송을 따르는데, 하나 튀는 값이 생기는데 그게 8이라는 관측치(DRRS가 큼)인데</t>
    <phoneticPr fontId="2" type="noConversion"/>
  </si>
  <si>
    <t>기대보다 좀 푹 꺼진 모양이겠네*</t>
    <phoneticPr fontId="2" type="noConversion"/>
  </si>
  <si>
    <t>그래서 완벽하게 포아송분포라고 확정짓기엔 문제가 있어 보인다</t>
    <phoneticPr fontId="2" type="noConversion"/>
  </si>
  <si>
    <t>*통계학자는 다 모르니까 이정도로 말을 해야한다*</t>
    <phoneticPr fontId="2" type="noConversion"/>
  </si>
  <si>
    <t>정규분포를 따른다</t>
    <phoneticPr fontId="2" type="noConversion"/>
  </si>
  <si>
    <t>정규분포를 따르지 않는다</t>
    <phoneticPr fontId="2" type="noConversion"/>
  </si>
  <si>
    <t>정규분포를 따르는가?</t>
    <phoneticPr fontId="2" type="noConversion"/>
  </si>
  <si>
    <t>저항있는 평균</t>
    <phoneticPr fontId="2" type="noConversion"/>
  </si>
  <si>
    <t>저항있는 표준편차</t>
    <phoneticPr fontId="2" type="noConversion"/>
  </si>
  <si>
    <t>경험적누적분포이용</t>
    <phoneticPr fontId="2" type="noConversion"/>
  </si>
  <si>
    <t>정규분포를 따를때 확률밀도함수이용</t>
    <phoneticPr fontId="2" type="noConversion"/>
  </si>
  <si>
    <t>N</t>
    <phoneticPr fontId="2" type="noConversion"/>
  </si>
  <si>
    <t>자료순번</t>
    <phoneticPr fontId="2" type="noConversion"/>
  </si>
  <si>
    <t>경험함수에 근거하여 평균 28, 표준편차 25인 분포를 따른다면 해당위치의 실제값은?</t>
    <phoneticPr fontId="2" type="noConversion"/>
  </si>
  <si>
    <t xml:space="preserve">Norm.dist, Norm.inst 잘 써야하고 / 위치를 변경해서 실제로 정규분포를 따르는지 봐서 정규분포 얘끼하는거고/포아송에서 중요한 것은 drrs -&gt; 표준정규분포, </t>
    <phoneticPr fontId="2" type="noConversion"/>
  </si>
  <si>
    <t>&gt;&gt; 그래서 DRRS를 쓰는거, 잔차가 +-2가 넘는지 안넘는지 확인하는게 좋다*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</si>
</sst>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128B-0C82-4FE4-8E55-1BDA2A120082}">
  <dimension ref="A1:O24"/>
  <sheetViews>
    <sheetView topLeftCell="B1" workbookViewId="0">
      <selection activeCell="L1" sqref="L1"/>
    </sheetView>
  </sheetViews>
  <sheetFormatPr defaultRowHeight="17.399999999999999" x14ac:dyDescent="0.4"/>
  <cols>
    <col min="5" max="5" width="13.19921875" customWidth="1"/>
  </cols>
  <sheetData>
    <row r="1" spans="1:15" x14ac:dyDescent="0.4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5" x14ac:dyDescent="0.4">
      <c r="A2">
        <v>387</v>
      </c>
      <c r="B2">
        <v>6060</v>
      </c>
      <c r="C2">
        <v>18900</v>
      </c>
      <c r="E2">
        <v>470</v>
      </c>
      <c r="F2">
        <v>7900</v>
      </c>
      <c r="G2">
        <v>27800</v>
      </c>
      <c r="H2" t="s">
        <v>3</v>
      </c>
      <c r="I2">
        <f>AVERAGE(E2:E3)</f>
        <v>483.5</v>
      </c>
      <c r="J2">
        <f>AVERAGE(F2:F3)</f>
        <v>8080</v>
      </c>
      <c r="K2">
        <f>AVERAGE(G2:G3)</f>
        <v>27950</v>
      </c>
    </row>
    <row r="3" spans="1:15" x14ac:dyDescent="0.4">
      <c r="A3">
        <v>428</v>
      </c>
      <c r="B3">
        <v>7600</v>
      </c>
      <c r="C3">
        <v>22300</v>
      </c>
      <c r="E3">
        <v>497</v>
      </c>
      <c r="F3">
        <v>8260</v>
      </c>
      <c r="G3">
        <v>28100</v>
      </c>
    </row>
    <row r="4" spans="1:15" x14ac:dyDescent="0.4">
      <c r="A4">
        <v>470</v>
      </c>
      <c r="B4">
        <v>7900</v>
      </c>
      <c r="C4">
        <v>27800</v>
      </c>
      <c r="E4">
        <v>540</v>
      </c>
      <c r="F4">
        <v>8900</v>
      </c>
      <c r="G4">
        <v>29000</v>
      </c>
      <c r="H4" t="s">
        <v>4</v>
      </c>
      <c r="I4">
        <f>AVERAGE(E4:E5)</f>
        <v>580</v>
      </c>
      <c r="J4">
        <f>AVERAGE(F4:F5)</f>
        <v>9075</v>
      </c>
      <c r="K4">
        <f>AVERAGE(G4:G5)</f>
        <v>30200</v>
      </c>
    </row>
    <row r="5" spans="1:15" x14ac:dyDescent="0.4">
      <c r="A5">
        <v>497</v>
      </c>
      <c r="B5">
        <v>8260</v>
      </c>
      <c r="C5">
        <v>28100</v>
      </c>
      <c r="E5">
        <v>620</v>
      </c>
      <c r="F5">
        <v>9250</v>
      </c>
      <c r="G5">
        <v>31400</v>
      </c>
    </row>
    <row r="6" spans="1:15" x14ac:dyDescent="0.4">
      <c r="A6">
        <v>537</v>
      </c>
      <c r="B6">
        <v>8600</v>
      </c>
      <c r="C6">
        <v>28800</v>
      </c>
      <c r="E6">
        <v>845</v>
      </c>
      <c r="F6">
        <v>9830</v>
      </c>
      <c r="G6">
        <v>32800</v>
      </c>
      <c r="H6" t="s">
        <v>5</v>
      </c>
      <c r="I6">
        <f>AVERAGE(E6:E7)</f>
        <v>870</v>
      </c>
      <c r="J6">
        <f>AVERAGE(F6:F7)</f>
        <v>10015</v>
      </c>
      <c r="K6">
        <f>AVERAGE(G6:G7)</f>
        <v>33700</v>
      </c>
    </row>
    <row r="7" spans="1:15" x14ac:dyDescent="0.4">
      <c r="A7">
        <v>540</v>
      </c>
      <c r="B7">
        <v>8900</v>
      </c>
      <c r="C7">
        <v>29000</v>
      </c>
      <c r="E7">
        <v>895</v>
      </c>
      <c r="F7">
        <v>10200</v>
      </c>
      <c r="G7">
        <v>34600</v>
      </c>
    </row>
    <row r="8" spans="1:15" x14ac:dyDescent="0.4">
      <c r="A8">
        <v>620</v>
      </c>
      <c r="B8">
        <v>9250</v>
      </c>
      <c r="C8">
        <v>31400</v>
      </c>
      <c r="I8">
        <f>(I2+I6)/2</f>
        <v>676.75</v>
      </c>
    </row>
    <row r="9" spans="1:15" x14ac:dyDescent="0.4">
      <c r="A9">
        <v>760</v>
      </c>
      <c r="B9">
        <v>9650</v>
      </c>
      <c r="C9">
        <v>32800</v>
      </c>
      <c r="F9" t="s">
        <v>0</v>
      </c>
      <c r="G9" t="s">
        <v>9</v>
      </c>
    </row>
    <row r="10" spans="1:15" x14ac:dyDescent="0.4">
      <c r="A10">
        <v>845</v>
      </c>
      <c r="B10">
        <v>9830</v>
      </c>
      <c r="C10">
        <v>32800</v>
      </c>
      <c r="F10" t="s">
        <v>1</v>
      </c>
    </row>
    <row r="11" spans="1:15" x14ac:dyDescent="0.4">
      <c r="A11">
        <v>895</v>
      </c>
      <c r="B11">
        <v>10200</v>
      </c>
      <c r="C11">
        <v>34600</v>
      </c>
      <c r="F11" t="s">
        <v>2</v>
      </c>
    </row>
    <row r="12" spans="1:15" x14ac:dyDescent="0.4">
      <c r="A12">
        <v>1020</v>
      </c>
      <c r="B12">
        <v>11000</v>
      </c>
      <c r="C12">
        <v>39500</v>
      </c>
      <c r="M12" t="s">
        <v>26</v>
      </c>
    </row>
    <row r="13" spans="1:15" x14ac:dyDescent="0.4">
      <c r="A13">
        <v>1050</v>
      </c>
      <c r="B13">
        <v>15500</v>
      </c>
      <c r="C13">
        <v>43300</v>
      </c>
      <c r="F13" t="s">
        <v>6</v>
      </c>
      <c r="M13" t="s">
        <v>24</v>
      </c>
      <c r="O13" t="s">
        <v>25</v>
      </c>
    </row>
    <row r="14" spans="1:15" x14ac:dyDescent="0.4">
      <c r="F14" t="s">
        <v>7</v>
      </c>
      <c r="M14" t="s">
        <v>23</v>
      </c>
    </row>
    <row r="15" spans="1:15" x14ac:dyDescent="0.4">
      <c r="F15" t="s">
        <v>8</v>
      </c>
    </row>
    <row r="16" spans="1:15" x14ac:dyDescent="0.4">
      <c r="M16" t="s">
        <v>17</v>
      </c>
      <c r="N16" t="s">
        <v>20</v>
      </c>
    </row>
    <row r="17" spans="4:14" x14ac:dyDescent="0.4">
      <c r="F17" t="s">
        <v>10</v>
      </c>
      <c r="M17" t="s">
        <v>18</v>
      </c>
      <c r="N17" t="s">
        <v>21</v>
      </c>
    </row>
    <row r="18" spans="4:14" x14ac:dyDescent="0.4">
      <c r="E18" t="s">
        <v>11</v>
      </c>
      <c r="F18">
        <f>LOG(I4)</f>
        <v>2.7634279935629373</v>
      </c>
      <c r="G18">
        <f>LOG(J4)</f>
        <v>3.9578466337081499</v>
      </c>
      <c r="H18">
        <f>LOG(K4)</f>
        <v>4.480006942957151</v>
      </c>
      <c r="M18" t="s">
        <v>19</v>
      </c>
      <c r="N18" t="s">
        <v>22</v>
      </c>
    </row>
    <row r="19" spans="4:14" x14ac:dyDescent="0.4">
      <c r="E19" t="s">
        <v>12</v>
      </c>
      <c r="F19">
        <f>LOG(I6-I2)</f>
        <v>2.5871494982543437</v>
      </c>
      <c r="G19">
        <f>LOG(J6-J2)</f>
        <v>3.2866809693549301</v>
      </c>
      <c r="H19">
        <f>LOG(K6-K2)</f>
        <v>3.7596678446896306</v>
      </c>
    </row>
    <row r="21" spans="4:14" x14ac:dyDescent="0.4">
      <c r="E21" t="s">
        <v>13</v>
      </c>
      <c r="F21">
        <f>(F18-F19)/(I4-(I6-I2))</f>
        <v>9.1099997575500588E-4</v>
      </c>
    </row>
    <row r="22" spans="4:14" x14ac:dyDescent="0.4">
      <c r="E22" t="s">
        <v>14</v>
      </c>
      <c r="F22">
        <f>1-F21</f>
        <v>0.99908900002424494</v>
      </c>
    </row>
    <row r="23" spans="4:14" x14ac:dyDescent="0.4">
      <c r="F23" t="s">
        <v>15</v>
      </c>
    </row>
    <row r="24" spans="4:14" x14ac:dyDescent="0.4">
      <c r="F2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7AEB-19AF-4699-98D5-8FAAB2C75A0E}">
  <dimension ref="A1:M121"/>
  <sheetViews>
    <sheetView tabSelected="1" topLeftCell="A85" zoomScale="80" zoomScaleNormal="80" workbookViewId="0">
      <selection activeCell="P108" sqref="P108"/>
    </sheetView>
  </sheetViews>
  <sheetFormatPr defaultRowHeight="17.399999999999999" x14ac:dyDescent="0.4"/>
  <cols>
    <col min="1" max="1" width="16.5" customWidth="1"/>
    <col min="2" max="2" width="10.59765625" customWidth="1"/>
    <col min="4" max="4" width="7.3984375" customWidth="1"/>
    <col min="6" max="6" width="17.3984375" customWidth="1"/>
    <col min="7" max="7" width="17.296875" customWidth="1"/>
    <col min="10" max="10" width="11.09765625" bestFit="1" customWidth="1"/>
    <col min="11" max="11" width="47.09765625" customWidth="1"/>
  </cols>
  <sheetData>
    <row r="1" spans="1:13" x14ac:dyDescent="0.4">
      <c r="A1" t="s">
        <v>28</v>
      </c>
    </row>
    <row r="3" spans="1:13" x14ac:dyDescent="0.4">
      <c r="A3" t="s">
        <v>29</v>
      </c>
    </row>
    <row r="4" spans="1:13" x14ac:dyDescent="0.4">
      <c r="A4" t="s">
        <v>30</v>
      </c>
    </row>
    <row r="5" spans="1:13" x14ac:dyDescent="0.4">
      <c r="A5" t="s">
        <v>31</v>
      </c>
      <c r="B5">
        <v>1</v>
      </c>
      <c r="C5">
        <v>2</v>
      </c>
      <c r="F5">
        <v>3</v>
      </c>
      <c r="H5">
        <v>4</v>
      </c>
      <c r="I5">
        <v>5</v>
      </c>
      <c r="J5">
        <v>6</v>
      </c>
    </row>
    <row r="6" spans="1:13" x14ac:dyDescent="0.4">
      <c r="A6" t="s">
        <v>32</v>
      </c>
      <c r="B6">
        <v>6</v>
      </c>
      <c r="C6">
        <v>6</v>
      </c>
      <c r="F6">
        <v>6</v>
      </c>
      <c r="H6">
        <v>6</v>
      </c>
      <c r="I6">
        <v>6</v>
      </c>
      <c r="J6">
        <v>6</v>
      </c>
    </row>
    <row r="7" spans="1:13" x14ac:dyDescent="0.4">
      <c r="A7" t="s">
        <v>33</v>
      </c>
      <c r="B7">
        <v>5</v>
      </c>
      <c r="C7">
        <v>6</v>
      </c>
      <c r="F7">
        <v>7</v>
      </c>
      <c r="H7">
        <v>7</v>
      </c>
      <c r="I7">
        <v>6</v>
      </c>
      <c r="J7">
        <v>5</v>
      </c>
    </row>
    <row r="8" spans="1:13" x14ac:dyDescent="0.4">
      <c r="B8">
        <f>(B7-B6)^2/B6</f>
        <v>0.16666666666666666</v>
      </c>
      <c r="C8">
        <f t="shared" ref="C8:J8" si="0">(C7-C6)^2/C6</f>
        <v>0</v>
      </c>
      <c r="F8">
        <f t="shared" si="0"/>
        <v>0.16666666666666666</v>
      </c>
      <c r="H8">
        <f t="shared" si="0"/>
        <v>0.16666666666666666</v>
      </c>
      <c r="I8">
        <f t="shared" si="0"/>
        <v>0</v>
      </c>
      <c r="J8">
        <f t="shared" si="0"/>
        <v>0.16666666666666666</v>
      </c>
      <c r="K8" s="1">
        <f>SUM(B8:J8)</f>
        <v>0.66666666666666663</v>
      </c>
      <c r="L8" s="1" t="s">
        <v>34</v>
      </c>
      <c r="M8" s="1"/>
    </row>
    <row r="9" spans="1:13" x14ac:dyDescent="0.4">
      <c r="J9" t="s">
        <v>35</v>
      </c>
      <c r="K9" t="s">
        <v>36</v>
      </c>
    </row>
    <row r="10" spans="1:13" x14ac:dyDescent="0.4">
      <c r="J10" t="s">
        <v>37</v>
      </c>
    </row>
    <row r="12" spans="1:13" x14ac:dyDescent="0.4">
      <c r="A12" t="s">
        <v>27</v>
      </c>
      <c r="K12">
        <f>_xlfn.CHISQ.DIST(K8,5,TRUE)</f>
        <v>1.5252120981490968E-2</v>
      </c>
      <c r="L12">
        <f>1-K12</f>
        <v>0.98474787901850902</v>
      </c>
      <c r="M12" t="s">
        <v>52</v>
      </c>
    </row>
    <row r="13" spans="1:13" x14ac:dyDescent="0.4">
      <c r="J13" t="s">
        <v>38</v>
      </c>
    </row>
    <row r="15" spans="1:13" x14ac:dyDescent="0.4">
      <c r="J15" t="s">
        <v>40</v>
      </c>
    </row>
    <row r="16" spans="1:13" x14ac:dyDescent="0.4">
      <c r="I16" t="s">
        <v>41</v>
      </c>
      <c r="J16" t="s">
        <v>39</v>
      </c>
    </row>
    <row r="18" spans="1:10" x14ac:dyDescent="0.4">
      <c r="I18" t="s">
        <v>42</v>
      </c>
      <c r="J18" t="s">
        <v>43</v>
      </c>
    </row>
    <row r="19" spans="1:10" x14ac:dyDescent="0.4">
      <c r="I19" t="s">
        <v>44</v>
      </c>
      <c r="J19" t="s">
        <v>45</v>
      </c>
    </row>
    <row r="21" spans="1:10" x14ac:dyDescent="0.4">
      <c r="I21" t="s">
        <v>46</v>
      </c>
    </row>
    <row r="22" spans="1:10" x14ac:dyDescent="0.4">
      <c r="I22" t="s">
        <v>47</v>
      </c>
    </row>
    <row r="24" spans="1:10" x14ac:dyDescent="0.4">
      <c r="I24" t="s">
        <v>48</v>
      </c>
    </row>
    <row r="25" spans="1:10" x14ac:dyDescent="0.4">
      <c r="I25" t="s">
        <v>49</v>
      </c>
    </row>
    <row r="26" spans="1:10" x14ac:dyDescent="0.4">
      <c r="I26" t="s">
        <v>50</v>
      </c>
    </row>
    <row r="27" spans="1:10" x14ac:dyDescent="0.4">
      <c r="I27" t="s">
        <v>51</v>
      </c>
    </row>
    <row r="29" spans="1:10" x14ac:dyDescent="0.4">
      <c r="I29" t="s">
        <v>53</v>
      </c>
    </row>
    <row r="30" spans="1:10" x14ac:dyDescent="0.4">
      <c r="I30" t="s">
        <v>54</v>
      </c>
    </row>
    <row r="32" spans="1:10" ht="18" thickBot="1" x14ac:dyDescent="0.45">
      <c r="A32" t="s">
        <v>57</v>
      </c>
    </row>
    <row r="33" spans="1:11" x14ac:dyDescent="0.4">
      <c r="A33" s="2" t="s">
        <v>55</v>
      </c>
      <c r="B33" s="3">
        <v>0</v>
      </c>
      <c r="C33" s="3">
        <v>1</v>
      </c>
      <c r="D33" s="3"/>
      <c r="E33" s="3"/>
      <c r="F33" s="3">
        <v>2</v>
      </c>
      <c r="G33" s="3"/>
      <c r="H33" s="3">
        <v>3</v>
      </c>
      <c r="I33" s="3" t="s">
        <v>56</v>
      </c>
      <c r="J33" s="4" t="s">
        <v>59</v>
      </c>
    </row>
    <row r="34" spans="1:11" ht="18" thickBot="1" x14ac:dyDescent="0.45">
      <c r="A34" s="5" t="s">
        <v>58</v>
      </c>
      <c r="B34" s="6">
        <v>109</v>
      </c>
      <c r="C34" s="6">
        <v>65</v>
      </c>
      <c r="D34" s="6"/>
      <c r="E34" s="6"/>
      <c r="F34" s="6">
        <v>22</v>
      </c>
      <c r="G34" s="6"/>
      <c r="H34" s="6">
        <v>3</v>
      </c>
      <c r="I34" s="6">
        <v>1</v>
      </c>
      <c r="J34" s="7">
        <f>SUM(B34:I34)</f>
        <v>200</v>
      </c>
    </row>
    <row r="35" spans="1:11" x14ac:dyDescent="0.4">
      <c r="A35" t="s">
        <v>61</v>
      </c>
      <c r="B35">
        <f>_xlfn.POISSON.DIST(B33,0.61,TRUE)</f>
        <v>0.54335086907449981</v>
      </c>
      <c r="C35">
        <f t="shared" ref="C35:H35" si="1">_xlfn.POISSON.DIST(C33,0.61,TRUE)</f>
        <v>0.87479489920994469</v>
      </c>
      <c r="F35">
        <f t="shared" si="1"/>
        <v>0.97588532840125541</v>
      </c>
      <c r="H35">
        <f t="shared" si="1"/>
        <v>0.99644038233682186</v>
      </c>
      <c r="I35">
        <v>1</v>
      </c>
    </row>
    <row r="36" spans="1:11" ht="18" thickBot="1" x14ac:dyDescent="0.45">
      <c r="A36" t="s">
        <v>60</v>
      </c>
      <c r="B36">
        <f>B35</f>
        <v>0.54335086907449981</v>
      </c>
      <c r="C36">
        <f>C35-B35</f>
        <v>0.33144403013544488</v>
      </c>
      <c r="F36">
        <f>F35-C35</f>
        <v>0.10109042919131073</v>
      </c>
      <c r="H36">
        <f>H35-F35</f>
        <v>2.0555053935566447E-2</v>
      </c>
      <c r="I36">
        <f>I35-H35</f>
        <v>3.5596176631781384E-3</v>
      </c>
    </row>
    <row r="37" spans="1:11" ht="18" thickBot="1" x14ac:dyDescent="0.45">
      <c r="A37" s="8" t="s">
        <v>62</v>
      </c>
      <c r="B37" s="9">
        <f>B36*$J$34</f>
        <v>108.67017381489997</v>
      </c>
      <c r="C37" s="9">
        <f>C36*$J$34</f>
        <v>66.288806027088981</v>
      </c>
      <c r="D37" s="9"/>
      <c r="E37" s="9"/>
      <c r="F37" s="9">
        <f>F36*$J$34</f>
        <v>20.218085838262144</v>
      </c>
      <c r="G37" s="9"/>
      <c r="H37" s="9">
        <f>H36*$J$34</f>
        <v>4.1110107871132895</v>
      </c>
      <c r="I37" s="9">
        <f>I36*$J$34</f>
        <v>0.71192353263562769</v>
      </c>
    </row>
    <row r="38" spans="1:11" x14ac:dyDescent="0.4">
      <c r="B38">
        <f>(B34-B37)^2/B37</f>
        <v>1.0010595231303915E-3</v>
      </c>
      <c r="C38">
        <f t="shared" ref="C38:I38" si="2">(C34-C37)^2/C37</f>
        <v>2.5057337354697645E-2</v>
      </c>
      <c r="F38">
        <f t="shared" si="2"/>
        <v>0.15704840236620796</v>
      </c>
      <c r="H38">
        <f t="shared" si="2"/>
        <v>0.30025340068466122</v>
      </c>
      <c r="I38">
        <f t="shared" si="2"/>
        <v>0.11656877072444058</v>
      </c>
      <c r="J38">
        <f>SUM(B38:I38)</f>
        <v>0.59992897065313777</v>
      </c>
      <c r="K38" t="s">
        <v>63</v>
      </c>
    </row>
    <row r="40" spans="1:11" x14ac:dyDescent="0.4">
      <c r="A40" t="s">
        <v>64</v>
      </c>
      <c r="B40">
        <f>SQRT(2+4*B34)</f>
        <v>20.928449536456348</v>
      </c>
      <c r="C40">
        <f t="shared" ref="C40:I40" si="3">SQRT(2+4*C34)</f>
        <v>16.186414056238647</v>
      </c>
      <c r="F40">
        <f t="shared" si="3"/>
        <v>9.4868329805051381</v>
      </c>
      <c r="H40">
        <f t="shared" si="3"/>
        <v>3.7416573867739413</v>
      </c>
      <c r="I40">
        <f t="shared" si="3"/>
        <v>2.4494897427831779</v>
      </c>
      <c r="J40">
        <f>SUM(B40:I40)</f>
        <v>52.792843702757253</v>
      </c>
    </row>
    <row r="41" spans="1:11" x14ac:dyDescent="0.4">
      <c r="A41" t="s">
        <v>65</v>
      </c>
      <c r="B41">
        <f>SQRT(1+4*B37)</f>
        <v>20.872965655593838</v>
      </c>
      <c r="C41">
        <f t="shared" ref="C41:I41" si="4">SQRT(1+4*C37)</f>
        <v>16.314264436632008</v>
      </c>
      <c r="F41">
        <f t="shared" si="4"/>
        <v>9.048333733514065</v>
      </c>
      <c r="H41">
        <f t="shared" si="4"/>
        <v>4.1766066547441545</v>
      </c>
      <c r="I41">
        <f t="shared" si="4"/>
        <v>1.9615540090811956</v>
      </c>
    </row>
    <row r="42" spans="1:11" x14ac:dyDescent="0.4">
      <c r="A42" t="s">
        <v>69</v>
      </c>
      <c r="B42">
        <f>B40-B41</f>
        <v>5.5483880862510659E-2</v>
      </c>
      <c r="C42">
        <f t="shared" ref="C42:I42" si="5">C40-C41</f>
        <v>-0.12785038039336172</v>
      </c>
      <c r="F42">
        <f t="shared" si="5"/>
        <v>0.43849924699107312</v>
      </c>
      <c r="H42">
        <f t="shared" si="5"/>
        <v>-0.43494926797021316</v>
      </c>
      <c r="I42">
        <f t="shared" si="5"/>
        <v>0.48793573370198229</v>
      </c>
      <c r="K42" t="s">
        <v>72</v>
      </c>
    </row>
    <row r="43" spans="1:11" x14ac:dyDescent="0.4">
      <c r="A43" t="s">
        <v>68</v>
      </c>
      <c r="K43" t="s">
        <v>73</v>
      </c>
    </row>
    <row r="48" spans="1:11" x14ac:dyDescent="0.4">
      <c r="A48" t="s">
        <v>67</v>
      </c>
    </row>
    <row r="49" spans="1:10" x14ac:dyDescent="0.4">
      <c r="A49" t="s">
        <v>70</v>
      </c>
    </row>
    <row r="50" spans="1:10" x14ac:dyDescent="0.4">
      <c r="A50" t="s">
        <v>71</v>
      </c>
    </row>
    <row r="55" spans="1:10" x14ac:dyDescent="0.4">
      <c r="A55" t="s">
        <v>74</v>
      </c>
    </row>
    <row r="57" spans="1:10" x14ac:dyDescent="0.4">
      <c r="A57" t="s">
        <v>75</v>
      </c>
      <c r="B57" t="s">
        <v>78</v>
      </c>
      <c r="E57" t="s">
        <v>32</v>
      </c>
      <c r="F57" t="s">
        <v>80</v>
      </c>
      <c r="G57" t="s">
        <v>65</v>
      </c>
      <c r="H57" t="s">
        <v>66</v>
      </c>
      <c r="J57" t="s">
        <v>28</v>
      </c>
    </row>
    <row r="58" spans="1:10" x14ac:dyDescent="0.4">
      <c r="A58">
        <v>0</v>
      </c>
      <c r="B58">
        <v>80</v>
      </c>
      <c r="C58">
        <f t="shared" ref="C58:C63" si="6">A58*B58</f>
        <v>0</v>
      </c>
      <c r="D58">
        <f>_xlfn.POISSON.DIST(A58,2.8,)</f>
        <v>6.0810062625217973E-2</v>
      </c>
      <c r="E58">
        <f>$B$66*D58</f>
        <v>100.03255301848357</v>
      </c>
      <c r="F58">
        <f>SQRT(2+4*B58)</f>
        <v>17.944358444926362</v>
      </c>
      <c r="G58">
        <f>SQRT(1+4*E58)</f>
        <v>20.028235370944049</v>
      </c>
      <c r="H58" s="1">
        <f>F58-G58</f>
        <v>-2.0838769260176875</v>
      </c>
      <c r="J58">
        <f>(B58-E58)^2/E58</f>
        <v>4.0117258665207123</v>
      </c>
    </row>
    <row r="59" spans="1:10" x14ac:dyDescent="0.4">
      <c r="A59">
        <v>1</v>
      </c>
      <c r="B59">
        <v>200</v>
      </c>
      <c r="C59">
        <f t="shared" si="6"/>
        <v>200</v>
      </c>
      <c r="D59">
        <f t="shared" ref="D59:D63" si="7">_xlfn.POISSON.DIST(A59,2.8,)</f>
        <v>0.17026817535061031</v>
      </c>
      <c r="E59">
        <f>$B$66*D59</f>
        <v>280.09114845175395</v>
      </c>
      <c r="F59">
        <f>SQRT(2+4*B59)</f>
        <v>28.319604517012593</v>
      </c>
      <c r="G59">
        <f t="shared" ref="G59:G64" si="8">SQRT(1+4*E59)</f>
        <v>33.486782374647696</v>
      </c>
      <c r="H59" s="1">
        <f t="shared" ref="H59:H64" si="9">F59-G59</f>
        <v>-5.1671778576351031</v>
      </c>
      <c r="J59">
        <f>(B59-E59)^2/E59</f>
        <v>22.901802130408313</v>
      </c>
    </row>
    <row r="60" spans="1:10" x14ac:dyDescent="0.4">
      <c r="A60">
        <v>2</v>
      </c>
      <c r="B60">
        <v>383</v>
      </c>
      <c r="C60">
        <f t="shared" si="6"/>
        <v>766</v>
      </c>
      <c r="D60">
        <f t="shared" si="7"/>
        <v>0.23837544549085449</v>
      </c>
      <c r="E60">
        <f>$B$66*D60</f>
        <v>392.12760783245562</v>
      </c>
      <c r="F60">
        <f>SQRT(2+4*B60)</f>
        <v>39.166312055132281</v>
      </c>
      <c r="G60">
        <f t="shared" si="8"/>
        <v>39.617047231334929</v>
      </c>
      <c r="H60">
        <f t="shared" si="9"/>
        <v>-0.4507351762026488</v>
      </c>
      <c r="J60">
        <f>(B60-E60)^2/E60</f>
        <v>0.21246457295784818</v>
      </c>
    </row>
    <row r="61" spans="1:10" x14ac:dyDescent="0.4">
      <c r="A61">
        <v>3</v>
      </c>
      <c r="B61">
        <v>525</v>
      </c>
      <c r="C61">
        <f t="shared" si="6"/>
        <v>1575</v>
      </c>
      <c r="D61">
        <f t="shared" si="7"/>
        <v>0.22248374912479749</v>
      </c>
      <c r="E61">
        <f>$B$66*D61</f>
        <v>365.98576731029186</v>
      </c>
      <c r="F61">
        <f>SQRT(2+4*B61)</f>
        <v>45.847573545390603</v>
      </c>
      <c r="G61">
        <f t="shared" si="8"/>
        <v>38.274574710127972</v>
      </c>
      <c r="H61" s="1">
        <f t="shared" si="9"/>
        <v>7.5729988352626307</v>
      </c>
      <c r="J61">
        <f>(B61-E61)^2/E61</f>
        <v>69.088823818820657</v>
      </c>
    </row>
    <row r="62" spans="1:10" x14ac:dyDescent="0.4">
      <c r="A62">
        <v>4</v>
      </c>
      <c r="B62">
        <v>273</v>
      </c>
      <c r="C62">
        <f t="shared" si="6"/>
        <v>1092</v>
      </c>
      <c r="D62">
        <f t="shared" si="7"/>
        <v>0.15573862438735825</v>
      </c>
      <c r="E62">
        <f>$B$66*D62</f>
        <v>256.19003711720433</v>
      </c>
      <c r="F62">
        <f>SQRT(2+4*B62)</f>
        <v>33.075670817082454</v>
      </c>
      <c r="G62">
        <f t="shared" si="8"/>
        <v>32.027490511571735</v>
      </c>
      <c r="H62">
        <f t="shared" si="9"/>
        <v>1.0481803055107193</v>
      </c>
      <c r="J62">
        <f>(B62-E62)^2/E62</f>
        <v>1.1029892313559919</v>
      </c>
    </row>
    <row r="63" spans="1:10" x14ac:dyDescent="0.4">
      <c r="A63">
        <v>5</v>
      </c>
      <c r="B63">
        <v>139</v>
      </c>
      <c r="C63">
        <f t="shared" si="6"/>
        <v>695</v>
      </c>
      <c r="D63">
        <f t="shared" si="7"/>
        <v>8.7213629656920602E-2</v>
      </c>
      <c r="E63">
        <f>$B$66*D63</f>
        <v>143.4664207856344</v>
      </c>
      <c r="F63">
        <f>SQRT(2+4*B63)</f>
        <v>23.622023622035432</v>
      </c>
      <c r="G63">
        <f t="shared" si="8"/>
        <v>23.976356752904259</v>
      </c>
      <c r="H63">
        <f t="shared" si="9"/>
        <v>-0.35433313086882734</v>
      </c>
      <c r="J63">
        <f>(B63-E63)^2/E63</f>
        <v>0.1390493644791933</v>
      </c>
    </row>
    <row r="64" spans="1:10" x14ac:dyDescent="0.4">
      <c r="A64" t="s">
        <v>76</v>
      </c>
      <c r="B64">
        <v>45</v>
      </c>
      <c r="C64">
        <f>6*B64</f>
        <v>270</v>
      </c>
      <c r="D64">
        <f>1-SUM(D58:D63)</f>
        <v>6.5110313364241001E-2</v>
      </c>
      <c r="E64">
        <f>$B$66*D64</f>
        <v>107.10646548417645</v>
      </c>
      <c r="F64">
        <f>SQRT(2+4*B64)</f>
        <v>13.490737563232042</v>
      </c>
      <c r="G64">
        <f t="shared" si="8"/>
        <v>20.722593031199203</v>
      </c>
      <c r="H64" s="1">
        <f t="shared" si="9"/>
        <v>-7.2318554679671614</v>
      </c>
      <c r="J64">
        <f>(B64-E64)^2/E64</f>
        <v>36.012887153923053</v>
      </c>
    </row>
    <row r="65" spans="1:12" x14ac:dyDescent="0.4">
      <c r="J65">
        <f>SUM(J58:J64)</f>
        <v>133.46974213846576</v>
      </c>
      <c r="K65">
        <f>1-_xlfn.CHISQ.DIST(J65,5,TRUE)</f>
        <v>0</v>
      </c>
    </row>
    <row r="66" spans="1:12" x14ac:dyDescent="0.4">
      <c r="B66">
        <f>SUM(B58:B64)</f>
        <v>1645</v>
      </c>
      <c r="C66">
        <f>SUM(C58:C64)</f>
        <v>4598</v>
      </c>
    </row>
    <row r="67" spans="1:12" x14ac:dyDescent="0.4">
      <c r="B67" s="10" t="s">
        <v>77</v>
      </c>
      <c r="C67" s="11">
        <v>2.8</v>
      </c>
      <c r="D67" s="11"/>
      <c r="E67" s="11"/>
    </row>
    <row r="68" spans="1:12" x14ac:dyDescent="0.4">
      <c r="B68" t="s">
        <v>79</v>
      </c>
      <c r="C68">
        <v>1645</v>
      </c>
    </row>
    <row r="72" spans="1:12" x14ac:dyDescent="0.4">
      <c r="A72" t="s">
        <v>74</v>
      </c>
    </row>
    <row r="74" spans="1:12" x14ac:dyDescent="0.4">
      <c r="A74" t="s">
        <v>75</v>
      </c>
      <c r="B74" t="s">
        <v>81</v>
      </c>
      <c r="D74" s="12"/>
      <c r="E74" s="12" t="s">
        <v>84</v>
      </c>
      <c r="F74" t="s">
        <v>64</v>
      </c>
      <c r="G74" t="s">
        <v>65</v>
      </c>
      <c r="H74" t="s">
        <v>66</v>
      </c>
      <c r="J74" t="s">
        <v>28</v>
      </c>
      <c r="L74" t="s">
        <v>85</v>
      </c>
    </row>
    <row r="75" spans="1:12" x14ac:dyDescent="0.4">
      <c r="A75">
        <v>0</v>
      </c>
      <c r="B75">
        <v>57</v>
      </c>
      <c r="C75">
        <f>A75*B75</f>
        <v>0</v>
      </c>
      <c r="D75">
        <f>_xlfn.POISSON.DIST(A75,$C$93,TRUE)</f>
        <v>2.0826083160879652E-2</v>
      </c>
      <c r="E75">
        <f>D75*$B$91</f>
        <v>54.314424883574134</v>
      </c>
      <c r="F75">
        <f>SQRT(2+4*B75)</f>
        <v>15.165750888103101</v>
      </c>
      <c r="G75">
        <f>SQRT(1+4*E75)</f>
        <v>14.773547290149937</v>
      </c>
      <c r="H75">
        <f>F75-G75</f>
        <v>0.39220359795316462</v>
      </c>
      <c r="J75">
        <f>((E75-B75)^2)/E75</f>
        <v>0.13278818143478063</v>
      </c>
      <c r="L75">
        <f>H75^2</f>
        <v>0.15382366224740759</v>
      </c>
    </row>
    <row r="76" spans="1:12" x14ac:dyDescent="0.4">
      <c r="A76">
        <v>1</v>
      </c>
      <c r="B76">
        <v>203</v>
      </c>
      <c r="C76">
        <f t="shared" ref="C76:C89" si="10">A76*B76</f>
        <v>203</v>
      </c>
      <c r="D76">
        <f t="shared" ref="D76:D88" si="11">_xlfn.POISSON.DIST(A76,$C$93,TRUE)</f>
        <v>0.10145528625727607</v>
      </c>
      <c r="E76">
        <f>(D76-D75)*$B$91</f>
        <v>210.28096167540184</v>
      </c>
      <c r="F76">
        <f>SQRT(2+4*B76)</f>
        <v>28.530685235374211</v>
      </c>
      <c r="G76">
        <f t="shared" ref="G76:G89" si="12">SQRT(1+4*E76)</f>
        <v>29.019370198224621</v>
      </c>
      <c r="H76">
        <f t="shared" ref="H76:H89" si="13">F76-G76</f>
        <v>-0.48868496285041019</v>
      </c>
      <c r="J76">
        <f>((E76-B76)^2)/E76</f>
        <v>0.25210272245426796</v>
      </c>
      <c r="L76">
        <f t="shared" ref="L76:L89" si="14">H76^2</f>
        <v>0.23881299291610678</v>
      </c>
    </row>
    <row r="77" spans="1:12" x14ac:dyDescent="0.4">
      <c r="A77">
        <v>2</v>
      </c>
      <c r="B77">
        <v>383</v>
      </c>
      <c r="C77">
        <f t="shared" si="10"/>
        <v>766</v>
      </c>
      <c r="D77">
        <f t="shared" si="11"/>
        <v>0.25753524478187623</v>
      </c>
      <c r="E77">
        <f t="shared" ref="E77:E88" si="15">(D77-D76)*$B$91</f>
        <v>407.05653183215719</v>
      </c>
      <c r="F77">
        <f>SQRT(2+4*B77)</f>
        <v>39.166312055132281</v>
      </c>
      <c r="G77">
        <f t="shared" si="12"/>
        <v>40.363673362673879</v>
      </c>
      <c r="H77">
        <f t="shared" si="13"/>
        <v>-1.1973613075415983</v>
      </c>
      <c r="J77">
        <f>((E77-B77)^2)/E77</f>
        <v>1.4217109382492754</v>
      </c>
      <c r="L77">
        <f t="shared" si="14"/>
        <v>1.4336741007977261</v>
      </c>
    </row>
    <row r="78" spans="1:12" x14ac:dyDescent="0.4">
      <c r="A78">
        <v>3</v>
      </c>
      <c r="B78">
        <v>525</v>
      </c>
      <c r="C78">
        <f t="shared" si="10"/>
        <v>1575</v>
      </c>
      <c r="D78">
        <f t="shared" si="11"/>
        <v>0.45895898471322694</v>
      </c>
      <c r="E78">
        <f t="shared" si="15"/>
        <v>525.31311374096265</v>
      </c>
      <c r="F78">
        <f>SQRT(2+4*B78)</f>
        <v>45.847573545390603</v>
      </c>
      <c r="G78">
        <f t="shared" si="12"/>
        <v>45.850326661473751</v>
      </c>
      <c r="H78">
        <f t="shared" si="13"/>
        <v>-2.7531160831486545E-3</v>
      </c>
      <c r="J78">
        <f>((E78-B78)^2)/E78</f>
        <v>1.8663195761750866E-4</v>
      </c>
      <c r="L78">
        <f t="shared" si="14"/>
        <v>7.5796481672917895E-6</v>
      </c>
    </row>
    <row r="79" spans="1:12" x14ac:dyDescent="0.4">
      <c r="A79">
        <v>4</v>
      </c>
      <c r="B79">
        <v>532</v>
      </c>
      <c r="C79">
        <f t="shared" si="10"/>
        <v>2128</v>
      </c>
      <c r="D79">
        <f t="shared" si="11"/>
        <v>0.65391445845621443</v>
      </c>
      <c r="E79">
        <f t="shared" si="15"/>
        <v>508.44387552171139</v>
      </c>
      <c r="F79">
        <f>SQRT(2+4*B79)</f>
        <v>46.151923036857305</v>
      </c>
      <c r="G79">
        <f t="shared" si="12"/>
        <v>45.108485921019842</v>
      </c>
      <c r="H79">
        <f t="shared" si="13"/>
        <v>1.0434371158374631</v>
      </c>
      <c r="J79">
        <f>((E79-B79)^2)/E79</f>
        <v>1.0913515279680717</v>
      </c>
      <c r="L79">
        <f t="shared" si="14"/>
        <v>1.0887610147072035</v>
      </c>
    </row>
    <row r="80" spans="1:12" x14ac:dyDescent="0.4">
      <c r="A80">
        <v>5</v>
      </c>
      <c r="B80">
        <v>408</v>
      </c>
      <c r="C80">
        <f t="shared" si="10"/>
        <v>2040</v>
      </c>
      <c r="D80">
        <f t="shared" si="11"/>
        <v>0.80487039544877192</v>
      </c>
      <c r="E80">
        <f t="shared" si="15"/>
        <v>393.69308367658994</v>
      </c>
      <c r="F80">
        <f>SQRT(2+4*B80)</f>
        <v>40.422765862815474</v>
      </c>
      <c r="G80">
        <f t="shared" si="12"/>
        <v>39.695998976047441</v>
      </c>
      <c r="H80">
        <f t="shared" si="13"/>
        <v>0.7267668867680328</v>
      </c>
      <c r="J80">
        <f>((E80-B80)^2)/E80</f>
        <v>0.51991732436225335</v>
      </c>
      <c r="L80">
        <f t="shared" si="14"/>
        <v>0.52819010770249863</v>
      </c>
    </row>
    <row r="81" spans="1:13" x14ac:dyDescent="0.4">
      <c r="A81">
        <v>6</v>
      </c>
      <c r="B81">
        <v>273</v>
      </c>
      <c r="C81">
        <f t="shared" si="10"/>
        <v>1638</v>
      </c>
      <c r="D81">
        <f t="shared" si="11"/>
        <v>0.90227594860661009</v>
      </c>
      <c r="E81">
        <f t="shared" si="15"/>
        <v>254.03368263564192</v>
      </c>
      <c r="F81">
        <f>SQRT(2+4*B81)</f>
        <v>33.075670817082454</v>
      </c>
      <c r="G81">
        <f t="shared" si="12"/>
        <v>31.892549765463528</v>
      </c>
      <c r="H81">
        <f t="shared" si="13"/>
        <v>1.1831210516189259</v>
      </c>
      <c r="J81">
        <f>((E81-B81)^2)/E81</f>
        <v>1.416037395645267</v>
      </c>
      <c r="L81">
        <f t="shared" si="14"/>
        <v>1.399775422783873</v>
      </c>
    </row>
    <row r="82" spans="1:13" x14ac:dyDescent="0.4">
      <c r="A82">
        <v>7</v>
      </c>
      <c r="B82">
        <v>139</v>
      </c>
      <c r="C82">
        <f t="shared" si="10"/>
        <v>973</v>
      </c>
      <c r="D82">
        <f t="shared" si="11"/>
        <v>0.95614885999106947</v>
      </c>
      <c r="E82">
        <f t="shared" si="15"/>
        <v>140.50055289067006</v>
      </c>
      <c r="F82">
        <f>SQRT(2+4*B82)</f>
        <v>23.622023622035432</v>
      </c>
      <c r="G82">
        <f t="shared" si="12"/>
        <v>23.727667638490729</v>
      </c>
      <c r="H82">
        <f t="shared" si="13"/>
        <v>-0.10564401645529742</v>
      </c>
      <c r="J82">
        <f>((E82-B82)^2)/E82</f>
        <v>1.6025979481023155E-2</v>
      </c>
      <c r="L82">
        <f t="shared" si="14"/>
        <v>1.1160658212807152E-2</v>
      </c>
    </row>
    <row r="83" spans="1:13" x14ac:dyDescent="0.4">
      <c r="A83">
        <v>8</v>
      </c>
      <c r="B83">
        <v>45</v>
      </c>
      <c r="C83">
        <f t="shared" si="10"/>
        <v>360</v>
      </c>
      <c r="D83">
        <f t="shared" si="11"/>
        <v>0.98222031255284514</v>
      </c>
      <c r="E83">
        <f t="shared" si="15"/>
        <v>67.994348281110959</v>
      </c>
      <c r="F83">
        <f>SQRT(2+4*B83)</f>
        <v>13.490737563232042</v>
      </c>
      <c r="G83">
        <f t="shared" si="12"/>
        <v>16.522027512519273</v>
      </c>
      <c r="H83">
        <f t="shared" si="13"/>
        <v>-3.0312899492872312</v>
      </c>
      <c r="J83">
        <f>((E83-B83)^2)/E83</f>
        <v>7.7762353230748769</v>
      </c>
      <c r="L83">
        <f t="shared" si="14"/>
        <v>9.1887187566497843</v>
      </c>
    </row>
    <row r="84" spans="1:13" x14ac:dyDescent="0.4">
      <c r="A84">
        <v>9</v>
      </c>
      <c r="B84">
        <v>27</v>
      </c>
      <c r="C84">
        <f t="shared" si="10"/>
        <v>243</v>
      </c>
      <c r="D84">
        <f t="shared" si="11"/>
        <v>0.9934355245721127</v>
      </c>
      <c r="E84">
        <f t="shared" si="15"/>
        <v>29.249272946249803</v>
      </c>
      <c r="F84">
        <f>SQRT(2+4*B84)</f>
        <v>10.488088481701515</v>
      </c>
      <c r="G84">
        <f t="shared" si="12"/>
        <v>10.862646628929767</v>
      </c>
      <c r="H84">
        <f t="shared" si="13"/>
        <v>-0.37455814722825131</v>
      </c>
      <c r="J84">
        <f>((E84-B84)^2)/E84</f>
        <v>0.17296938614605598</v>
      </c>
      <c r="L84">
        <f t="shared" si="14"/>
        <v>0.14029380565506039</v>
      </c>
    </row>
    <row r="85" spans="1:13" x14ac:dyDescent="0.4">
      <c r="A85">
        <v>10</v>
      </c>
      <c r="B85">
        <v>10</v>
      </c>
      <c r="C85">
        <f t="shared" si="10"/>
        <v>100</v>
      </c>
      <c r="D85">
        <f t="shared" si="11"/>
        <v>0.99777754894935755</v>
      </c>
      <c r="E85">
        <f t="shared" si="15"/>
        <v>11.323999575854559</v>
      </c>
      <c r="F85">
        <f>SQRT(2+4*B85)</f>
        <v>6.4807406984078604</v>
      </c>
      <c r="G85">
        <f t="shared" si="12"/>
        <v>6.8041162764475329</v>
      </c>
      <c r="H85">
        <f t="shared" si="13"/>
        <v>-0.32337557803967254</v>
      </c>
      <c r="J85">
        <f>((E85-B85)^2)/E85</f>
        <v>0.15480174342295183</v>
      </c>
      <c r="L85">
        <f t="shared" si="14"/>
        <v>0.10457176447249235</v>
      </c>
    </row>
    <row r="86" spans="1:13" x14ac:dyDescent="0.4">
      <c r="A86">
        <v>11</v>
      </c>
      <c r="B86">
        <v>4</v>
      </c>
      <c r="C86">
        <f t="shared" si="10"/>
        <v>44</v>
      </c>
      <c r="D86">
        <f t="shared" si="11"/>
        <v>0.99930576353862977</v>
      </c>
      <c r="E86">
        <f t="shared" si="15"/>
        <v>3.9855836488219349</v>
      </c>
      <c r="F86">
        <f>SQRT(2+4*B86)</f>
        <v>4.2426406871192848</v>
      </c>
      <c r="G86">
        <f t="shared" si="12"/>
        <v>4.1161067278786323</v>
      </c>
      <c r="H86">
        <f t="shared" si="13"/>
        <v>0.12653395924065247</v>
      </c>
      <c r="J86">
        <f>((E86-B86)^2)/E86</f>
        <v>5.2145733122607729E-5</v>
      </c>
      <c r="L86">
        <f t="shared" si="14"/>
        <v>1.6010842841115102E-2</v>
      </c>
    </row>
    <row r="87" spans="1:13" x14ac:dyDescent="0.4">
      <c r="A87">
        <v>12</v>
      </c>
      <c r="B87">
        <v>0</v>
      </c>
      <c r="C87">
        <f t="shared" si="10"/>
        <v>0</v>
      </c>
      <c r="D87">
        <f t="shared" si="11"/>
        <v>0.99979881002086013</v>
      </c>
      <c r="E87">
        <f t="shared" si="15"/>
        <v>1.2858652256567886</v>
      </c>
      <c r="F87">
        <f>SQRT(2+4*B87)</f>
        <v>1.4142135623730951</v>
      </c>
      <c r="G87" s="1">
        <f>1-SQRT(1+4*E87)</f>
        <v>-1.4786005936066333</v>
      </c>
      <c r="H87">
        <f t="shared" si="13"/>
        <v>2.8928141559797282</v>
      </c>
      <c r="J87">
        <f>((E87-B87)^2)/E87</f>
        <v>1.2858652256567886</v>
      </c>
      <c r="L87">
        <f t="shared" si="14"/>
        <v>8.3683737410367076</v>
      </c>
    </row>
    <row r="88" spans="1:13" x14ac:dyDescent="0.4">
      <c r="A88">
        <v>13</v>
      </c>
      <c r="B88">
        <v>1</v>
      </c>
      <c r="C88">
        <f t="shared" si="10"/>
        <v>13</v>
      </c>
      <c r="D88">
        <f t="shared" si="11"/>
        <v>0.99994564491736437</v>
      </c>
      <c r="E88">
        <f t="shared" si="15"/>
        <v>0.38294541008306915</v>
      </c>
      <c r="F88">
        <f>SQRT(2+4*B88)</f>
        <v>2.4494897427831779</v>
      </c>
      <c r="G88">
        <f t="shared" si="12"/>
        <v>1.5911573273351307</v>
      </c>
      <c r="H88">
        <f t="shared" si="13"/>
        <v>0.85833241544804717</v>
      </c>
      <c r="J88">
        <f>((E88-B88)^2)/E88</f>
        <v>0.99428366788612876</v>
      </c>
      <c r="L88">
        <f t="shared" si="14"/>
        <v>0.73673453540887901</v>
      </c>
    </row>
    <row r="89" spans="1:13" x14ac:dyDescent="0.4">
      <c r="A89">
        <v>14</v>
      </c>
      <c r="B89">
        <v>1</v>
      </c>
      <c r="C89">
        <f t="shared" si="10"/>
        <v>14</v>
      </c>
      <c r="D89">
        <v>1</v>
      </c>
      <c r="E89">
        <f>(D89-D88)*$B$91</f>
        <v>0.1417580555137139</v>
      </c>
      <c r="F89">
        <f>SQRT(2+4*B89)</f>
        <v>2.4494897427831779</v>
      </c>
      <c r="G89">
        <f t="shared" si="12"/>
        <v>1.2518115760987576</v>
      </c>
      <c r="H89">
        <f t="shared" si="13"/>
        <v>1.1976781666844203</v>
      </c>
      <c r="J89">
        <f>((E89-B89)^2)/E89</f>
        <v>5.1960308894357228</v>
      </c>
      <c r="L89">
        <f t="shared" si="14"/>
        <v>1.4344329909525539</v>
      </c>
    </row>
    <row r="91" spans="1:13" x14ac:dyDescent="0.4">
      <c r="A91" t="s">
        <v>99</v>
      </c>
      <c r="B91">
        <f>SUM(B75:B89)</f>
        <v>2608</v>
      </c>
      <c r="C91">
        <f>SUM(C75:C89)</f>
        <v>10097</v>
      </c>
      <c r="D91">
        <f>SUM(D75:D89)</f>
        <v>11.128468865967093</v>
      </c>
      <c r="J91" s="1">
        <f>SUM(J75:J89)</f>
        <v>20.430359082908204</v>
      </c>
      <c r="K91">
        <f>1-J113</f>
        <v>8.49867027727641E-2</v>
      </c>
      <c r="L91" s="1">
        <f>SUM(L75:L89)</f>
        <v>24.843341976032384</v>
      </c>
      <c r="M91" t="s">
        <v>86</v>
      </c>
    </row>
    <row r="92" spans="1:13" x14ac:dyDescent="0.4">
      <c r="M92" t="s">
        <v>87</v>
      </c>
    </row>
    <row r="93" spans="1:13" x14ac:dyDescent="0.4">
      <c r="B93" s="10" t="s">
        <v>83</v>
      </c>
      <c r="C93">
        <f>C91/B91</f>
        <v>3.8715490797546011</v>
      </c>
    </row>
    <row r="94" spans="1:13" x14ac:dyDescent="0.4">
      <c r="B94" t="s">
        <v>82</v>
      </c>
      <c r="C94">
        <f>B91</f>
        <v>2608</v>
      </c>
      <c r="J94" s="1" t="s">
        <v>88</v>
      </c>
    </row>
    <row r="95" spans="1:13" x14ac:dyDescent="0.4">
      <c r="J95" t="s">
        <v>89</v>
      </c>
      <c r="L95" t="s">
        <v>90</v>
      </c>
    </row>
    <row r="96" spans="1:13" x14ac:dyDescent="0.4">
      <c r="J96" t="s">
        <v>91</v>
      </c>
    </row>
    <row r="97" spans="8:12" x14ac:dyDescent="0.4">
      <c r="J97" t="s">
        <v>93</v>
      </c>
    </row>
    <row r="98" spans="8:12" x14ac:dyDescent="0.4">
      <c r="J98" t="s">
        <v>92</v>
      </c>
      <c r="L98" t="s">
        <v>128</v>
      </c>
    </row>
    <row r="100" spans="8:12" x14ac:dyDescent="0.4">
      <c r="J100" t="s">
        <v>94</v>
      </c>
    </row>
    <row r="101" spans="8:12" x14ac:dyDescent="0.4">
      <c r="J101" t="s">
        <v>95</v>
      </c>
    </row>
    <row r="102" spans="8:12" x14ac:dyDescent="0.4">
      <c r="J102" t="s">
        <v>96</v>
      </c>
    </row>
    <row r="103" spans="8:12" x14ac:dyDescent="0.4">
      <c r="J103" t="s">
        <v>97</v>
      </c>
    </row>
    <row r="105" spans="8:12" x14ac:dyDescent="0.4">
      <c r="J105" t="s">
        <v>98</v>
      </c>
    </row>
    <row r="106" spans="8:12" x14ac:dyDescent="0.4">
      <c r="J106" t="s">
        <v>100</v>
      </c>
    </row>
    <row r="107" spans="8:12" x14ac:dyDescent="0.4">
      <c r="J107" t="s">
        <v>101</v>
      </c>
    </row>
    <row r="109" spans="8:12" x14ac:dyDescent="0.4">
      <c r="J109" s="10" t="s">
        <v>102</v>
      </c>
    </row>
    <row r="110" spans="8:12" x14ac:dyDescent="0.4">
      <c r="H110" t="s">
        <v>105</v>
      </c>
      <c r="I110" s="12" t="s">
        <v>104</v>
      </c>
      <c r="J110" s="13">
        <f>15-1-1</f>
        <v>13</v>
      </c>
      <c r="K110" t="s">
        <v>103</v>
      </c>
    </row>
    <row r="111" spans="8:12" x14ac:dyDescent="0.4">
      <c r="H111" t="s">
        <v>106</v>
      </c>
      <c r="I111" s="12" t="s">
        <v>107</v>
      </c>
    </row>
    <row r="113" spans="8:10" x14ac:dyDescent="0.4">
      <c r="J113">
        <f>_xlfn.CHISQ.DIST(J91,J110,TRUE)</f>
        <v>0.9150132972272359</v>
      </c>
    </row>
    <row r="114" spans="8:10" x14ac:dyDescent="0.4">
      <c r="H114" t="s">
        <v>108</v>
      </c>
      <c r="I114" t="s">
        <v>109</v>
      </c>
    </row>
    <row r="115" spans="8:10" x14ac:dyDescent="0.4">
      <c r="H115" t="s">
        <v>110</v>
      </c>
      <c r="I115" t="s">
        <v>111</v>
      </c>
    </row>
    <row r="116" spans="8:10" x14ac:dyDescent="0.4">
      <c r="H116" t="s">
        <v>112</v>
      </c>
    </row>
    <row r="118" spans="8:10" x14ac:dyDescent="0.4">
      <c r="H118" t="s">
        <v>113</v>
      </c>
    </row>
    <row r="119" spans="8:10" x14ac:dyDescent="0.4">
      <c r="H119" t="s">
        <v>114</v>
      </c>
    </row>
    <row r="120" spans="8:10" x14ac:dyDescent="0.4">
      <c r="H120" t="s">
        <v>115</v>
      </c>
    </row>
    <row r="121" spans="8:10" x14ac:dyDescent="0.4">
      <c r="H121" t="s">
        <v>116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ED0-CA90-49C8-B1F1-C9BC060AAFE1}">
  <dimension ref="B1:H22"/>
  <sheetViews>
    <sheetView zoomScale="90" zoomScaleNormal="90" workbookViewId="0">
      <selection activeCell="J13" sqref="J13"/>
    </sheetView>
  </sheetViews>
  <sheetFormatPr defaultRowHeight="17.399999999999999" x14ac:dyDescent="0.4"/>
  <cols>
    <col min="4" max="5" width="17.3984375" customWidth="1"/>
    <col min="6" max="6" width="14.69921875" customWidth="1"/>
    <col min="7" max="7" width="17.796875" customWidth="1"/>
  </cols>
  <sheetData>
    <row r="1" spans="2:8" x14ac:dyDescent="0.4">
      <c r="C1" t="s">
        <v>119</v>
      </c>
      <c r="E1" t="s">
        <v>42</v>
      </c>
      <c r="F1" t="s">
        <v>117</v>
      </c>
    </row>
    <row r="2" spans="2:8" x14ac:dyDescent="0.4">
      <c r="E2" t="s">
        <v>44</v>
      </c>
      <c r="F2" t="s">
        <v>118</v>
      </c>
    </row>
    <row r="3" spans="2:8" x14ac:dyDescent="0.4">
      <c r="H3" t="s">
        <v>127</v>
      </c>
    </row>
    <row r="4" spans="2:8" ht="75" customHeight="1" x14ac:dyDescent="0.4">
      <c r="B4" s="14" t="s">
        <v>125</v>
      </c>
      <c r="C4" t="s">
        <v>78</v>
      </c>
      <c r="D4" s="1" t="s">
        <v>122</v>
      </c>
      <c r="E4" t="s">
        <v>123</v>
      </c>
      <c r="F4" s="1" t="s">
        <v>126</v>
      </c>
    </row>
    <row r="5" spans="2:8" x14ac:dyDescent="0.4">
      <c r="B5">
        <v>1</v>
      </c>
      <c r="C5">
        <v>-67</v>
      </c>
      <c r="D5" s="1">
        <f>(ROW()-4-3/8)/(15+1/4)</f>
        <v>4.0983606557377046E-2</v>
      </c>
      <c r="E5">
        <f>_xlfn.NORM.DIST(C5,$F$21,$F$22,TRUE)</f>
        <v>8.0953036328998263E-5</v>
      </c>
      <c r="F5" s="1">
        <f>_xlfn.NORM.INV(D5,$F$21,$F$22)</f>
        <v>-15.806712100196222</v>
      </c>
    </row>
    <row r="6" spans="2:8" x14ac:dyDescent="0.4">
      <c r="B6">
        <v>2</v>
      </c>
      <c r="C6">
        <v>-48</v>
      </c>
      <c r="D6" s="1">
        <f t="shared" ref="D6:D20" si="0">(ROW()-4-3/8)/(15+1/4)</f>
        <v>0.10655737704918032</v>
      </c>
      <c r="E6">
        <f>_xlfn.NORM.DIST(C6,$F$21,$F$22,TRUE)</f>
        <v>1.2737270287158189E-3</v>
      </c>
      <c r="F6" s="1">
        <f t="shared" ref="F6:F11" si="1">_xlfn.NORM.INV(D6,$F$21,$F$22)</f>
        <v>-3.3567200876430547</v>
      </c>
    </row>
    <row r="7" spans="2:8" x14ac:dyDescent="0.4">
      <c r="B7">
        <v>3</v>
      </c>
      <c r="C7">
        <v>6</v>
      </c>
      <c r="D7" s="1">
        <f t="shared" si="0"/>
        <v>0.1721311475409836</v>
      </c>
      <c r="E7">
        <f>_xlfn.NORM.DIST(C7,$F$21,$F$22,TRUE)</f>
        <v>0.1911872911035554</v>
      </c>
      <c r="F7" s="1">
        <f t="shared" si="1"/>
        <v>4.1804289404171371</v>
      </c>
    </row>
    <row r="8" spans="2:8" x14ac:dyDescent="0.4">
      <c r="B8">
        <v>4</v>
      </c>
      <c r="C8">
        <v>8</v>
      </c>
      <c r="D8" s="1">
        <f t="shared" si="0"/>
        <v>0.23770491803278687</v>
      </c>
      <c r="E8">
        <f>_xlfn.NORM.DIST(C8,$F$21,$F$22,TRUE)</f>
        <v>0.21356347254733171</v>
      </c>
      <c r="F8" s="1">
        <f t="shared" si="1"/>
        <v>10.025216451148978</v>
      </c>
    </row>
    <row r="9" spans="2:8" x14ac:dyDescent="0.4">
      <c r="B9">
        <v>5</v>
      </c>
      <c r="C9">
        <v>14</v>
      </c>
      <c r="D9" s="1">
        <f t="shared" si="0"/>
        <v>0.30327868852459017</v>
      </c>
      <c r="E9">
        <f>_xlfn.NORM.DIST(C9,$F$21,$F$22,TRUE)</f>
        <v>0.28914564138992449</v>
      </c>
      <c r="F9" s="1">
        <f t="shared" si="1"/>
        <v>15.029786662041937</v>
      </c>
    </row>
    <row r="10" spans="2:8" x14ac:dyDescent="0.4">
      <c r="B10">
        <v>6</v>
      </c>
      <c r="C10">
        <v>16</v>
      </c>
      <c r="D10" s="1">
        <f t="shared" si="0"/>
        <v>0.36885245901639346</v>
      </c>
      <c r="E10">
        <f>_xlfn.NORM.DIST(C10,$F$21,$F$22,TRUE)</f>
        <v>0.31686957810401628</v>
      </c>
      <c r="F10" s="1">
        <f t="shared" si="1"/>
        <v>19.565628242365236</v>
      </c>
    </row>
    <row r="11" spans="2:8" x14ac:dyDescent="0.4">
      <c r="B11">
        <v>7</v>
      </c>
      <c r="C11">
        <v>23</v>
      </c>
      <c r="D11" s="1">
        <f t="shared" si="0"/>
        <v>0.4344262295081967</v>
      </c>
      <c r="E11">
        <f>_xlfn.NORM.DIST(C11,$F$21,$F$22,TRUE)</f>
        <v>0.42131543771518293</v>
      </c>
      <c r="F11" s="1">
        <f t="shared" si="1"/>
        <v>23.841515901993684</v>
      </c>
    </row>
    <row r="12" spans="2:8" x14ac:dyDescent="0.4">
      <c r="B12">
        <v>8</v>
      </c>
      <c r="C12">
        <v>24</v>
      </c>
      <c r="D12" s="1">
        <f t="shared" si="0"/>
        <v>0.5</v>
      </c>
      <c r="E12">
        <f>_xlfn.NORM.DIST(C12,$F$21,$F$22,TRUE)</f>
        <v>0.43690395515914066</v>
      </c>
      <c r="F12" s="1">
        <f>_xlfn.NORM.INV(D12,$F$21,$F$22)</f>
        <v>28</v>
      </c>
    </row>
    <row r="13" spans="2:8" x14ac:dyDescent="0.4">
      <c r="B13">
        <v>9</v>
      </c>
      <c r="C13">
        <v>28</v>
      </c>
      <c r="D13" s="1">
        <f t="shared" si="0"/>
        <v>0.56557377049180324</v>
      </c>
      <c r="E13">
        <f>_xlfn.NORM.DIST(C13,$F$21,$F$22,TRUE)</f>
        <v>0.5</v>
      </c>
      <c r="F13" s="1">
        <f>_xlfn.NORM.INV(D13,$F$21,$F$22)</f>
        <v>32.158484098006312</v>
      </c>
    </row>
    <row r="14" spans="2:8" x14ac:dyDescent="0.4">
      <c r="B14">
        <v>10</v>
      </c>
      <c r="C14">
        <v>29</v>
      </c>
      <c r="D14" s="1">
        <f t="shared" si="0"/>
        <v>0.63114754098360659</v>
      </c>
      <c r="E14">
        <f>_xlfn.NORM.DIST(C14,$F$21,$F$22,TRUE)</f>
        <v>0.51583619403126924</v>
      </c>
      <c r="F14" s="1">
        <f t="shared" ref="F14:F19" si="2">_xlfn.NORM.INV(D14,$F$21,$F$22)</f>
        <v>36.434371757634771</v>
      </c>
    </row>
    <row r="15" spans="2:8" x14ac:dyDescent="0.4">
      <c r="B15">
        <v>11</v>
      </c>
      <c r="C15">
        <v>41</v>
      </c>
      <c r="D15" s="1">
        <f t="shared" si="0"/>
        <v>0.69672131147540983</v>
      </c>
      <c r="E15">
        <f>_xlfn.NORM.DIST(C15,$F$21,$F$22,TRUE)</f>
        <v>0.69713441882057225</v>
      </c>
      <c r="F15" s="1">
        <f t="shared" si="2"/>
        <v>40.970213337958064</v>
      </c>
    </row>
    <row r="16" spans="2:8" x14ac:dyDescent="0.4">
      <c r="B16">
        <v>12</v>
      </c>
      <c r="C16">
        <v>49</v>
      </c>
      <c r="D16" s="1">
        <f t="shared" si="0"/>
        <v>0.76229508196721307</v>
      </c>
      <c r="E16">
        <f>_xlfn.NORM.DIST(C16,$F$21,$F$22,TRUE)</f>
        <v>0.79780978290494686</v>
      </c>
      <c r="F16" s="1">
        <f t="shared" si="2"/>
        <v>45.974783548851001</v>
      </c>
    </row>
    <row r="17" spans="2:6" x14ac:dyDescent="0.4">
      <c r="B17">
        <v>13</v>
      </c>
      <c r="C17">
        <v>56</v>
      </c>
      <c r="D17" s="1">
        <f t="shared" si="0"/>
        <v>0.82786885245901642</v>
      </c>
      <c r="E17">
        <f>_xlfn.NORM.DIST(C17,$F$21,$F$22,TRUE)</f>
        <v>0.86688033469648362</v>
      </c>
      <c r="F17" s="1">
        <f t="shared" si="2"/>
        <v>51.819571059582863</v>
      </c>
    </row>
    <row r="18" spans="2:6" x14ac:dyDescent="0.4">
      <c r="B18">
        <v>14</v>
      </c>
      <c r="C18">
        <v>60</v>
      </c>
      <c r="D18" s="1">
        <f t="shared" si="0"/>
        <v>0.89344262295081966</v>
      </c>
      <c r="E18">
        <f>_xlfn.NORM.DIST(C18,$F$21,$F$22,TRUE)</f>
        <v>0.89806241275950349</v>
      </c>
      <c r="F18" s="1">
        <f t="shared" si="2"/>
        <v>59.356720087643055</v>
      </c>
    </row>
    <row r="19" spans="2:6" x14ac:dyDescent="0.4">
      <c r="B19">
        <v>15</v>
      </c>
      <c r="C19">
        <v>75</v>
      </c>
      <c r="D19" s="1">
        <f t="shared" si="0"/>
        <v>0.95901639344262291</v>
      </c>
      <c r="E19">
        <f>_xlfn.NORM.DIST(C19,$F$21,$F$22,TRUE)</f>
        <v>0.96899166005387127</v>
      </c>
      <c r="F19" s="1">
        <f t="shared" si="2"/>
        <v>71.806712100196208</v>
      </c>
    </row>
    <row r="20" spans="2:6" x14ac:dyDescent="0.4">
      <c r="B20" t="s">
        <v>124</v>
      </c>
    </row>
    <row r="21" spans="2:6" x14ac:dyDescent="0.4">
      <c r="B21" s="10" t="s">
        <v>120</v>
      </c>
      <c r="D21">
        <f>_xlfn.QUARTILE.INC(C5:C19,1)</f>
        <v>11</v>
      </c>
      <c r="E21">
        <f>_xlfn.QUARTILE.INC(C5:C19,3)</f>
        <v>45</v>
      </c>
      <c r="F21" s="11">
        <f>(D21+E21)/2</f>
        <v>28</v>
      </c>
    </row>
    <row r="22" spans="2:6" x14ac:dyDescent="0.4">
      <c r="B22" s="11" t="s">
        <v>121</v>
      </c>
      <c r="F22" s="11">
        <f>(E21-D21)/1.35</f>
        <v>25.185185185185183</v>
      </c>
    </row>
  </sheetData>
  <sortState ref="B5:F22">
    <sortCondition ref="C5:C22"/>
  </sortState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기말고사범위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2018-10-15T01:05:44Z</dcterms:created>
  <dcterms:modified xsi:type="dcterms:W3CDTF">2018-10-22T02:49:46Z</dcterms:modified>
</cp:coreProperties>
</file>