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25020863_students_lincoln_ac_uk/Documents/"/>
    </mc:Choice>
  </mc:AlternateContent>
  <xr:revisionPtr revIDLastSave="5" documentId="13_ncr:1_{F8C1F277-B60A-46C3-9A0B-296646216D8B}" xr6:coauthVersionLast="47" xr6:coauthVersionMax="47" xr10:uidLastSave="{85F45B9D-7A6A-E440-AA54-503898532D4B}"/>
  <bookViews>
    <workbookView xWindow="0" yWindow="500" windowWidth="29040" windowHeight="15840" xr2:uid="{462C5DAE-31E5-4035-BBEA-28054E0F5F89}"/>
  </bookViews>
  <sheets>
    <sheet name="Bacteria Enumerations" sheetId="4" r:id="rId1"/>
    <sheet name="Eurofins Experiment trial 1" sheetId="1" r:id="rId2"/>
    <sheet name="Nanodrop Results" sheetId="2" r:id="rId3"/>
  </sheets>
  <definedNames>
    <definedName name="Treatments_and_control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4" l="1"/>
  <c r="O19" i="4"/>
  <c r="O18" i="4"/>
  <c r="O17" i="4"/>
  <c r="O16" i="4"/>
  <c r="O15" i="4"/>
  <c r="O14" i="4"/>
  <c r="O12" i="4"/>
  <c r="O11" i="4"/>
  <c r="O10" i="4"/>
  <c r="L4" i="1"/>
  <c r="W3" i="1"/>
  <c r="V14" i="4"/>
  <c r="U14" i="4"/>
  <c r="T14" i="4"/>
  <c r="S14" i="4"/>
  <c r="N19" i="4"/>
  <c r="N18" i="4"/>
  <c r="N17" i="4"/>
  <c r="N16" i="4"/>
  <c r="N15" i="4"/>
  <c r="N14" i="4"/>
  <c r="N13" i="4"/>
  <c r="N12" i="4"/>
  <c r="N11" i="4"/>
  <c r="N10" i="4"/>
  <c r="N9" i="4"/>
  <c r="O9" i="4" s="1"/>
  <c r="N8" i="4"/>
  <c r="O8" i="4" s="1"/>
  <c r="N7" i="4"/>
  <c r="O7" i="4" s="1"/>
  <c r="N6" i="4"/>
  <c r="O6" i="4" s="1"/>
  <c r="N5" i="4"/>
  <c r="O5" i="4" s="1"/>
  <c r="K4" i="1"/>
  <c r="B24" i="4"/>
  <c r="B23" i="4"/>
  <c r="B22" i="4"/>
  <c r="K93" i="1"/>
  <c r="V3" i="1"/>
  <c r="U3" i="1"/>
  <c r="T3" i="1"/>
  <c r="S3" i="1"/>
  <c r="R3" i="1"/>
  <c r="Q3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76" i="1"/>
  <c r="G75" i="1"/>
  <c r="G7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24" i="1"/>
  <c r="G14" i="1"/>
  <c r="G15" i="1"/>
  <c r="G16" i="1"/>
  <c r="G17" i="1"/>
  <c r="G18" i="1"/>
  <c r="G19" i="1"/>
  <c r="G20" i="1"/>
  <c r="G21" i="1"/>
  <c r="G22" i="1"/>
  <c r="G23" i="1"/>
  <c r="G4" i="1"/>
  <c r="G5" i="1"/>
  <c r="G6" i="1"/>
  <c r="G7" i="1"/>
  <c r="G8" i="1"/>
  <c r="G9" i="1"/>
  <c r="G10" i="1"/>
  <c r="G11" i="1"/>
  <c r="G12" i="1"/>
  <c r="G13" i="1"/>
  <c r="R15" i="1" a="1"/>
  <c r="R15" i="1" s="1"/>
  <c r="U16" i="1" s="1" a="1"/>
  <c r="U16" i="1" s="1"/>
  <c r="S15" i="1" a="1"/>
  <c r="S15" i="1" s="1"/>
  <c r="V16" i="1" s="1" a="1"/>
  <c r="V16" i="1" s="1"/>
  <c r="R16" i="1" a="1"/>
  <c r="R16" i="1" s="1"/>
  <c r="S16" i="1" a="1"/>
  <c r="S16" i="1" s="1"/>
  <c r="L22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K23" i="1"/>
  <c r="L23" i="1" s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M4" i="1" l="1"/>
  <c r="W4" i="1" s="1"/>
  <c r="M5" i="1"/>
  <c r="W5" i="1" s="1"/>
  <c r="M9" i="1"/>
  <c r="M11" i="1"/>
  <c r="W11" i="1" l="1"/>
  <c r="S11" i="1"/>
  <c r="U11" i="1"/>
  <c r="V11" i="1"/>
  <c r="Q11" i="1"/>
  <c r="R11" i="1"/>
  <c r="T11" i="1"/>
  <c r="P11" i="1"/>
  <c r="U9" i="1"/>
  <c r="S9" i="1"/>
  <c r="V9" i="1"/>
  <c r="T9" i="1"/>
  <c r="W9" i="1"/>
  <c r="P9" i="1"/>
  <c r="Q9" i="1"/>
  <c r="R9" i="1"/>
  <c r="Q5" i="1"/>
  <c r="R5" i="1"/>
  <c r="U5" i="1"/>
  <c r="P5" i="1"/>
  <c r="S5" i="1"/>
  <c r="T5" i="1"/>
  <c r="V5" i="1"/>
  <c r="P4" i="1"/>
  <c r="Q4" i="1"/>
  <c r="V4" i="1"/>
  <c r="R4" i="1"/>
  <c r="S4" i="1"/>
  <c r="T4" i="1"/>
  <c r="U4" i="1"/>
  <c r="X5" i="1"/>
  <c r="M44" i="1"/>
  <c r="M85" i="1"/>
  <c r="M40" i="1"/>
  <c r="M57" i="1"/>
  <c r="M52" i="1"/>
  <c r="M93" i="1"/>
  <c r="M48" i="1"/>
  <c r="M79" i="1"/>
  <c r="M6" i="1"/>
  <c r="M83" i="1"/>
  <c r="M37" i="1"/>
  <c r="M15" i="1"/>
  <c r="Q16" i="1" s="1" a="1"/>
  <c r="Q16" i="1" s="1"/>
  <c r="M89" i="1"/>
  <c r="M87" i="1"/>
  <c r="M27" i="1"/>
  <c r="M68" i="1"/>
  <c r="M39" i="1"/>
  <c r="M18" i="1"/>
  <c r="M16" i="1"/>
  <c r="M35" i="1"/>
  <c r="M76" i="1"/>
  <c r="M38" i="1"/>
  <c r="M17" i="1"/>
  <c r="M86" i="1"/>
  <c r="M32" i="1"/>
  <c r="M43" i="1"/>
  <c r="M20" i="1"/>
  <c r="M84" i="1"/>
  <c r="M61" i="1"/>
  <c r="M46" i="1"/>
  <c r="M71" i="1"/>
  <c r="M33" i="1"/>
  <c r="M50" i="1"/>
  <c r="M23" i="1"/>
  <c r="M56" i="1"/>
  <c r="M26" i="1"/>
  <c r="M59" i="1"/>
  <c r="M36" i="1"/>
  <c r="M13" i="1"/>
  <c r="M77" i="1"/>
  <c r="M70" i="1"/>
  <c r="M24" i="1"/>
  <c r="M49" i="1"/>
  <c r="M74" i="1"/>
  <c r="M47" i="1"/>
  <c r="M80" i="1"/>
  <c r="M66" i="1"/>
  <c r="M67" i="1"/>
  <c r="M21" i="1"/>
  <c r="M78" i="1"/>
  <c r="M82" i="1"/>
  <c r="M63" i="1"/>
  <c r="M90" i="1"/>
  <c r="M75" i="1"/>
  <c r="M29" i="1"/>
  <c r="M7" i="1"/>
  <c r="M81" i="1"/>
  <c r="M25" i="1"/>
  <c r="M19" i="1"/>
  <c r="M60" i="1"/>
  <c r="M14" i="1"/>
  <c r="T16" i="1" s="1" a="1"/>
  <c r="T16" i="1" s="1"/>
  <c r="M64" i="1"/>
  <c r="M30" i="1"/>
  <c r="M65" i="1"/>
  <c r="M91" i="1"/>
  <c r="M45" i="1"/>
  <c r="M22" i="1"/>
  <c r="M88" i="1"/>
  <c r="M62" i="1"/>
  <c r="M73" i="1"/>
  <c r="M12" i="1"/>
  <c r="M53" i="1"/>
  <c r="M55" i="1"/>
  <c r="M42" i="1"/>
  <c r="M10" i="1"/>
  <c r="M51" i="1"/>
  <c r="M28" i="1"/>
  <c r="M92" i="1"/>
  <c r="M69" i="1"/>
  <c r="M54" i="1"/>
  <c r="M8" i="1"/>
  <c r="M41" i="1"/>
  <c r="M58" i="1"/>
  <c r="M31" i="1"/>
  <c r="M72" i="1"/>
  <c r="M34" i="1"/>
  <c r="Q12" i="1" l="1"/>
  <c r="V12" i="1"/>
  <c r="P12" i="1"/>
  <c r="W12" i="1"/>
  <c r="R12" i="1"/>
  <c r="S12" i="1"/>
  <c r="T12" i="1"/>
  <c r="U12" i="1"/>
  <c r="Q13" i="1"/>
  <c r="R13" i="1"/>
  <c r="U13" i="1"/>
  <c r="W13" i="1"/>
  <c r="P13" i="1"/>
  <c r="T15" i="1" s="1" a="1"/>
  <c r="T15" i="1" s="1"/>
  <c r="W16" i="1" s="1" a="1"/>
  <c r="W16" i="1" s="1"/>
  <c r="S13" i="1"/>
  <c r="W15" i="1" s="1" a="1"/>
  <c r="W15" i="1" s="1"/>
  <c r="T13" i="1"/>
  <c r="V13" i="1"/>
  <c r="V10" i="1"/>
  <c r="W10" i="1"/>
  <c r="S10" i="1"/>
  <c r="T10" i="1"/>
  <c r="U10" i="1"/>
  <c r="Q10" i="1"/>
  <c r="R10" i="1"/>
  <c r="P10" i="1"/>
  <c r="R6" i="1"/>
  <c r="P6" i="1"/>
  <c r="S6" i="1"/>
  <c r="Q6" i="1"/>
  <c r="T6" i="1"/>
  <c r="U6" i="1"/>
  <c r="V6" i="1"/>
  <c r="W6" i="1"/>
  <c r="T8" i="1"/>
  <c r="U8" i="1"/>
  <c r="R8" i="1"/>
  <c r="S8" i="1"/>
  <c r="V8" i="1"/>
  <c r="P8" i="1"/>
  <c r="W8" i="1"/>
  <c r="Q8" i="1"/>
  <c r="S7" i="1"/>
  <c r="T7" i="1"/>
  <c r="P7" i="1"/>
  <c r="V7" i="1"/>
  <c r="W7" i="1"/>
  <c r="Q7" i="1"/>
  <c r="R7" i="1"/>
  <c r="U7" i="1"/>
  <c r="U15" i="1" a="1"/>
  <c r="U15" i="1" s="1"/>
  <c r="V15" i="1" a="1"/>
  <c r="V15" i="1" s="1"/>
  <c r="P5" i="4"/>
  <c r="U15" i="4" s="1"/>
  <c r="P6" i="4"/>
  <c r="S16" i="4" s="1"/>
  <c r="P18" i="4"/>
  <c r="P10" i="4"/>
  <c r="P17" i="4"/>
  <c r="P15" i="4"/>
  <c r="P14" i="4"/>
  <c r="P16" i="4"/>
  <c r="P13" i="4"/>
  <c r="P19" i="4"/>
  <c r="P11" i="4"/>
  <c r="P12" i="4"/>
  <c r="P9" i="4"/>
  <c r="R19" i="4" s="1"/>
  <c r="P8" i="4"/>
  <c r="S18" i="4" s="1"/>
  <c r="P7" i="4"/>
  <c r="U17" i="4" s="1"/>
  <c r="S17" i="4" l="1"/>
  <c r="U16" i="4"/>
  <c r="U19" i="4"/>
  <c r="R16" i="4"/>
  <c r="T16" i="4"/>
  <c r="S15" i="4"/>
  <c r="T18" i="4"/>
  <c r="V18" i="4"/>
  <c r="R18" i="4"/>
  <c r="U18" i="4"/>
  <c r="V19" i="4"/>
  <c r="S19" i="4"/>
  <c r="T17" i="4"/>
  <c r="T19" i="4"/>
  <c r="R17" i="4"/>
  <c r="T15" i="4"/>
  <c r="V17" i="4"/>
  <c r="V16" i="4"/>
  <c r="R15" i="4"/>
  <c r="V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<sst xmlns="http://schemas.openxmlformats.org/spreadsheetml/2006/main" count="1064" uniqueCount="266">
  <si>
    <t>B1</t>
  </si>
  <si>
    <t>B2</t>
  </si>
  <si>
    <t>B3</t>
  </si>
  <si>
    <t>B4</t>
  </si>
  <si>
    <t>B5</t>
  </si>
  <si>
    <t>B6</t>
  </si>
  <si>
    <t>B7</t>
  </si>
  <si>
    <t>C1(-/-)</t>
  </si>
  <si>
    <t>C2(-/-)</t>
  </si>
  <si>
    <t>C3(-/-)</t>
  </si>
  <si>
    <t>C4(-/-)</t>
  </si>
  <si>
    <t>C5(-/-)</t>
  </si>
  <si>
    <t>C6(-/-)</t>
  </si>
  <si>
    <t>C7(-/-)</t>
  </si>
  <si>
    <t>C8(-/-)</t>
  </si>
  <si>
    <t>C9(-/-)</t>
  </si>
  <si>
    <t>C10(-/-)</t>
  </si>
  <si>
    <t>C1(-/+)</t>
  </si>
  <si>
    <t>C2(-/+)</t>
  </si>
  <si>
    <t>C3(-/+)</t>
  </si>
  <si>
    <t>C4(-/+)</t>
  </si>
  <si>
    <t>C5</t>
  </si>
  <si>
    <t>C6</t>
  </si>
  <si>
    <t>C7</t>
  </si>
  <si>
    <t>C6(-/+)</t>
  </si>
  <si>
    <t>C5(-/+)</t>
  </si>
  <si>
    <t>C7(-/+)</t>
  </si>
  <si>
    <t>C8(-/+)</t>
  </si>
  <si>
    <t>C9(-/+)</t>
  </si>
  <si>
    <t>C10(-/+)</t>
  </si>
  <si>
    <t>B1(0.1+)</t>
  </si>
  <si>
    <t>B2(0.1+)</t>
  </si>
  <si>
    <t>B3(0.1+)</t>
  </si>
  <si>
    <t>B4(0.1+)</t>
  </si>
  <si>
    <t>B5(0.1+)</t>
  </si>
  <si>
    <t>B6(0.1+)</t>
  </si>
  <si>
    <t>B7(0.1+)</t>
  </si>
  <si>
    <t>B8(0.1+)</t>
  </si>
  <si>
    <t>B9(0.1+)</t>
  </si>
  <si>
    <t>B10(0.1+)</t>
  </si>
  <si>
    <t>B1(1+)</t>
  </si>
  <si>
    <t>B2(1+)</t>
  </si>
  <si>
    <t>B3(1+)</t>
  </si>
  <si>
    <t>B4(1+)</t>
  </si>
  <si>
    <t>B5(1+)</t>
  </si>
  <si>
    <t>B6(1+)</t>
  </si>
  <si>
    <t>B7(1+)</t>
  </si>
  <si>
    <t>B8(1+)</t>
  </si>
  <si>
    <t>B9(1+)</t>
  </si>
  <si>
    <t>B10(1+)</t>
  </si>
  <si>
    <t>Conc.</t>
  </si>
  <si>
    <t>B1(10+)</t>
  </si>
  <si>
    <t>B2(10+)</t>
  </si>
  <si>
    <t>B3(10+)</t>
  </si>
  <si>
    <t>B4(10+)</t>
  </si>
  <si>
    <t>B5(10+)</t>
  </si>
  <si>
    <t>B6(10+)</t>
  </si>
  <si>
    <t>B7(10+)</t>
  </si>
  <si>
    <t>B8(10+)</t>
  </si>
  <si>
    <t>B9(10+)</t>
  </si>
  <si>
    <t>B10(10+)</t>
  </si>
  <si>
    <t>B1(100+)</t>
  </si>
  <si>
    <t>B2(100+)</t>
  </si>
  <si>
    <t>B3(100+)</t>
  </si>
  <si>
    <t>B4(100+)</t>
  </si>
  <si>
    <t>B5(100+)</t>
  </si>
  <si>
    <t>B6(100+)</t>
  </si>
  <si>
    <t>B7(100+)</t>
  </si>
  <si>
    <t>B8(100+)</t>
  </si>
  <si>
    <t>B9(100+)</t>
  </si>
  <si>
    <t>B10(100+)</t>
  </si>
  <si>
    <t>B1(1000+)</t>
  </si>
  <si>
    <t>B2(1000+)</t>
  </si>
  <si>
    <t>B3(1000+)</t>
  </si>
  <si>
    <t>B4(1000+)</t>
  </si>
  <si>
    <t>B5(1000+)</t>
  </si>
  <si>
    <t>B6(1000+)</t>
  </si>
  <si>
    <t>B7(1000+)</t>
  </si>
  <si>
    <t>B8(1000+)</t>
  </si>
  <si>
    <t>B9(1000+)</t>
  </si>
  <si>
    <t>B10(1000+)</t>
  </si>
  <si>
    <t>L1</t>
  </si>
  <si>
    <t>L2</t>
  </si>
  <si>
    <t>L3</t>
  </si>
  <si>
    <t>L4</t>
  </si>
  <si>
    <t>L5</t>
  </si>
  <si>
    <t>L6</t>
  </si>
  <si>
    <t>C1</t>
  </si>
  <si>
    <t>C2</t>
  </si>
  <si>
    <t>C3</t>
  </si>
  <si>
    <t>C4</t>
  </si>
  <si>
    <t>S1</t>
  </si>
  <si>
    <t>S2</t>
  </si>
  <si>
    <t>S3</t>
  </si>
  <si>
    <t>S4</t>
  </si>
  <si>
    <t>S5</t>
  </si>
  <si>
    <t>S6</t>
  </si>
  <si>
    <t>C*1</t>
  </si>
  <si>
    <t>C*2</t>
  </si>
  <si>
    <t>Sample</t>
  </si>
  <si>
    <t>Red = Volumn lost</t>
  </si>
  <si>
    <t>260-230 = &lt;1.7</t>
  </si>
  <si>
    <t>260-280 = ~1.7-2</t>
  </si>
  <si>
    <t>Conc. = &gt;10ng/μl</t>
  </si>
  <si>
    <t>↓conc</t>
  </si>
  <si>
    <t>✓</t>
  </si>
  <si>
    <t>Not sufficient</t>
  </si>
  <si>
    <t>Low but sufficient</t>
  </si>
  <si>
    <t>↓260/280</t>
  </si>
  <si>
    <t>260/230</t>
  </si>
  <si>
    <t>260/280</t>
  </si>
  <si>
    <t>Food composition</t>
  </si>
  <si>
    <t>Spike-in</t>
  </si>
  <si>
    <t>Bacteria</t>
  </si>
  <si>
    <t>Nanogene label</t>
  </si>
  <si>
    <t>Control (-/-)</t>
  </si>
  <si>
    <t>0.1 CFU/ml</t>
  </si>
  <si>
    <t>10 CFU/ml</t>
  </si>
  <si>
    <t>100 CFU/ml</t>
  </si>
  <si>
    <t>1000 CFU/ml</t>
  </si>
  <si>
    <t>Salmonella Control</t>
  </si>
  <si>
    <t>Campylobacter Control</t>
  </si>
  <si>
    <t>Listeria Control</t>
  </si>
  <si>
    <t>Spike-in Control (-/+)</t>
  </si>
  <si>
    <t>Extraction Kit Control</t>
  </si>
  <si>
    <t>Treatments</t>
  </si>
  <si>
    <t>Helper 1</t>
  </si>
  <si>
    <t>Helper 2</t>
  </si>
  <si>
    <t>Helper 3</t>
  </si>
  <si>
    <t>Label</t>
  </si>
  <si>
    <t>1 CFU/ml</t>
  </si>
  <si>
    <t>Water only</t>
  </si>
  <si>
    <t>20μl</t>
  </si>
  <si>
    <t>100μl</t>
  </si>
  <si>
    <t>1000μl</t>
  </si>
  <si>
    <t>CFU/ml</t>
  </si>
  <si>
    <t>N/A</t>
  </si>
  <si>
    <t>Notes</t>
  </si>
  <si>
    <t>A1</t>
  </si>
  <si>
    <t>D1</t>
  </si>
  <si>
    <t>E1</t>
  </si>
  <si>
    <t>A2</t>
  </si>
  <si>
    <t>D2</t>
  </si>
  <si>
    <t>E2</t>
  </si>
  <si>
    <t>F1</t>
  </si>
  <si>
    <t>G1</t>
  </si>
  <si>
    <t>H1</t>
  </si>
  <si>
    <t>I1</t>
  </si>
  <si>
    <t>J1</t>
  </si>
  <si>
    <t>F2</t>
  </si>
  <si>
    <t>G2</t>
  </si>
  <si>
    <t>H2</t>
  </si>
  <si>
    <t>I2</t>
  </si>
  <si>
    <t>J2</t>
  </si>
  <si>
    <t>A3</t>
  </si>
  <si>
    <t>D3</t>
  </si>
  <si>
    <t>E3</t>
  </si>
  <si>
    <t>F3</t>
  </si>
  <si>
    <t>G3</t>
  </si>
  <si>
    <t>H3</t>
  </si>
  <si>
    <t>I3</t>
  </si>
  <si>
    <t>J3</t>
  </si>
  <si>
    <t>A4</t>
  </si>
  <si>
    <t>D4</t>
  </si>
  <si>
    <t>E4</t>
  </si>
  <si>
    <t>F4</t>
  </si>
  <si>
    <t>G4</t>
  </si>
  <si>
    <t>H4</t>
  </si>
  <si>
    <t>I4</t>
  </si>
  <si>
    <t>J4</t>
  </si>
  <si>
    <t>A5</t>
  </si>
  <si>
    <t>D5</t>
  </si>
  <si>
    <t>E5</t>
  </si>
  <si>
    <t>F5</t>
  </si>
  <si>
    <t>G5</t>
  </si>
  <si>
    <t>H5</t>
  </si>
  <si>
    <t>I5</t>
  </si>
  <si>
    <t>A6</t>
  </si>
  <si>
    <t>A7</t>
  </si>
  <si>
    <t>J5</t>
  </si>
  <si>
    <t>D6</t>
  </si>
  <si>
    <t>E6</t>
  </si>
  <si>
    <t>F6</t>
  </si>
  <si>
    <t>G6</t>
  </si>
  <si>
    <t>H6</t>
  </si>
  <si>
    <t>I6</t>
  </si>
  <si>
    <t>J6</t>
  </si>
  <si>
    <t>D7</t>
  </si>
  <si>
    <t>E7</t>
  </si>
  <si>
    <t>F7</t>
  </si>
  <si>
    <t>G7</t>
  </si>
  <si>
    <t>H7</t>
  </si>
  <si>
    <t>I7</t>
  </si>
  <si>
    <t>J7</t>
  </si>
  <si>
    <t>X1</t>
  </si>
  <si>
    <t>X2</t>
  </si>
  <si>
    <t>Z1</t>
  </si>
  <si>
    <t>Z2</t>
  </si>
  <si>
    <t>Z3</t>
  </si>
  <si>
    <t>Z4</t>
  </si>
  <si>
    <t>Z5</t>
  </si>
  <si>
    <t>Z6</t>
  </si>
  <si>
    <t>Bacteria Culture Volume</t>
  </si>
  <si>
    <t>DNA Extraction Type</t>
  </si>
  <si>
    <r>
      <t xml:space="preserve">Select treatment using drop down bar </t>
    </r>
    <r>
      <rPr>
        <sz val="11"/>
        <color theme="1"/>
        <rFont val="Aptos Narrow"/>
        <family val="2"/>
      </rPr>
      <t>→</t>
    </r>
  </si>
  <si>
    <t>Cod Loin - White Fish</t>
  </si>
  <si>
    <t>Listeria</t>
  </si>
  <si>
    <t>Campylobacter</t>
  </si>
  <si>
    <t>Salmonella</t>
  </si>
  <si>
    <t>~3</t>
  </si>
  <si>
    <t>Dilution 1:10</t>
  </si>
  <si>
    <t>//</t>
  </si>
  <si>
    <t>Dilution factor</t>
  </si>
  <si>
    <t>CFU/ML</t>
  </si>
  <si>
    <t>0.25ml</t>
  </si>
  <si>
    <t>CFU in sample</t>
  </si>
  <si>
    <t>~4</t>
  </si>
  <si>
    <t>~35</t>
  </si>
  <si>
    <t>~350</t>
  </si>
  <si>
    <t>~3500</t>
  </si>
  <si>
    <t>~35000</t>
  </si>
  <si>
    <t>~2</t>
  </si>
  <si>
    <t>~20</t>
  </si>
  <si>
    <t>~200</t>
  </si>
  <si>
    <t>~2000</t>
  </si>
  <si>
    <t>~20000</t>
  </si>
  <si>
    <t>1ml</t>
  </si>
  <si>
    <t xml:space="preserve">0.66ml </t>
  </si>
  <si>
    <t>~28</t>
  </si>
  <si>
    <t>~2800</t>
  </si>
  <si>
    <t>~28000</t>
  </si>
  <si>
    <t>~280</t>
  </si>
  <si>
    <t>Stock mixed cultures</t>
  </si>
  <si>
    <t>1 (1 CFU/ml)</t>
  </si>
  <si>
    <t>2 (10 CFU/ml)</t>
  </si>
  <si>
    <t>3 (100 CFU/ml)</t>
  </si>
  <si>
    <t>4 (1000 CFU/ml)</t>
  </si>
  <si>
    <t>5 (10,000 CFU/ml)</t>
  </si>
  <si>
    <t>CFU/ml of individual bacteria</t>
  </si>
  <si>
    <t>~93</t>
  </si>
  <si>
    <t>~9</t>
  </si>
  <si>
    <t>~1</t>
  </si>
  <si>
    <t>~922</t>
  </si>
  <si>
    <t>~9222</t>
  </si>
  <si>
    <t>Amount in treatments</t>
  </si>
  <si>
    <t>&lt;10</t>
  </si>
  <si>
    <t>&lt;100</t>
  </si>
  <si>
    <t>&lt;1000</t>
  </si>
  <si>
    <t>&lt;10,000</t>
  </si>
  <si>
    <t>&lt;1</t>
  </si>
  <si>
    <t>15-Mar</t>
  </si>
  <si>
    <t>16-Mar</t>
  </si>
  <si>
    <t>17-Mar</t>
  </si>
  <si>
    <t>18-Mar</t>
  </si>
  <si>
    <t>Amount in sample (made to 1ml)</t>
  </si>
  <si>
    <t xml:space="preserve">0.25ml </t>
  </si>
  <si>
    <t>Green = Plated count</t>
  </si>
  <si>
    <t>Confidence</t>
  </si>
  <si>
    <t>helper 1</t>
  </si>
  <si>
    <t>helper 2</t>
  </si>
  <si>
    <t>helper 3</t>
  </si>
  <si>
    <t>Low concentration</t>
  </si>
  <si>
    <t>Low 260/280</t>
  </si>
  <si>
    <t>Low concentration + Sample was dropped and ~170μl was lost. 170μl of elution buffer was added to increase volumne to ~200μl</t>
  </si>
  <si>
    <t>Select bacteria using drop down bar →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</si>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</sst>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0" xfId="0" applyBorder="1"/>
    <xf numFmtId="0" fontId="4" fillId="5" borderId="1" xfId="4"/>
    <xf numFmtId="0" fontId="6" fillId="0" borderId="10" xfId="5" applyBorder="1"/>
    <xf numFmtId="0" fontId="6" fillId="0" borderId="4" xfId="5" applyBorder="1"/>
    <xf numFmtId="0" fontId="6" fillId="0" borderId="5" xfId="5" applyBorder="1"/>
    <xf numFmtId="0" fontId="6" fillId="0" borderId="9" xfId="5" applyBorder="1"/>
    <xf numFmtId="0" fontId="6" fillId="0" borderId="2" xfId="5" applyBorder="1"/>
    <xf numFmtId="0" fontId="6" fillId="0" borderId="3" xfId="5" applyBorder="1"/>
    <xf numFmtId="2" fontId="0" fillId="0" borderId="10" xfId="0" applyNumberFormat="1" applyBorder="1"/>
    <xf numFmtId="164" fontId="0" fillId="0" borderId="10" xfId="0" applyNumberFormat="1" applyBorder="1"/>
    <xf numFmtId="164" fontId="1" fillId="2" borderId="10" xfId="1" applyNumberFormat="1" applyBorder="1"/>
    <xf numFmtId="164" fontId="1" fillId="2" borderId="4" xfId="1" applyNumberFormat="1" applyBorder="1"/>
    <xf numFmtId="164" fontId="2" fillId="3" borderId="10" xfId="2" applyNumberFormat="1" applyBorder="1"/>
    <xf numFmtId="164" fontId="2" fillId="3" borderId="5" xfId="2" applyNumberFormat="1" applyBorder="1"/>
    <xf numFmtId="2" fontId="1" fillId="2" borderId="10" xfId="1" applyNumberFormat="1" applyBorder="1"/>
    <xf numFmtId="2" fontId="1" fillId="2" borderId="4" xfId="1" applyNumberFormat="1" applyBorder="1"/>
    <xf numFmtId="2" fontId="2" fillId="3" borderId="10" xfId="2" applyNumberFormat="1" applyBorder="1"/>
    <xf numFmtId="2" fontId="2" fillId="3" borderId="5" xfId="2" applyNumberFormat="1" applyBorder="1"/>
    <xf numFmtId="2" fontId="1" fillId="2" borderId="5" xfId="1" applyNumberFormat="1" applyBorder="1"/>
    <xf numFmtId="164" fontId="1" fillId="2" borderId="5" xfId="1" applyNumberFormat="1" applyBorder="1"/>
    <xf numFmtId="2" fontId="3" fillId="4" borderId="10" xfId="3" applyNumberFormat="1" applyBorder="1"/>
    <xf numFmtId="164" fontId="3" fillId="4" borderId="10" xfId="3" applyNumberFormat="1" applyBorder="1"/>
    <xf numFmtId="0" fontId="10" fillId="0" borderId="9" xfId="5" applyFont="1" applyBorder="1"/>
    <xf numFmtId="0" fontId="5" fillId="0" borderId="10" xfId="0" applyFont="1" applyBorder="1"/>
    <xf numFmtId="164" fontId="2" fillId="3" borderId="4" xfId="2" applyNumberFormat="1" applyBorder="1"/>
    <xf numFmtId="164" fontId="3" fillId="4" borderId="4" xfId="3" applyNumberFormat="1" applyBorder="1"/>
    <xf numFmtId="164" fontId="3" fillId="4" borderId="5" xfId="3" applyNumberFormat="1" applyBorder="1"/>
    <xf numFmtId="0" fontId="1" fillId="2" borderId="10" xfId="1" applyBorder="1"/>
    <xf numFmtId="0" fontId="2" fillId="3" borderId="10" xfId="2" applyBorder="1"/>
    <xf numFmtId="164" fontId="1" fillId="2" borderId="9" xfId="1" applyNumberFormat="1" applyBorder="1"/>
    <xf numFmtId="164" fontId="1" fillId="2" borderId="3" xfId="1" applyNumberFormat="1" applyBorder="1"/>
    <xf numFmtId="164" fontId="2" fillId="3" borderId="9" xfId="2" applyNumberFormat="1" applyBorder="1"/>
    <xf numFmtId="164" fontId="0" fillId="0" borderId="9" xfId="0" applyNumberFormat="1" applyBorder="1"/>
    <xf numFmtId="0" fontId="4" fillId="5" borderId="13" xfId="4" applyBorder="1"/>
    <xf numFmtId="164" fontId="2" fillId="3" borderId="3" xfId="2" applyNumberFormat="1" applyBorder="1"/>
    <xf numFmtId="0" fontId="4" fillId="5" borderId="14" xfId="4" applyBorder="1"/>
    <xf numFmtId="0" fontId="4" fillId="5" borderId="10" xfId="4" applyBorder="1"/>
    <xf numFmtId="0" fontId="2" fillId="3" borderId="0" xfId="2"/>
    <xf numFmtId="0" fontId="3" fillId="4" borderId="0" xfId="3"/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2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11" xfId="0" applyBorder="1" applyProtection="1">
      <protection hidden="1"/>
    </xf>
    <xf numFmtId="0" fontId="8" fillId="6" borderId="10" xfId="0" applyFont="1" applyFill="1" applyBorder="1"/>
    <xf numFmtId="0" fontId="7" fillId="0" borderId="0" xfId="0" applyFont="1"/>
    <xf numFmtId="16" fontId="0" fillId="0" borderId="0" xfId="0" applyNumberFormat="1"/>
    <xf numFmtId="0" fontId="12" fillId="0" borderId="0" xfId="0" applyFont="1"/>
    <xf numFmtId="0" fontId="13" fillId="0" borderId="0" xfId="0" applyFont="1"/>
    <xf numFmtId="0" fontId="12" fillId="0" borderId="15" xfId="0" applyFont="1" applyBorder="1"/>
    <xf numFmtId="0" fontId="0" fillId="7" borderId="15" xfId="0" applyFill="1" applyBorder="1"/>
    <xf numFmtId="0" fontId="8" fillId="6" borderId="16" xfId="0" applyFont="1" applyFill="1" applyBorder="1"/>
    <xf numFmtId="0" fontId="0" fillId="7" borderId="10" xfId="0" applyFill="1" applyBorder="1"/>
    <xf numFmtId="0" fontId="0" fillId="7" borderId="9" xfId="0" applyFill="1" applyBorder="1"/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6" fillId="0" borderId="9" xfId="5" applyBorder="1" applyAlignment="1">
      <alignment vertical="top"/>
    </xf>
    <xf numFmtId="0" fontId="0" fillId="0" borderId="10" xfId="0" applyBorder="1" applyAlignment="1">
      <alignment vertical="top"/>
    </xf>
    <xf numFmtId="0" fontId="7" fillId="0" borderId="10" xfId="0" applyFont="1" applyBorder="1" applyAlignment="1">
      <alignment vertical="top"/>
    </xf>
    <xf numFmtId="0" fontId="10" fillId="0" borderId="9" xfId="5" applyFont="1" applyBorder="1" applyAlignment="1">
      <alignment vertical="top"/>
    </xf>
    <xf numFmtId="0" fontId="6" fillId="0" borderId="7" xfId="5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49" fontId="0" fillId="0" borderId="10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0" xfId="0" applyNumberFormat="1"/>
  </cellXfs>
  <cellStyles count="6">
    <cellStyle name="Bad" xfId="2" builtinId="27"/>
    <cellStyle name="Explanatory Text" xfId="5" builtinId="53"/>
    <cellStyle name="Good" xfId="1" builtinId="26"/>
    <cellStyle name="Neutral" xfId="3" builtinId="28"/>
    <cellStyle name="Normal" xfId="0" builtinId="0"/>
    <cellStyle name="Output" xfId="4" builtinId="21"/>
  </cellStyles>
  <dxfs count="19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/>
      </font>
      <numFmt numFmtId="0" formatCode="General"/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top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ptos Narrow"/>
        <family val="2"/>
        <scheme val="minor"/>
      </font>
    </dxf>
    <dxf>
      <numFmt numFmtId="21" formatCode="dd\-mmm"/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598714</xdr:colOff>
      <xdr:row>12</xdr:row>
      <xdr:rowOff>0</xdr:rowOff>
    </xdr:from>
    <xdr:to>
      <xdr:col>35</xdr:col>
      <xdr:colOff>10885</xdr:colOff>
      <xdr:row>25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2AE9AB-40F4-1AC9-7AC1-02CDD29D86A2}"/>
            </a:ext>
          </a:extLst>
        </xdr:cNvPr>
        <xdr:cNvSpPr txBox="1"/>
      </xdr:nvSpPr>
      <xdr:spPr>
        <a:xfrm>
          <a:off x="15544800" y="2220686"/>
          <a:ext cx="4789714" cy="2405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Notes:</a:t>
          </a:r>
        </a:p>
        <a:p>
          <a:pPr lvl="0"/>
          <a:r>
            <a:rPr lang="en-GB" sz="1100"/>
            <a:t>- Low 260/230 ration is likley due to left over guanidine</a:t>
          </a:r>
          <a:r>
            <a:rPr lang="en-GB" sz="1100" baseline="0"/>
            <a:t> hydrochloride from buffer Al and AW1 in the DNeasy kit. It absorbs strongly at 230. </a:t>
          </a:r>
        </a:p>
        <a:p>
          <a:pPr lvl="0"/>
          <a:r>
            <a:rPr lang="en-GB" sz="1100" baseline="0"/>
            <a:t>- This is also very common in food extracts due to carbohydrates.</a:t>
          </a:r>
        </a:p>
        <a:p>
          <a:pPr lvl="0"/>
          <a:r>
            <a:rPr lang="en-GB" sz="1100" baseline="0"/>
            <a:t>- In future - purhaps wash twice with the desalting buffer (AW2) or let sit on column for 4-5 minuets prior to centrifuging. </a:t>
          </a:r>
        </a:p>
        <a:p>
          <a:pPr lvl="0"/>
          <a:r>
            <a:rPr lang="en-GB" sz="1100" baseline="0"/>
            <a:t>- Could also do ethanol precipitation to help remove salts.</a:t>
          </a:r>
        </a:p>
        <a:p>
          <a:pPr lvl="0"/>
          <a:r>
            <a:rPr lang="en-GB" sz="1100" baseline="0"/>
            <a:t>- Buffer AE (elution buffer) also contains tris that afftects the concetration and absorbance values.</a:t>
          </a:r>
        </a:p>
        <a:p>
          <a:pPr lvl="0"/>
          <a:r>
            <a:rPr lang="en-GB" sz="1100" baseline="0"/>
            <a:t>- low 260/280 is due to incomplete removal or proteins or excess salts (as mentioned above) - could optermize protinase K treatment.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74901C-A8B0-4A1C-9FAE-07302476BFEF}" name="Table9" displayName="Table9" ref="B4:G19" totalsRowShown="0" headerRowDxfId="18">
  <autoFilter ref="B4:G19" xr:uid="{B374901C-A8B0-4A1C-9FAE-07302476BFE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14A1A8F-5075-4851-A488-F11CF8769FBC}" name="Bacteria"/>
    <tableColumn id="2" xr3:uid="{47480F5C-D6C9-43EF-BC17-29935534F001}" name="Dilution 1:10"/>
    <tableColumn id="3" xr3:uid="{E5EB66D5-23D2-46D6-A2D7-1C9BB77E238C}" name="15-Mar"/>
    <tableColumn id="4" xr3:uid="{4ADF30EF-7B84-4ED9-9695-8B9ABAFC7399}" name="16-Mar"/>
    <tableColumn id="5" xr3:uid="{07CDEB58-11C8-4E4C-9E8D-9BE45352FEC3}" name="17-Mar" dataDxfId="17"/>
    <tableColumn id="6" xr3:uid="{544177EA-E3A2-4091-A05D-C3B92159CEED}" name="18-Mar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B2F26F-C879-4D5D-8E29-2E8E386D24E5}" name="Table10" displayName="Table10" ref="I4:P19" totalsRowShown="0">
  <autoFilter ref="I4:P19" xr:uid="{A5B2F26F-C879-4D5D-8E29-2E8E386D24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3A38DD9-0221-475C-8A9D-690060E2F7DD}" name="Salmonella"/>
    <tableColumn id="2" xr3:uid="{8CD24B8B-770D-4A04-A704-CC022A7B454B}" name="Dilution factor"/>
    <tableColumn id="3" xr3:uid="{B8F71565-2F3F-4A55-9053-2B27A37E74C1}" name="CFU/ML"/>
    <tableColumn id="4" xr3:uid="{6E0574C1-3DAD-41CF-8E3D-4E5BABB82EC8}" name="Amount in sample (made to 1ml)"/>
    <tableColumn id="5" xr3:uid="{6F138715-8016-4968-BBEC-8A160D5570E2}" name="CFU in sample"/>
    <tableColumn id="6" xr3:uid="{D72BE70B-CBAE-44D3-8A61-73710E176811}" name="helper 1">
      <calculatedColumnFormula>ROWS($I$5:I5)</calculatedColumnFormula>
    </tableColumn>
    <tableColumn id="7" xr3:uid="{B47C8BC1-1C1C-4079-B014-C9B4FA78957A}" name="helper 2" dataDxfId="16">
      <calculatedColumnFormula>IF(I5=R14,N5, "")</calculatedColumnFormula>
    </tableColumn>
    <tableColumn id="8" xr3:uid="{A0502203-F3FF-4518-A695-1CC5EF1B66F0}" name="helper 3">
      <calculatedColumnFormula>IFERROR(SMALL(Table10[[#All],[helper 2]],N5),"")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A26DB6-BFF2-4AB7-8D48-DC84BF9C2BC1}" name="Table11" displayName="Table11" ref="B21:B24" totalsRowShown="0">
  <autoFilter ref="B21:B24" xr:uid="{35A26DB6-BFF2-4AB7-8D48-DC84BF9C2BC1}">
    <filterColumn colId="0" hiddenButton="1"/>
  </autoFilter>
  <tableColumns count="1">
    <tableColumn id="1" xr3:uid="{0B75354B-8863-4F9E-91F0-538E8AEF607A}" name="Bacteria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7BA67A-9E52-40F7-851A-7486417AD9CD}" name="Table5" displayName="Table5" ref="B3:M93" totalsRowShown="0" headerRowDxfId="15" headerRowBorderDxfId="14" tableBorderDxfId="13" totalsRowBorderDxfId="12">
  <tableColumns count="12">
    <tableColumn id="1" xr3:uid="{10F5A1E1-8E85-4303-A02E-F85ACB9B10C0}" name="Control (-/-)" dataDxfId="11" dataCellStyle="Explanatory Text"/>
    <tableColumn id="2" xr3:uid="{ED7660BE-64F3-45EE-8EE2-CE6068FF3B04}" name="Food composition" dataDxfId="10"/>
    <tableColumn id="3" xr3:uid="{8D099013-4C88-432D-8163-78F480030358}" name="Spike-in" dataDxfId="9"/>
    <tableColumn id="4" xr3:uid="{FEDCD05F-DC67-498D-AE5A-A4DB3545BD1E}" name="Bacteria Culture Volume" dataDxfId="8"/>
    <tableColumn id="5" xr3:uid="{91CF0876-4CEE-41BB-9E3F-A3A829D32602}" name="CFU/ml" dataDxfId="7"/>
    <tableColumn id="6" xr3:uid="{29AE409B-4E89-4603-9EBF-105F2B5981F8}" name="DNA Extraction Type" dataDxfId="6">
      <calculatedColumnFormula>IF(OR(ISNUMBER(SEARCH("*1*", B4)), ISNUMBER(SEARCH("*2*",B4)), ISNUMBER(SEARCH("*3*",B4)), ISNUMBER(SEARCH("*4*",B4)), ISNUMBER(SEARCH("*5*",B4))), "Gram Negative", "Gram Positive")</calculatedColumnFormula>
    </tableColumn>
    <tableColumn id="7" xr3:uid="{573E16A2-6761-41A8-9D1D-5763C32D71FD}" name="Nanogene label" dataDxfId="5">
      <calculatedColumnFormula>IF(COUNTIF($B$7,"C*(-/-)"), CHAR(64 + ROW(A1)) &amp; "1", "")</calculatedColumnFormula>
    </tableColumn>
    <tableColumn id="13" xr3:uid="{55A85A81-07C0-46DF-8E3E-7A9E0344CF11}" name="Notes" dataDxfId="4"/>
    <tableColumn id="11" xr3:uid="{023F4911-9656-4A1F-B9DA-07BD6645C0A1}" name="Label" dataDxfId="3"/>
    <tableColumn id="8" xr3:uid="{3B461497-FEAA-40C2-9BDB-D20F59BFBD48}" name="Helper 1" dataDxfId="2">
      <calculatedColumnFormula>ROWS($B$4:B4)</calculatedColumnFormula>
    </tableColumn>
    <tableColumn id="9" xr3:uid="{BB3368A7-EADA-4868-8AF4-E82D73BB69FA}" name="Helper 2" dataDxfId="1">
      <calculatedColumnFormula>IF(J4=$P$3,K4,"")</calculatedColumnFormula>
    </tableColumn>
    <tableColumn id="10" xr3:uid="{D0F9CA8D-6582-4F5A-84B7-83A32205C1FA}" name="Helper 3" dataDxfId="0">
      <calculatedColumnFormula>IFERROR(SMALL(Table5[Helper 2],K4),"")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F61E82-D15B-4038-9DAE-5BB349CD1013}" name="Table7" displayName="Table7" ref="AA28:AA39" totalsRowShown="0">
  <autoFilter ref="AA28:AA39" xr:uid="{C1F61E82-D15B-4038-9DAE-5BB349CD1013}">
    <filterColumn colId="0" hiddenButton="1"/>
  </autoFilter>
  <tableColumns count="1">
    <tableColumn id="1" xr3:uid="{0E349B69-A2F7-44DC-9179-7B46F7E1A2A6}" name="Treatment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F6CA-88D1-4A7D-9E92-50078BCDBB29}">
  <dimension ref="B4:V26"/>
  <sheetViews>
    <sheetView tabSelected="1" workbookViewId="0">
      <selection activeCell="R14" sqref="R14"/>
    </sheetView>
  </sheetViews>
  <sheetFormatPr baseColWidth="10" defaultColWidth="8.83203125" defaultRowHeight="15" x14ac:dyDescent="0.2"/>
  <cols>
    <col min="2" max="2" width="17.83203125" bestFit="1" customWidth="1"/>
    <col min="3" max="3" width="13.6640625" bestFit="1" customWidth="1"/>
    <col min="4" max="4" width="9" bestFit="1" customWidth="1"/>
    <col min="9" max="9" width="13.33203125" hidden="1" customWidth="1"/>
    <col min="10" max="10" width="14.1640625" hidden="1" customWidth="1"/>
    <col min="11" max="11" width="12.1640625" hidden="1" customWidth="1"/>
    <col min="12" max="12" width="28.33203125" hidden="1" customWidth="1"/>
    <col min="13" max="13" width="14.33203125" hidden="1" customWidth="1"/>
    <col min="14" max="16" width="0" hidden="1" customWidth="1"/>
    <col min="17" max="17" width="32.5" bestFit="1" customWidth="1"/>
    <col min="18" max="18" width="17.6640625" bestFit="1" customWidth="1"/>
    <col min="19" max="19" width="24.1640625" bestFit="1" customWidth="1"/>
    <col min="20" max="20" width="18.33203125" bestFit="1" customWidth="1"/>
    <col min="21" max="21" width="26.83203125" bestFit="1" customWidth="1"/>
    <col min="22" max="22" width="12.5" bestFit="1" customWidth="1"/>
  </cols>
  <sheetData>
    <row r="4" spans="2:22" x14ac:dyDescent="0.2">
      <c r="B4" s="68" t="s">
        <v>113</v>
      </c>
      <c r="C4" t="s">
        <v>210</v>
      </c>
      <c r="D4" s="48" t="s">
        <v>250</v>
      </c>
      <c r="E4" s="48" t="s">
        <v>251</v>
      </c>
      <c r="F4" s="48" t="s">
        <v>252</v>
      </c>
      <c r="G4" s="48" t="s">
        <v>253</v>
      </c>
      <c r="I4" t="s">
        <v>208</v>
      </c>
      <c r="J4" t="s">
        <v>212</v>
      </c>
      <c r="K4" t="s">
        <v>213</v>
      </c>
      <c r="L4" t="s">
        <v>254</v>
      </c>
      <c r="M4" t="s">
        <v>215</v>
      </c>
      <c r="N4" t="s">
        <v>258</v>
      </c>
      <c r="O4" t="s">
        <v>259</v>
      </c>
      <c r="P4" t="s">
        <v>260</v>
      </c>
      <c r="R4" s="46" t="s">
        <v>232</v>
      </c>
      <c r="S4" s="46" t="s">
        <v>238</v>
      </c>
      <c r="T4" s="46" t="s">
        <v>244</v>
      </c>
      <c r="U4" s="46" t="s">
        <v>257</v>
      </c>
    </row>
    <row r="5" spans="2:22" x14ac:dyDescent="0.2">
      <c r="B5" t="s">
        <v>206</v>
      </c>
      <c r="C5">
        <v>-4</v>
      </c>
      <c r="D5">
        <v>126000</v>
      </c>
      <c r="E5">
        <v>1200000</v>
      </c>
      <c r="F5">
        <v>170000</v>
      </c>
      <c r="G5">
        <v>140000</v>
      </c>
      <c r="I5" t="s">
        <v>206</v>
      </c>
      <c r="J5">
        <v>-8</v>
      </c>
      <c r="K5" s="49">
        <v>14</v>
      </c>
      <c r="L5" t="s">
        <v>227</v>
      </c>
      <c r="M5" t="s">
        <v>216</v>
      </c>
      <c r="N5">
        <f>ROWS($I$5:I5)</f>
        <v>1</v>
      </c>
      <c r="O5">
        <f>IF(I5=R14,N5, "")</f>
        <v>1</v>
      </c>
      <c r="P5">
        <f>IFERROR(SMALL(Table10[[#All],[helper 2]],N5),"")</f>
        <v>1</v>
      </c>
      <c r="R5" t="s">
        <v>233</v>
      </c>
      <c r="S5" t="s">
        <v>241</v>
      </c>
      <c r="T5">
        <v>0.1</v>
      </c>
      <c r="U5" t="s">
        <v>249</v>
      </c>
    </row>
    <row r="6" spans="2:22" x14ac:dyDescent="0.2">
      <c r="B6" t="s">
        <v>206</v>
      </c>
      <c r="C6">
        <v>-5</v>
      </c>
      <c r="D6">
        <v>12600</v>
      </c>
      <c r="E6">
        <v>12000</v>
      </c>
      <c r="F6">
        <v>17000</v>
      </c>
      <c r="G6">
        <v>14000</v>
      </c>
      <c r="I6" t="s">
        <v>206</v>
      </c>
      <c r="J6">
        <v>-7</v>
      </c>
      <c r="K6">
        <v>140</v>
      </c>
      <c r="L6" t="s">
        <v>255</v>
      </c>
      <c r="M6" t="s">
        <v>217</v>
      </c>
      <c r="N6">
        <f>ROWS($I$5:I6)</f>
        <v>2</v>
      </c>
      <c r="O6">
        <f>IF(I6=R14,N6, "")</f>
        <v>2</v>
      </c>
      <c r="P6">
        <f>IFERROR(SMALL(Table10[[#All],[helper 2]],N6),"")</f>
        <v>2</v>
      </c>
      <c r="R6" t="s">
        <v>234</v>
      </c>
      <c r="S6" t="s">
        <v>240</v>
      </c>
      <c r="T6">
        <v>0.9</v>
      </c>
      <c r="U6" t="s">
        <v>245</v>
      </c>
    </row>
    <row r="7" spans="2:22" x14ac:dyDescent="0.2">
      <c r="B7" t="s">
        <v>206</v>
      </c>
      <c r="C7">
        <v>-6</v>
      </c>
      <c r="D7">
        <v>1260</v>
      </c>
      <c r="E7">
        <v>1200</v>
      </c>
      <c r="F7">
        <v>170</v>
      </c>
      <c r="G7">
        <v>1400</v>
      </c>
      <c r="I7" t="s">
        <v>206</v>
      </c>
      <c r="J7">
        <v>-6</v>
      </c>
      <c r="K7">
        <v>1400</v>
      </c>
      <c r="L7" t="s">
        <v>214</v>
      </c>
      <c r="M7" t="s">
        <v>218</v>
      </c>
      <c r="N7">
        <f>ROWS($I$5:I7)</f>
        <v>3</v>
      </c>
      <c r="O7">
        <f>IF(I7=R14,N7, "")</f>
        <v>3</v>
      </c>
      <c r="P7">
        <f>IFERROR(SMALL(Table10[[#All],[helper 2]],N7),"")</f>
        <v>3</v>
      </c>
      <c r="R7" t="s">
        <v>235</v>
      </c>
      <c r="S7" t="s">
        <v>239</v>
      </c>
      <c r="T7">
        <v>9.3000000000000007</v>
      </c>
      <c r="U7" t="s">
        <v>246</v>
      </c>
    </row>
    <row r="8" spans="2:22" x14ac:dyDescent="0.2">
      <c r="B8" t="s">
        <v>206</v>
      </c>
      <c r="C8">
        <v>-7</v>
      </c>
      <c r="D8" s="49">
        <v>126</v>
      </c>
      <c r="E8">
        <v>120</v>
      </c>
      <c r="F8" s="49">
        <v>17</v>
      </c>
      <c r="G8">
        <v>140</v>
      </c>
      <c r="I8" t="s">
        <v>206</v>
      </c>
      <c r="J8">
        <v>-5</v>
      </c>
      <c r="K8">
        <v>14000</v>
      </c>
      <c r="L8" t="s">
        <v>214</v>
      </c>
      <c r="M8" t="s">
        <v>219</v>
      </c>
      <c r="N8">
        <f>ROWS($I$5:I8)</f>
        <v>4</v>
      </c>
      <c r="O8">
        <f>IF(I8=R14,N8, "")</f>
        <v>4</v>
      </c>
      <c r="P8">
        <f>IFERROR(SMALL(Table10[[#All],[helper 2]],N8),"")</f>
        <v>4</v>
      </c>
      <c r="R8" t="s">
        <v>236</v>
      </c>
      <c r="S8" t="s">
        <v>242</v>
      </c>
      <c r="T8">
        <v>92.2</v>
      </c>
      <c r="U8" t="s">
        <v>247</v>
      </c>
    </row>
    <row r="9" spans="2:22" x14ac:dyDescent="0.2">
      <c r="B9" t="s">
        <v>206</v>
      </c>
      <c r="C9">
        <v>-8</v>
      </c>
      <c r="D9" s="49">
        <v>9</v>
      </c>
      <c r="E9" s="49">
        <v>12</v>
      </c>
      <c r="F9">
        <v>1.7</v>
      </c>
      <c r="G9" s="49">
        <v>14</v>
      </c>
      <c r="I9" t="s">
        <v>206</v>
      </c>
      <c r="J9">
        <v>-4</v>
      </c>
      <c r="K9">
        <v>140000</v>
      </c>
      <c r="L9" t="s">
        <v>214</v>
      </c>
      <c r="M9" t="s">
        <v>220</v>
      </c>
      <c r="N9">
        <f>ROWS($I$5:I9)</f>
        <v>5</v>
      </c>
      <c r="O9">
        <f>IF(I9=R14,N9, "")</f>
        <v>5</v>
      </c>
      <c r="P9">
        <f>IFERROR(SMALL(Table10[[#All],[helper 2]],N9),"")</f>
        <v>5</v>
      </c>
      <c r="R9" t="s">
        <v>237</v>
      </c>
      <c r="S9" t="s">
        <v>243</v>
      </c>
      <c r="T9">
        <v>922.2</v>
      </c>
      <c r="U9" t="s">
        <v>248</v>
      </c>
    </row>
    <row r="10" spans="2:22" x14ac:dyDescent="0.2">
      <c r="B10" t="s">
        <v>207</v>
      </c>
      <c r="C10">
        <v>-4</v>
      </c>
      <c r="D10" t="s">
        <v>136</v>
      </c>
      <c r="E10" t="s">
        <v>136</v>
      </c>
      <c r="F10">
        <v>28000</v>
      </c>
      <c r="G10" t="s">
        <v>211</v>
      </c>
      <c r="I10" t="s">
        <v>207</v>
      </c>
      <c r="J10">
        <v>-8</v>
      </c>
      <c r="K10" s="49">
        <v>3</v>
      </c>
      <c r="L10" t="s">
        <v>226</v>
      </c>
      <c r="M10" t="s">
        <v>209</v>
      </c>
      <c r="N10">
        <f>ROWS($I$5:I10)</f>
        <v>6</v>
      </c>
      <c r="O10" t="str">
        <f>IF(I10=R14,N10, "")</f>
        <v/>
      </c>
      <c r="P10" t="str">
        <f>IFERROR(SMALL(Table10[[#All],[helper 2]],N10),"")</f>
        <v/>
      </c>
    </row>
    <row r="11" spans="2:22" x14ac:dyDescent="0.2">
      <c r="B11" t="s">
        <v>207</v>
      </c>
      <c r="C11">
        <v>-5</v>
      </c>
      <c r="D11" t="s">
        <v>136</v>
      </c>
      <c r="E11" t="s">
        <v>136</v>
      </c>
      <c r="F11">
        <v>2800</v>
      </c>
      <c r="G11" t="s">
        <v>211</v>
      </c>
      <c r="I11" t="s">
        <v>207</v>
      </c>
      <c r="J11">
        <v>-7</v>
      </c>
      <c r="K11" s="49">
        <v>28</v>
      </c>
      <c r="L11" t="s">
        <v>226</v>
      </c>
      <c r="M11" t="s">
        <v>228</v>
      </c>
      <c r="N11">
        <f>ROWS($I$5:I11)</f>
        <v>7</v>
      </c>
      <c r="O11" t="str">
        <f>IF(I11=R14,N11, "")</f>
        <v/>
      </c>
      <c r="P11" t="str">
        <f>IFERROR(SMALL(Table10[[#All],[helper 2]],N11),"")</f>
        <v/>
      </c>
    </row>
    <row r="12" spans="2:22" x14ac:dyDescent="0.2">
      <c r="B12" t="s">
        <v>207</v>
      </c>
      <c r="C12">
        <v>-6</v>
      </c>
      <c r="D12" t="s">
        <v>136</v>
      </c>
      <c r="E12" t="s">
        <v>136</v>
      </c>
      <c r="F12" s="49">
        <v>280</v>
      </c>
      <c r="G12" t="s">
        <v>211</v>
      </c>
      <c r="I12" t="s">
        <v>207</v>
      </c>
      <c r="J12">
        <v>-6</v>
      </c>
      <c r="K12" s="49">
        <v>280</v>
      </c>
      <c r="L12" t="s">
        <v>226</v>
      </c>
      <c r="M12" t="s">
        <v>231</v>
      </c>
      <c r="N12">
        <f>ROWS($I$5:I12)</f>
        <v>8</v>
      </c>
      <c r="O12" t="str">
        <f>IF(I12=R14,N12, "")</f>
        <v/>
      </c>
      <c r="P12" t="str">
        <f>IFERROR(SMALL(Table10[[#All],[helper 2]],N12),"")</f>
        <v/>
      </c>
      <c r="R12" s="49"/>
    </row>
    <row r="13" spans="2:22" ht="16" thickBot="1" x14ac:dyDescent="0.25">
      <c r="B13" t="s">
        <v>207</v>
      </c>
      <c r="C13">
        <v>-7</v>
      </c>
      <c r="D13" t="s">
        <v>136</v>
      </c>
      <c r="E13" t="s">
        <v>136</v>
      </c>
      <c r="F13" s="49">
        <v>28</v>
      </c>
      <c r="G13" t="s">
        <v>211</v>
      </c>
      <c r="I13" t="s">
        <v>207</v>
      </c>
      <c r="J13">
        <v>-5</v>
      </c>
      <c r="K13">
        <v>2800</v>
      </c>
      <c r="L13" t="s">
        <v>226</v>
      </c>
      <c r="M13" t="s">
        <v>229</v>
      </c>
      <c r="N13">
        <f>ROWS($I$5:I13)</f>
        <v>9</v>
      </c>
      <c r="O13" t="str">
        <f>IF(I13=R14,N13, "")</f>
        <v/>
      </c>
      <c r="P13" t="str">
        <f>IFERROR(SMALL(Table10[[#All],[helper 2]],N13),"")</f>
        <v/>
      </c>
    </row>
    <row r="14" spans="2:22" ht="16" thickBot="1" x14ac:dyDescent="0.25">
      <c r="B14" t="s">
        <v>207</v>
      </c>
      <c r="C14">
        <v>-8</v>
      </c>
      <c r="D14" t="s">
        <v>136</v>
      </c>
      <c r="E14" t="s">
        <v>136</v>
      </c>
      <c r="F14" s="49">
        <v>3</v>
      </c>
      <c r="G14" t="s">
        <v>211</v>
      </c>
      <c r="I14" t="s">
        <v>207</v>
      </c>
      <c r="J14">
        <v>-4</v>
      </c>
      <c r="K14">
        <v>28000</v>
      </c>
      <c r="L14" t="s">
        <v>226</v>
      </c>
      <c r="M14" t="s">
        <v>230</v>
      </c>
      <c r="N14">
        <f>ROWS($I$5:I14)</f>
        <v>10</v>
      </c>
      <c r="O14" t="str">
        <f>IF(I14=R14,N14, "")</f>
        <v/>
      </c>
      <c r="P14" t="str">
        <f>IFERROR(SMALL(Table10[[#All],[helper 2]],N14),"")</f>
        <v/>
      </c>
      <c r="Q14" t="s">
        <v>264</v>
      </c>
      <c r="R14" s="52" t="s">
        <v>206</v>
      </c>
      <c r="S14" s="55" t="str">
        <f>Table10[[#Headers],[Dilution factor]]</f>
        <v>Dilution factor</v>
      </c>
      <c r="T14" s="54" t="str">
        <f>Table10[[#Headers],[CFU/ML]]</f>
        <v>CFU/ML</v>
      </c>
      <c r="U14" s="54" t="str">
        <f>Table10[[#Headers],[Amount in sample (made to 1ml)]]</f>
        <v>Amount in sample (made to 1ml)</v>
      </c>
      <c r="V14" s="54" t="str">
        <f>Table10[[#Headers],[CFU in sample]]</f>
        <v>CFU in sample</v>
      </c>
    </row>
    <row r="15" spans="2:22" x14ac:dyDescent="0.2">
      <c r="B15" t="s">
        <v>208</v>
      </c>
      <c r="C15">
        <v>-4</v>
      </c>
      <c r="D15">
        <v>99000</v>
      </c>
      <c r="E15">
        <v>92000</v>
      </c>
      <c r="F15" s="49">
        <v>90000</v>
      </c>
      <c r="G15">
        <v>80000</v>
      </c>
      <c r="I15" t="s">
        <v>208</v>
      </c>
      <c r="J15">
        <v>-8</v>
      </c>
      <c r="K15" s="49">
        <v>8</v>
      </c>
      <c r="L15" t="s">
        <v>214</v>
      </c>
      <c r="M15" t="s">
        <v>221</v>
      </c>
      <c r="N15">
        <f>ROWS($I$5:I15)</f>
        <v>11</v>
      </c>
      <c r="O15" t="str">
        <f>IF(I15=R14,N15, "")</f>
        <v/>
      </c>
      <c r="P15" t="str">
        <f>IFERROR(SMALL(Table10[[#All],[helper 2]],N15),"")</f>
        <v/>
      </c>
      <c r="R15" t="str">
        <f>IFERROR(INDEX($I$5:$M$19,$P5,COLUMNS($R$15:R15)),"")</f>
        <v>Listeria</v>
      </c>
      <c r="S15">
        <f>IFERROR(INDEX($I$5:$M$19,$P5,COLUMNS($R$15:S15)),"")</f>
        <v>-8</v>
      </c>
      <c r="T15">
        <f>IFERROR(INDEX($I$5:$M$19,$P5,COLUMNS($R$15:T15)),"")</f>
        <v>14</v>
      </c>
      <c r="U15" t="str">
        <f>IFERROR(INDEX($I$5:$M$19,$P5,COLUMNS($R$15:U15)),"")</f>
        <v xml:space="preserve">0.66ml </v>
      </c>
      <c r="V15" t="str">
        <f>IFERROR(INDEX($I$5:$M$19,$P5,COLUMNS($R$15:V15)),"")</f>
        <v>~4</v>
      </c>
    </row>
    <row r="16" spans="2:22" x14ac:dyDescent="0.2">
      <c r="B16" t="s">
        <v>208</v>
      </c>
      <c r="C16">
        <v>-5</v>
      </c>
      <c r="D16">
        <v>9900</v>
      </c>
      <c r="E16">
        <v>9200</v>
      </c>
      <c r="F16" s="49">
        <v>9000</v>
      </c>
      <c r="G16">
        <v>8000</v>
      </c>
      <c r="I16" t="s">
        <v>208</v>
      </c>
      <c r="J16">
        <v>-7</v>
      </c>
      <c r="K16">
        <v>80</v>
      </c>
      <c r="L16" t="s">
        <v>214</v>
      </c>
      <c r="M16" t="s">
        <v>222</v>
      </c>
      <c r="N16">
        <f>ROWS($I$5:I16)</f>
        <v>12</v>
      </c>
      <c r="O16" t="str">
        <f>IF(I16=R14,N16, "")</f>
        <v/>
      </c>
      <c r="P16" t="str">
        <f>IFERROR(SMALL(Table10[[#All],[helper 2]],N16),"")</f>
        <v/>
      </c>
      <c r="R16" t="str">
        <f>IFERROR(INDEX($I$5:$M$19,$P6,COLUMNS($R$15:R16)),"")</f>
        <v>Listeria</v>
      </c>
      <c r="S16">
        <f>IFERROR(INDEX($I$5:$M$19,$P6,COLUMNS($R$15:S16)),"")</f>
        <v>-7</v>
      </c>
      <c r="T16">
        <f>IFERROR(INDEX($I$5:$M$19,$P6,COLUMNS($R$15:T16)),"")</f>
        <v>140</v>
      </c>
      <c r="U16" t="str">
        <f>IFERROR(INDEX($I$5:$M$19,$P6,COLUMNS($R$15:U16)),"")</f>
        <v xml:space="preserve">0.25ml </v>
      </c>
      <c r="V16" t="str">
        <f>IFERROR(INDEX($I$5:$M$19,$P6,COLUMNS($R$15:V16)),"")</f>
        <v>~35</v>
      </c>
    </row>
    <row r="17" spans="2:22" x14ac:dyDescent="0.2">
      <c r="B17" t="s">
        <v>208</v>
      </c>
      <c r="C17">
        <v>-6</v>
      </c>
      <c r="D17">
        <v>990</v>
      </c>
      <c r="E17">
        <v>920</v>
      </c>
      <c r="F17">
        <v>900</v>
      </c>
      <c r="G17">
        <v>800</v>
      </c>
      <c r="I17" t="s">
        <v>208</v>
      </c>
      <c r="J17">
        <v>-6</v>
      </c>
      <c r="K17">
        <v>800</v>
      </c>
      <c r="L17" t="s">
        <v>214</v>
      </c>
      <c r="M17" t="s">
        <v>223</v>
      </c>
      <c r="N17">
        <f>ROWS($I$5:I17)</f>
        <v>13</v>
      </c>
      <c r="O17" t="str">
        <f>IF(I17=R14,N17, "")</f>
        <v/>
      </c>
      <c r="P17" t="str">
        <f>IFERROR(SMALL(Table10[[#All],[helper 2]],N17),"")</f>
        <v/>
      </c>
      <c r="R17" t="str">
        <f>IFERROR(INDEX($I$5:$M$19,$P7,COLUMNS($R$15:R17)),"")</f>
        <v>Listeria</v>
      </c>
      <c r="S17">
        <f>IFERROR(INDEX($I$5:$M$19,$P7,COLUMNS($R$15:S17)),"")</f>
        <v>-6</v>
      </c>
      <c r="T17">
        <f>IFERROR(INDEX($I$5:$M$19,$P7,COLUMNS($R$15:T17)),"")</f>
        <v>1400</v>
      </c>
      <c r="U17" t="str">
        <f>IFERROR(INDEX($I$5:$M$19,$P7,COLUMNS($R$15:U17)),"")</f>
        <v>0.25ml</v>
      </c>
      <c r="V17" t="str">
        <f>IFERROR(INDEX($I$5:$M$19,$P7,COLUMNS($R$15:V17)),"")</f>
        <v>~350</v>
      </c>
    </row>
    <row r="18" spans="2:22" x14ac:dyDescent="0.2">
      <c r="B18" t="s">
        <v>208</v>
      </c>
      <c r="C18">
        <v>-7</v>
      </c>
      <c r="D18" s="49">
        <v>99</v>
      </c>
      <c r="E18" s="49">
        <v>92</v>
      </c>
      <c r="F18" s="49">
        <v>90</v>
      </c>
      <c r="G18" s="50">
        <v>80</v>
      </c>
      <c r="I18" t="s">
        <v>208</v>
      </c>
      <c r="J18">
        <v>-5</v>
      </c>
      <c r="K18">
        <v>8000</v>
      </c>
      <c r="L18" t="s">
        <v>214</v>
      </c>
      <c r="M18" t="s">
        <v>224</v>
      </c>
      <c r="N18">
        <f>ROWS($I$5:I18)</f>
        <v>14</v>
      </c>
      <c r="O18" t="str">
        <f>IF(I18=R14,N18, "")</f>
        <v/>
      </c>
      <c r="P18" t="str">
        <f>IFERROR(SMALL(Table10[[#All],[helper 2]],N18),"")</f>
        <v/>
      </c>
      <c r="R18" t="str">
        <f>IFERROR(INDEX($I$5:$M$19,$P8,COLUMNS($R$15:R18)),"")</f>
        <v>Listeria</v>
      </c>
      <c r="S18">
        <f>IFERROR(INDEX($I$5:$M$19,$P8,COLUMNS($R$15:S18)),"")</f>
        <v>-5</v>
      </c>
      <c r="T18">
        <f>IFERROR(INDEX($I$5:$M$19,$P8,COLUMNS($R$15:T18)),"")</f>
        <v>14000</v>
      </c>
      <c r="U18" t="str">
        <f>IFERROR(INDEX($I$5:$M$19,$P8,COLUMNS($R$15:U18)),"")</f>
        <v>0.25ml</v>
      </c>
      <c r="V18" t="str">
        <f>IFERROR(INDEX($I$5:$M$19,$P8,COLUMNS($R$15:V18)),"")</f>
        <v>~3500</v>
      </c>
    </row>
    <row r="19" spans="2:22" x14ac:dyDescent="0.2">
      <c r="B19" t="s">
        <v>208</v>
      </c>
      <c r="C19">
        <v>-8</v>
      </c>
      <c r="D19" s="49">
        <v>13</v>
      </c>
      <c r="E19" s="49">
        <v>13</v>
      </c>
      <c r="F19" s="49">
        <v>10</v>
      </c>
      <c r="G19" s="49">
        <v>8</v>
      </c>
      <c r="I19" t="s">
        <v>208</v>
      </c>
      <c r="J19">
        <v>-4</v>
      </c>
      <c r="K19">
        <v>80000</v>
      </c>
      <c r="L19" t="s">
        <v>214</v>
      </c>
      <c r="M19" t="s">
        <v>225</v>
      </c>
      <c r="N19">
        <f>ROWS($I$5:I19)</f>
        <v>15</v>
      </c>
      <c r="O19" t="str">
        <f>IF(I19=R14,N19, "")</f>
        <v/>
      </c>
      <c r="P19" t="str">
        <f>IFERROR(SMALL(Table10[[#All],[helper 2]],N19),"")</f>
        <v/>
      </c>
      <c r="R19" t="str">
        <f>IFERROR(INDEX($I$5:$M$19,$P9,COLUMNS($R$15:R19)),"")</f>
        <v>Listeria</v>
      </c>
      <c r="S19">
        <f>IFERROR(INDEX($I$5:$M$19,$P9,COLUMNS($R$15:S19)),"")</f>
        <v>-4</v>
      </c>
      <c r="T19">
        <f>IFERROR(INDEX($I$5:$M$19,$P9,COLUMNS($R$15:T19)),"")</f>
        <v>140000</v>
      </c>
      <c r="U19" t="str">
        <f>IFERROR(INDEX($I$5:$M$19,$P9,COLUMNS($R$15:U19)),"")</f>
        <v>0.25ml</v>
      </c>
      <c r="V19" t="str">
        <f>IFERROR(INDEX($I$5:$M$19,$P9,COLUMNS($R$15:V19)),"")</f>
        <v>~35000</v>
      </c>
    </row>
    <row r="21" spans="2:22" x14ac:dyDescent="0.2">
      <c r="B21" t="s">
        <v>113</v>
      </c>
    </row>
    <row r="22" spans="2:22" x14ac:dyDescent="0.2">
      <c r="B22" s="50" t="str">
        <f>B5</f>
        <v>Listeria</v>
      </c>
    </row>
    <row r="23" spans="2:22" x14ac:dyDescent="0.2">
      <c r="B23" t="str">
        <f>B10</f>
        <v>Campylobacter</v>
      </c>
    </row>
    <row r="24" spans="2:22" x14ac:dyDescent="0.2">
      <c r="B24" t="str">
        <f>B19</f>
        <v>Salmonella</v>
      </c>
    </row>
    <row r="25" spans="2:22" ht="16" thickBot="1" x14ac:dyDescent="0.25"/>
    <row r="26" spans="2:22" ht="16" thickBot="1" x14ac:dyDescent="0.25">
      <c r="B26" s="51" t="s">
        <v>256</v>
      </c>
    </row>
  </sheetData>
  <dataValidations count="1">
    <dataValidation type="list" allowBlank="1" showInputMessage="1" showErrorMessage="1" sqref="I4 R14" xr:uid="{5C417267-2F85-461B-AFEE-064E040B9894}">
      <formula1>$B$22:$B$24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6969-57CF-4AE4-B5E5-2CB22A14A8FD}">
  <dimension ref="B2:X93"/>
  <sheetViews>
    <sheetView topLeftCell="G1" zoomScale="98" zoomScaleNormal="98" workbookViewId="0">
      <selection activeCell="P3" sqref="P3"/>
    </sheetView>
  </sheetViews>
  <sheetFormatPr baseColWidth="10" defaultColWidth="8.83203125" defaultRowHeight="15" x14ac:dyDescent="0.2"/>
  <cols>
    <col min="2" max="2" width="15.5" bestFit="1" customWidth="1"/>
    <col min="3" max="3" width="23.5" bestFit="1" customWidth="1"/>
    <col min="4" max="4" width="11.5" bestFit="1" customWidth="1"/>
    <col min="5" max="5" width="31" bestFit="1" customWidth="1"/>
    <col min="6" max="6" width="13.33203125" bestFit="1" customWidth="1"/>
    <col min="7" max="7" width="26.6640625" bestFit="1" customWidth="1"/>
    <col min="8" max="8" width="20.1640625" bestFit="1" customWidth="1"/>
    <col min="9" max="9" width="22.5" customWidth="1"/>
    <col min="10" max="10" width="20.5" hidden="1" customWidth="1"/>
    <col min="11" max="11" width="6.5" hidden="1" customWidth="1"/>
    <col min="12" max="12" width="10.33203125" hidden="1" customWidth="1"/>
    <col min="13" max="13" width="13.1640625" hidden="1" customWidth="1"/>
    <col min="15" max="15" width="33.6640625" bestFit="1" customWidth="1"/>
    <col min="16" max="16" width="24.1640625" bestFit="1" customWidth="1"/>
    <col min="17" max="17" width="23.5" bestFit="1" customWidth="1"/>
    <col min="18" max="18" width="9.6640625" bestFit="1" customWidth="1"/>
    <col min="19" max="19" width="26" bestFit="1" customWidth="1"/>
    <col min="20" max="20" width="8.5" bestFit="1" customWidth="1"/>
    <col min="21" max="21" width="22.5" bestFit="1" customWidth="1"/>
    <col min="22" max="22" width="17" bestFit="1" customWidth="1"/>
    <col min="23" max="23" width="129.6640625" bestFit="1" customWidth="1"/>
  </cols>
  <sheetData>
    <row r="2" spans="2:24" ht="16" thickBot="1" x14ac:dyDescent="0.25"/>
    <row r="3" spans="2:24" ht="17" thickBot="1" x14ac:dyDescent="0.25">
      <c r="B3" s="56" t="s">
        <v>115</v>
      </c>
      <c r="C3" s="57" t="s">
        <v>111</v>
      </c>
      <c r="D3" s="57" t="s">
        <v>112</v>
      </c>
      <c r="E3" s="57" t="s">
        <v>202</v>
      </c>
      <c r="F3" s="57" t="s">
        <v>135</v>
      </c>
      <c r="G3" s="57" t="s">
        <v>203</v>
      </c>
      <c r="H3" s="57" t="s">
        <v>114</v>
      </c>
      <c r="I3" s="58" t="s">
        <v>137</v>
      </c>
      <c r="J3" s="40" t="s">
        <v>129</v>
      </c>
      <c r="K3" s="40" t="s">
        <v>126</v>
      </c>
      <c r="L3" s="40" t="s">
        <v>127</v>
      </c>
      <c r="M3" s="41" t="s">
        <v>128</v>
      </c>
      <c r="O3" t="s">
        <v>204</v>
      </c>
      <c r="P3" s="53" t="s">
        <v>117</v>
      </c>
      <c r="Q3" s="46" t="str">
        <f>Table5[[#Headers],[Food composition]]</f>
        <v>Food composition</v>
      </c>
      <c r="R3" s="46" t="str">
        <f>Table5[[#Headers],[Spike-in]]</f>
        <v>Spike-in</v>
      </c>
      <c r="S3" s="46" t="str">
        <f>Table5[[#Headers],[Bacteria Culture Volume]]</f>
        <v>Bacteria Culture Volume</v>
      </c>
      <c r="T3" s="46" t="str">
        <f>Table5[[#Headers],[CFU/ml]]</f>
        <v>CFU/ml</v>
      </c>
      <c r="U3" s="46" t="str">
        <f>Table5[[#Headers],[DNA Extraction Type]]</f>
        <v>DNA Extraction Type</v>
      </c>
      <c r="V3" s="46" t="str">
        <f>Table5[[#Headers],[Nanogene label]]</f>
        <v>Nanogene label</v>
      </c>
      <c r="W3" s="46" t="str">
        <f>Table5[[#Headers],[Notes]]</f>
        <v>Notes</v>
      </c>
    </row>
    <row r="4" spans="2:24" ht="16" x14ac:dyDescent="0.2">
      <c r="B4" s="59" t="s">
        <v>7</v>
      </c>
      <c r="C4" s="60" t="s">
        <v>205</v>
      </c>
      <c r="D4" s="60" t="s">
        <v>136</v>
      </c>
      <c r="E4" s="60" t="s">
        <v>136</v>
      </c>
      <c r="F4" s="60" t="s">
        <v>136</v>
      </c>
      <c r="G4" s="60" t="str">
        <f t="shared" ref="G4:G23" si="0">IF(OR(ISNUMBER(SEARCH("*6*", B4)), ISNUMBER(SEARCH("*7*",B4)), ISNUMBER(SEARCH("*8*",B4)), ISNUMBER(SEARCH("*9*",B4)), ISNUMBER(SEARCH("*10*",B4))), "Gram Positive", "Gram Negative")</f>
        <v>Gram Negative</v>
      </c>
      <c r="H4" s="61" t="s">
        <v>138</v>
      </c>
      <c r="I4" s="66" t="s">
        <v>265</v>
      </c>
      <c r="J4" s="42" t="s">
        <v>115</v>
      </c>
      <c r="K4" s="42">
        <f>ROWS($B$4:B4)</f>
        <v>1</v>
      </c>
      <c r="L4" s="42" t="str">
        <f>IF(J4=$P$3,K4,"")</f>
        <v/>
      </c>
      <c r="M4" s="43">
        <f>IFERROR(SMALL(Table5[Helper 2],Table5[[#This Row],[Helper 1]]),"")</f>
        <v>41</v>
      </c>
      <c r="P4" t="str">
        <f>IFERROR(INDEX($B$4:$I$93,$M4,COLUMNS($P$4:P4)),"")</f>
        <v>B1(10+)</v>
      </c>
      <c r="Q4" t="str">
        <f>IFERROR(INDEX($B$4:$I$93,$M4,COLUMNS($P$4:Q4)),"")</f>
        <v>Cod Loin - White Fish</v>
      </c>
      <c r="R4" t="str">
        <f>IFERROR(INDEX($B$4:$I$93,$M4,COLUMNS($P$4:R4)),"")</f>
        <v>20μl</v>
      </c>
      <c r="S4" t="str">
        <f>IFERROR(INDEX($B$4:$I$93,$M4,COLUMNS($P$4:S4)),"")</f>
        <v>100μl</v>
      </c>
      <c r="T4" t="str">
        <f>IFERROR(INDEX($B$4:$I$93,$M4,COLUMNS($P$4:T4)),"")</f>
        <v>10 CFU/ml</v>
      </c>
      <c r="U4" t="str">
        <f>IFERROR(INDEX($B$4:$I$93,$M4,COLUMNS($P$4:U4)),"")</f>
        <v>Gram Negative</v>
      </c>
      <c r="V4" s="47" t="str">
        <f>IFERROR(INDEX($B$4:$I$93,$M4,COLUMNS($P$4:V4)),"")</f>
        <v>A5</v>
      </c>
      <c r="W4" s="65" t="str">
        <f>IFERROR(INDEX($B$4:$I$93,$M4,COLUMNS($P$4:W4)),"")</f>
        <v xml:space="preserve"> </v>
      </c>
    </row>
    <row r="5" spans="2:24" ht="16" x14ac:dyDescent="0.2">
      <c r="B5" s="59" t="s">
        <v>8</v>
      </c>
      <c r="C5" s="60" t="s">
        <v>205</v>
      </c>
      <c r="D5" s="60" t="s">
        <v>136</v>
      </c>
      <c r="E5" s="60" t="s">
        <v>136</v>
      </c>
      <c r="F5" s="60" t="s">
        <v>136</v>
      </c>
      <c r="G5" s="60" t="str">
        <f t="shared" si="0"/>
        <v>Gram Negative</v>
      </c>
      <c r="H5" s="61" t="s">
        <v>0</v>
      </c>
      <c r="I5" s="66" t="s">
        <v>265</v>
      </c>
      <c r="J5" s="42" t="s">
        <v>115</v>
      </c>
      <c r="K5" s="42">
        <f>ROWS($B$4:B5)</f>
        <v>2</v>
      </c>
      <c r="L5" s="42" t="str">
        <f t="shared" ref="L5:L68" si="1">IF(J5=$P$3,K5,"")</f>
        <v/>
      </c>
      <c r="M5" s="43">
        <f>IFERROR(SMALL(Table5[Helper 2],K5),"")</f>
        <v>42</v>
      </c>
      <c r="P5" t="str">
        <f>IFERROR(INDEX($B$4:$I$93,$M5,COLUMNS($P$4:P5)),"")</f>
        <v>B2(10+)</v>
      </c>
      <c r="Q5" t="str">
        <f>IFERROR(INDEX($B$4:$I$93,$M5,COLUMNS($P$4:Q5)),"")</f>
        <v>Cod Loin - White Fish</v>
      </c>
      <c r="R5" t="str">
        <f>IFERROR(INDEX($B$4:$I$93,$M5,COLUMNS($P$4:R5)),"")</f>
        <v>20μl</v>
      </c>
      <c r="S5" t="str">
        <f>IFERROR(INDEX($B$4:$I$93,$M5,COLUMNS($P$4:S5)),"")</f>
        <v>100μl</v>
      </c>
      <c r="T5" t="str">
        <f>IFERROR(INDEX($B$4:$I$93,$M5,COLUMNS($P$4:T5)),"")</f>
        <v>10 CFU/ml</v>
      </c>
      <c r="U5" t="str">
        <f>IFERROR(INDEX($B$4:$I$93,$M5,COLUMNS($P$4:U5)),"")</f>
        <v>Gram Negative</v>
      </c>
      <c r="V5" s="47" t="str">
        <f>IFERROR(INDEX($B$4:$I$93,$M5,COLUMNS($P$4:V5)),"")</f>
        <v>B5</v>
      </c>
      <c r="W5" s="65" t="str">
        <f>IFERROR(INDEX($B$4:$I$93,$M5,COLUMNS($P$4:W5)),"")</f>
        <v xml:space="preserve"> </v>
      </c>
      <c r="X5" t="str">
        <f>IFERROR(INDEX($B$4:$H$93,$M4,COLUMNS($Q$5:X5)),"")</f>
        <v/>
      </c>
    </row>
    <row r="6" spans="2:24" ht="16" x14ac:dyDescent="0.2">
      <c r="B6" s="59" t="s">
        <v>9</v>
      </c>
      <c r="C6" s="60" t="s">
        <v>205</v>
      </c>
      <c r="D6" s="60" t="s">
        <v>136</v>
      </c>
      <c r="E6" s="60" t="s">
        <v>136</v>
      </c>
      <c r="F6" s="60" t="s">
        <v>136</v>
      </c>
      <c r="G6" s="60" t="str">
        <f t="shared" si="0"/>
        <v>Gram Negative</v>
      </c>
      <c r="H6" s="61" t="s">
        <v>87</v>
      </c>
      <c r="I6" s="66" t="s">
        <v>265</v>
      </c>
      <c r="J6" s="42" t="s">
        <v>115</v>
      </c>
      <c r="K6" s="42">
        <f>ROWS($B$4:B6)</f>
        <v>3</v>
      </c>
      <c r="L6" s="42" t="str">
        <f t="shared" si="1"/>
        <v/>
      </c>
      <c r="M6" s="43">
        <f>IFERROR(SMALL(Table5[Helper 2],K6),"")</f>
        <v>43</v>
      </c>
      <c r="P6" t="str">
        <f>IFERROR(INDEX($B$4:$I$93,$M6,COLUMNS($P$4:P6)),"")</f>
        <v>B3(10+)</v>
      </c>
      <c r="Q6" t="str">
        <f>IFERROR(INDEX($B$4:$I$93,$M6,COLUMNS($P$4:Q6)),"")</f>
        <v>Cod Loin - White Fish</v>
      </c>
      <c r="R6" t="str">
        <f>IFERROR(INDEX($B$4:$I$93,$M6,COLUMNS($P$4:R6)),"")</f>
        <v>20μl</v>
      </c>
      <c r="S6" t="str">
        <f>IFERROR(INDEX($B$4:$I$93,$M6,COLUMNS($P$4:S6)),"")</f>
        <v>100μl</v>
      </c>
      <c r="T6" t="str">
        <f>IFERROR(INDEX($B$4:$I$93,$M6,COLUMNS($P$4:T6)),"")</f>
        <v>10 CFU/ml</v>
      </c>
      <c r="U6" t="str">
        <f>IFERROR(INDEX($B$4:$I$93,$M6,COLUMNS($P$4:U6)),"")</f>
        <v>Gram Negative</v>
      </c>
      <c r="V6" s="47" t="str">
        <f>IFERROR(INDEX($B$4:$I$93,$M6,COLUMNS($P$4:V6)),"")</f>
        <v>C5</v>
      </c>
      <c r="W6" s="65" t="str">
        <f>IFERROR(INDEX($B$4:$I$93,$M6,COLUMNS($P$4:W6)),"")</f>
        <v xml:space="preserve"> </v>
      </c>
    </row>
    <row r="7" spans="2:24" ht="16" x14ac:dyDescent="0.2">
      <c r="B7" s="59" t="s">
        <v>10</v>
      </c>
      <c r="C7" s="60" t="s">
        <v>205</v>
      </c>
      <c r="D7" s="60" t="s">
        <v>136</v>
      </c>
      <c r="E7" s="60" t="s">
        <v>136</v>
      </c>
      <c r="F7" s="60" t="s">
        <v>136</v>
      </c>
      <c r="G7" s="60" t="str">
        <f t="shared" si="0"/>
        <v>Gram Negative</v>
      </c>
      <c r="H7" s="61" t="s">
        <v>139</v>
      </c>
      <c r="I7" s="66" t="s">
        <v>265</v>
      </c>
      <c r="J7" s="42" t="s">
        <v>115</v>
      </c>
      <c r="K7" s="42">
        <f>ROWS($B$4:B7)</f>
        <v>4</v>
      </c>
      <c r="L7" s="42" t="str">
        <f t="shared" si="1"/>
        <v/>
      </c>
      <c r="M7" s="43">
        <f>IFERROR(SMALL(Table5[Helper 2],K7),"")</f>
        <v>44</v>
      </c>
      <c r="P7" t="str">
        <f>IFERROR(INDEX($B$4:$I$93,$M7,COLUMNS($P$4:P7)),"")</f>
        <v>B4(10+)</v>
      </c>
      <c r="Q7" t="str">
        <f>IFERROR(INDEX($B$4:$I$93,$M7,COLUMNS($P$4:Q7)),"")</f>
        <v>Cod Loin - White Fish</v>
      </c>
      <c r="R7" t="str">
        <f>IFERROR(INDEX($B$4:$I$93,$M7,COLUMNS($P$4:R7)),"")</f>
        <v>20μl</v>
      </c>
      <c r="S7" t="str">
        <f>IFERROR(INDEX($B$4:$I$93,$M7,COLUMNS($P$4:S7)),"")</f>
        <v>100μl</v>
      </c>
      <c r="T7" t="str">
        <f>IFERROR(INDEX($B$4:$I$93,$M7,COLUMNS($P$4:T7)),"")</f>
        <v>10 CFU/ml</v>
      </c>
      <c r="U7" t="str">
        <f>IFERROR(INDEX($B$4:$I$93,$M7,COLUMNS($P$4:U7)),"")</f>
        <v>Gram Negative</v>
      </c>
      <c r="V7" s="47" t="str">
        <f>IFERROR(INDEX($B$4:$I$93,$M7,COLUMNS($P$4:V7)),"")</f>
        <v>D5</v>
      </c>
      <c r="W7" s="65" t="str">
        <f>IFERROR(INDEX($B$4:$I$93,$M7,COLUMNS($P$4:W7)),"")</f>
        <v xml:space="preserve"> </v>
      </c>
    </row>
    <row r="8" spans="2:24" ht="16" x14ac:dyDescent="0.2">
      <c r="B8" s="59" t="s">
        <v>11</v>
      </c>
      <c r="C8" s="60" t="s">
        <v>205</v>
      </c>
      <c r="D8" s="60" t="s">
        <v>136</v>
      </c>
      <c r="E8" s="60" t="s">
        <v>136</v>
      </c>
      <c r="F8" s="60" t="s">
        <v>136</v>
      </c>
      <c r="G8" s="60" t="str">
        <f t="shared" si="0"/>
        <v>Gram Negative</v>
      </c>
      <c r="H8" s="61" t="s">
        <v>140</v>
      </c>
      <c r="I8" s="66" t="s">
        <v>265</v>
      </c>
      <c r="J8" s="42" t="s">
        <v>115</v>
      </c>
      <c r="K8" s="42">
        <f>ROWS($B$4:B8)</f>
        <v>5</v>
      </c>
      <c r="L8" s="42" t="str">
        <f t="shared" si="1"/>
        <v/>
      </c>
      <c r="M8" s="43">
        <f>IFERROR(SMALL(Table5[Helper 2],K8),"")</f>
        <v>45</v>
      </c>
      <c r="P8" t="str">
        <f>IFERROR(INDEX($B$4:$I$93,$M8,COLUMNS($P$4:P8)),"")</f>
        <v>B5(10+)</v>
      </c>
      <c r="Q8" t="str">
        <f>IFERROR(INDEX($B$4:$I$93,$M8,COLUMNS($P$4:Q8)),"")</f>
        <v>Cod Loin - White Fish</v>
      </c>
      <c r="R8" t="str">
        <f>IFERROR(INDEX($B$4:$I$93,$M8,COLUMNS($P$4:R8)),"")</f>
        <v>20μl</v>
      </c>
      <c r="S8" t="str">
        <f>IFERROR(INDEX($B$4:$I$93,$M8,COLUMNS($P$4:S8)),"")</f>
        <v>100μl</v>
      </c>
      <c r="T8" t="str">
        <f>IFERROR(INDEX($B$4:$I$93,$M8,COLUMNS($P$4:T8)),"")</f>
        <v>10 CFU/ml</v>
      </c>
      <c r="U8" t="str">
        <f>IFERROR(INDEX($B$4:$I$93,$M8,COLUMNS($P$4:U8)),"")</f>
        <v>Gram Negative</v>
      </c>
      <c r="V8" s="47" t="str">
        <f>IFERROR(INDEX($B$4:$I$93,$M8,COLUMNS($P$4:V8)),"")</f>
        <v>E5</v>
      </c>
      <c r="W8" s="65" t="str">
        <f>IFERROR(INDEX($B$4:$I$93,$M8,COLUMNS($P$4:W8)),"")</f>
        <v xml:space="preserve"> </v>
      </c>
    </row>
    <row r="9" spans="2:24" ht="16" x14ac:dyDescent="0.2">
      <c r="B9" s="59" t="s">
        <v>12</v>
      </c>
      <c r="C9" s="60" t="s">
        <v>205</v>
      </c>
      <c r="D9" s="60" t="s">
        <v>136</v>
      </c>
      <c r="E9" s="60" t="s">
        <v>136</v>
      </c>
      <c r="F9" s="60" t="s">
        <v>136</v>
      </c>
      <c r="G9" s="60" t="str">
        <f t="shared" si="0"/>
        <v>Gram Positive</v>
      </c>
      <c r="H9" s="61" t="s">
        <v>144</v>
      </c>
      <c r="I9" s="66" t="s">
        <v>261</v>
      </c>
      <c r="J9" s="42" t="s">
        <v>115</v>
      </c>
      <c r="K9" s="42">
        <f>ROWS($B$4:B9)</f>
        <v>6</v>
      </c>
      <c r="L9" s="42" t="str">
        <f t="shared" si="1"/>
        <v/>
      </c>
      <c r="M9" s="43">
        <f>IFERROR(SMALL(Table5[Helper 2],K9),"")</f>
        <v>46</v>
      </c>
      <c r="P9" t="str">
        <f>IFERROR(INDEX($B$4:$I$93,$M9,COLUMNS($P$4:P9)),"")</f>
        <v>B6(10+)</v>
      </c>
      <c r="Q9" t="str">
        <f>IFERROR(INDEX($B$4:$I$93,$M9,COLUMNS($P$4:Q9)),"")</f>
        <v>Cod Loin - White Fish</v>
      </c>
      <c r="R9" t="str">
        <f>IFERROR(INDEX($B$4:$I$93,$M9,COLUMNS($P$4:R9)),"")</f>
        <v>20μl</v>
      </c>
      <c r="S9" t="str">
        <f>IFERROR(INDEX($B$4:$I$93,$M9,COLUMNS($P$4:S9)),"")</f>
        <v>100μl</v>
      </c>
      <c r="T9" t="str">
        <f>IFERROR(INDEX($B$4:$I$93,$M9,COLUMNS($P$4:T9)),"")</f>
        <v>10 CFU/ml</v>
      </c>
      <c r="U9" t="str">
        <f>IFERROR(INDEX($B$4:$I$93,$M9,COLUMNS($P$4:U9)),"")</f>
        <v>Gram Positive</v>
      </c>
      <c r="V9" s="47" t="str">
        <f>IFERROR(INDEX($B$4:$I$93,$M9,COLUMNS($P$4:V9)),"")</f>
        <v>F5</v>
      </c>
      <c r="W9" s="65" t="str">
        <f>IFERROR(INDEX($B$4:$I$93,$M9,COLUMNS($P$4:W9)),"")</f>
        <v xml:space="preserve"> </v>
      </c>
    </row>
    <row r="10" spans="2:24" ht="16" x14ac:dyDescent="0.2">
      <c r="B10" s="59" t="s">
        <v>13</v>
      </c>
      <c r="C10" s="60" t="s">
        <v>205</v>
      </c>
      <c r="D10" s="60" t="s">
        <v>136</v>
      </c>
      <c r="E10" s="60" t="s">
        <v>136</v>
      </c>
      <c r="F10" s="60" t="s">
        <v>136</v>
      </c>
      <c r="G10" s="60" t="str">
        <f t="shared" si="0"/>
        <v>Gram Positive</v>
      </c>
      <c r="H10" s="61" t="s">
        <v>145</v>
      </c>
      <c r="I10" s="66" t="s">
        <v>261</v>
      </c>
      <c r="J10" s="42" t="s">
        <v>115</v>
      </c>
      <c r="K10" s="42">
        <f>ROWS($B$4:B10)</f>
        <v>7</v>
      </c>
      <c r="L10" s="42" t="str">
        <f t="shared" si="1"/>
        <v/>
      </c>
      <c r="M10" s="43">
        <f>IFERROR(SMALL(Table5[Helper 2],K10),"")</f>
        <v>47</v>
      </c>
      <c r="P10" t="str">
        <f>IFERROR(INDEX($B$4:$I$93,$M10,COLUMNS($P$4:P10)),"")</f>
        <v>B7(10+)</v>
      </c>
      <c r="Q10" t="str">
        <f>IFERROR(INDEX($B$4:$I$93,$M10,COLUMNS($P$4:Q10)),"")</f>
        <v>Cod Loin - White Fish</v>
      </c>
      <c r="R10" t="str">
        <f>IFERROR(INDEX($B$4:$I$93,$M10,COLUMNS($P$4:R10)),"")</f>
        <v>20μl</v>
      </c>
      <c r="S10" t="str">
        <f>IFERROR(INDEX($B$4:$I$93,$M10,COLUMNS($P$4:S10)),"")</f>
        <v>100μl</v>
      </c>
      <c r="T10" t="str">
        <f>IFERROR(INDEX($B$4:$I$93,$M10,COLUMNS($P$4:T10)),"")</f>
        <v>10 CFU/ml</v>
      </c>
      <c r="U10" t="str">
        <f>IFERROR(INDEX($B$4:$I$93,$M10,COLUMNS($P$4:U10)),"")</f>
        <v>Gram Positive</v>
      </c>
      <c r="V10" s="47" t="str">
        <f>IFERROR(INDEX($B$4:$I$93,$M10,COLUMNS($P$4:V10)),"")</f>
        <v>G5</v>
      </c>
      <c r="W10" s="65" t="str">
        <f>IFERROR(INDEX($B$4:$I$93,$M10,COLUMNS($P$4:W10)),"")</f>
        <v xml:space="preserve"> </v>
      </c>
    </row>
    <row r="11" spans="2:24" ht="16" x14ac:dyDescent="0.2">
      <c r="B11" s="59" t="s">
        <v>14</v>
      </c>
      <c r="C11" s="60" t="s">
        <v>205</v>
      </c>
      <c r="D11" s="60" t="s">
        <v>136</v>
      </c>
      <c r="E11" s="60" t="s">
        <v>136</v>
      </c>
      <c r="F11" s="60" t="s">
        <v>136</v>
      </c>
      <c r="G11" s="60" t="str">
        <f t="shared" si="0"/>
        <v>Gram Positive</v>
      </c>
      <c r="H11" s="61" t="s">
        <v>146</v>
      </c>
      <c r="I11" s="66" t="s">
        <v>261</v>
      </c>
      <c r="J11" s="42" t="s">
        <v>115</v>
      </c>
      <c r="K11" s="42">
        <f>ROWS($B$4:B11)</f>
        <v>8</v>
      </c>
      <c r="L11" s="42" t="str">
        <f t="shared" si="1"/>
        <v/>
      </c>
      <c r="M11" s="43">
        <f>IFERROR(SMALL(Table5[Helper 2],K11),"")</f>
        <v>48</v>
      </c>
      <c r="P11" t="str">
        <f>IFERROR(INDEX($B$4:$I$93,$M11,COLUMNS($P$4:P11)),"")</f>
        <v>B8(10+)</v>
      </c>
      <c r="Q11" t="str">
        <f>IFERROR(INDEX($B$4:$I$93,$M11,COLUMNS($P$4:Q11)),"")</f>
        <v>Cod Loin - White Fish</v>
      </c>
      <c r="R11" t="str">
        <f>IFERROR(INDEX($B$4:$I$93,$M11,COLUMNS($P$4:R11)),"")</f>
        <v>20μl</v>
      </c>
      <c r="S11" t="str">
        <f>IFERROR(INDEX($B$4:$I$93,$M11,COLUMNS($P$4:S11)),"")</f>
        <v>100μl</v>
      </c>
      <c r="T11" t="str">
        <f>IFERROR(INDEX($B$4:$I$93,$M11,COLUMNS($P$4:T11)),"")</f>
        <v>10 CFU/ml</v>
      </c>
      <c r="U11" t="str">
        <f>IFERROR(INDEX($B$4:$I$93,$M11,COLUMNS($P$4:U11)),"")</f>
        <v>Gram Positive</v>
      </c>
      <c r="V11" s="47" t="str">
        <f>IFERROR(INDEX($B$4:$I$93,$M11,COLUMNS($P$4:V11)),"")</f>
        <v>H5</v>
      </c>
      <c r="W11" s="65" t="str">
        <f>IFERROR(INDEX($B$4:$I$93,$M11,COLUMNS($P$4:W11)),"")</f>
        <v xml:space="preserve"> </v>
      </c>
    </row>
    <row r="12" spans="2:24" ht="16" x14ac:dyDescent="0.2">
      <c r="B12" s="59" t="s">
        <v>15</v>
      </c>
      <c r="C12" s="60" t="s">
        <v>205</v>
      </c>
      <c r="D12" s="60" t="s">
        <v>136</v>
      </c>
      <c r="E12" s="60" t="s">
        <v>136</v>
      </c>
      <c r="F12" s="60" t="s">
        <v>136</v>
      </c>
      <c r="G12" s="60" t="str">
        <f t="shared" si="0"/>
        <v>Gram Positive</v>
      </c>
      <c r="H12" s="61" t="s">
        <v>147</v>
      </c>
      <c r="I12" s="66" t="s">
        <v>261</v>
      </c>
      <c r="J12" s="42" t="s">
        <v>115</v>
      </c>
      <c r="K12" s="42">
        <f>ROWS($B$4:B12)</f>
        <v>9</v>
      </c>
      <c r="L12" s="42" t="str">
        <f t="shared" si="1"/>
        <v/>
      </c>
      <c r="M12" s="43">
        <f>IFERROR(SMALL(Table5[Helper 2],K12),"")</f>
        <v>49</v>
      </c>
      <c r="P12" t="str">
        <f>IFERROR(INDEX($B$4:$I$93,$M12,COLUMNS($P$4:P12)),"")</f>
        <v>B9(10+)</v>
      </c>
      <c r="Q12" t="str">
        <f>IFERROR(INDEX($B$4:$I$93,$M12,COLUMNS($P$4:Q12)),"")</f>
        <v>Cod Loin - White Fish</v>
      </c>
      <c r="R12" t="str">
        <f>IFERROR(INDEX($B$4:$I$93,$M12,COLUMNS($P$4:R12)),"")</f>
        <v>20μl</v>
      </c>
      <c r="S12" t="str">
        <f>IFERROR(INDEX($B$4:$I$93,$M12,COLUMNS($P$4:S12)),"")</f>
        <v>100μl</v>
      </c>
      <c r="T12" t="str">
        <f>IFERROR(INDEX($B$4:$I$93,$M12,COLUMNS($P$4:T12)),"")</f>
        <v>10 CFU/ml</v>
      </c>
      <c r="U12" t="str">
        <f>IFERROR(INDEX($B$4:$I$93,$M12,COLUMNS($P$4:U12)),"")</f>
        <v>Gram Positive</v>
      </c>
      <c r="V12" s="47" t="str">
        <f>IFERROR(INDEX($B$4:$I$93,$M12,COLUMNS($P$4:V12)),"")</f>
        <v>I5</v>
      </c>
      <c r="W12" s="65" t="str">
        <f>IFERROR(INDEX($B$4:$I$93,$M12,COLUMNS($P$4:W12)),"")</f>
        <v xml:space="preserve"> </v>
      </c>
    </row>
    <row r="13" spans="2:24" ht="16" x14ac:dyDescent="0.2">
      <c r="B13" s="59" t="s">
        <v>16</v>
      </c>
      <c r="C13" s="60" t="s">
        <v>205</v>
      </c>
      <c r="D13" s="60" t="s">
        <v>136</v>
      </c>
      <c r="E13" s="60" t="s">
        <v>136</v>
      </c>
      <c r="F13" s="60" t="s">
        <v>136</v>
      </c>
      <c r="G13" s="60" t="str">
        <f>IF(OR(ISNUMBER(SEARCH("*6*", B13)), ISNUMBER(SEARCH("*7*",B13)), ISNUMBER(SEARCH("*8*",B13)), ISNUMBER(SEARCH("*9*",B13)), ISNUMBER(SEARCH("*10*",B13))), "Gram Positive", "Gram Negative")</f>
        <v>Gram Positive</v>
      </c>
      <c r="H13" s="61" t="s">
        <v>148</v>
      </c>
      <c r="I13" s="66" t="s">
        <v>265</v>
      </c>
      <c r="J13" s="42" t="s">
        <v>115</v>
      </c>
      <c r="K13" s="42">
        <f>ROWS($B$4:B13)</f>
        <v>10</v>
      </c>
      <c r="L13" s="42" t="str">
        <f t="shared" si="1"/>
        <v/>
      </c>
      <c r="M13" s="43">
        <f>IFERROR(SMALL(Table5[Helper 2],K13),"")</f>
        <v>50</v>
      </c>
      <c r="P13" t="str">
        <f>IFERROR(INDEX($B$4:$I$93,$M13,COLUMNS($P$4:P13)),"")</f>
        <v>B10(10+)</v>
      </c>
      <c r="Q13" t="str">
        <f>IFERROR(INDEX($B$4:$I$93,$M13,COLUMNS($P$4:Q13)),"")</f>
        <v>Cod Loin - White Fish</v>
      </c>
      <c r="R13" t="str">
        <f>IFERROR(INDEX($B$4:$I$93,$M13,COLUMNS($P$4:R13)),"")</f>
        <v>20μl</v>
      </c>
      <c r="S13" t="str">
        <f>IFERROR(INDEX($B$4:$I$93,$M13,COLUMNS($P$4:S13)),"")</f>
        <v>100μl</v>
      </c>
      <c r="T13" t="str">
        <f>IFERROR(INDEX($B$4:$I$93,$M13,COLUMNS($P$4:T13)),"")</f>
        <v>10 CFU/ml</v>
      </c>
      <c r="U13" t="str">
        <f>IFERROR(INDEX($B$4:$I$93,$M13,COLUMNS($P$4:U13)),"")</f>
        <v>Gram Positive</v>
      </c>
      <c r="V13" s="47" t="str">
        <f>IFERROR(INDEX($B$4:$I$93,$M13,COLUMNS($P$4:V13)),"")</f>
        <v>J5</v>
      </c>
      <c r="W13" s="65" t="str">
        <f>IFERROR(INDEX($B$4:$I$93,$M13,COLUMNS($P$4:W13)),"")</f>
        <v xml:space="preserve"> </v>
      </c>
    </row>
    <row r="14" spans="2:24" ht="16" x14ac:dyDescent="0.2">
      <c r="B14" s="59" t="s">
        <v>17</v>
      </c>
      <c r="C14" s="60" t="s">
        <v>205</v>
      </c>
      <c r="D14" s="60" t="s">
        <v>132</v>
      </c>
      <c r="E14" s="60" t="s">
        <v>136</v>
      </c>
      <c r="F14" s="60" t="s">
        <v>136</v>
      </c>
      <c r="G14" s="60" t="str">
        <f t="shared" si="0"/>
        <v>Gram Negative</v>
      </c>
      <c r="H14" s="61" t="s">
        <v>141</v>
      </c>
      <c r="I14" s="66" t="s">
        <v>265</v>
      </c>
      <c r="J14" s="42" t="s">
        <v>123</v>
      </c>
      <c r="K14" s="42">
        <f>ROWS($B$4:B14)</f>
        <v>11</v>
      </c>
      <c r="L14" s="42" t="str">
        <f t="shared" si="1"/>
        <v/>
      </c>
      <c r="M14" s="43" t="str">
        <f>IFERROR(SMALL(Table5[Helper 2],K14),"")</f>
        <v/>
      </c>
    </row>
    <row r="15" spans="2:24" ht="16" x14ac:dyDescent="0.2">
      <c r="B15" s="59" t="s">
        <v>18</v>
      </c>
      <c r="C15" s="60" t="s">
        <v>205</v>
      </c>
      <c r="D15" s="60" t="s">
        <v>132</v>
      </c>
      <c r="E15" s="60" t="s">
        <v>136</v>
      </c>
      <c r="F15" s="60" t="s">
        <v>136</v>
      </c>
      <c r="G15" s="60" t="str">
        <f t="shared" si="0"/>
        <v>Gram Negative</v>
      </c>
      <c r="H15" s="61" t="s">
        <v>1</v>
      </c>
      <c r="I15" s="66" t="s">
        <v>265</v>
      </c>
      <c r="J15" s="42" t="s">
        <v>123</v>
      </c>
      <c r="K15" s="42">
        <f>ROWS($B$4:B15)</f>
        <v>12</v>
      </c>
      <c r="L15" s="42" t="str">
        <f t="shared" si="1"/>
        <v/>
      </c>
      <c r="M15" s="43" t="str">
        <f>IFERROR(SMALL(Table5[Helper 2],K15),"")</f>
        <v/>
      </c>
      <c r="R15" t="str" cm="1">
        <f t="array" ref="R15">IFERROR(INDEX(Table5[[Control (-/-)]:[Nanogene label]],N14,COLUMNS($Q15:X$15)),"")</f>
        <v/>
      </c>
      <c r="S15" t="str" cm="1">
        <f t="array" ref="S15">IFERROR(INDEX(Table5[[Control (-/-)]:[Nanogene label]],P14,COLUMNS($Q15:Y$15)),"")</f>
        <v/>
      </c>
      <c r="T15" t="str" cm="1">
        <f t="array" ref="T15">IFERROR(INDEX(Table5[[Control (-/-)]:[Nanogene label]],P13,COLUMNS($Q15:Z$15)),"")</f>
        <v/>
      </c>
      <c r="U15" t="str" cm="1">
        <f t="array" ref="U15">IFERROR(INDEX(Table5[[Control (-/-)]:[Nanogene label]],Q13,COLUMNS($Q15:AA$15)),"")</f>
        <v/>
      </c>
      <c r="V15" t="str" cm="1">
        <f t="array" ref="V15">IFERROR(INDEX(Table5[[Control (-/-)]:[Nanogene label]],R13,COLUMNS($Q15:AB$15)),"")</f>
        <v/>
      </c>
      <c r="W15" t="str" cm="1">
        <f t="array" ref="W15">IFERROR(INDEX(Table5[[Control (-/-)]:[Nanogene label]],S13,COLUMNS($Q15:AC$15)),"")</f>
        <v/>
      </c>
    </row>
    <row r="16" spans="2:24" ht="16" x14ac:dyDescent="0.2">
      <c r="B16" s="59" t="s">
        <v>19</v>
      </c>
      <c r="C16" s="60" t="s">
        <v>205</v>
      </c>
      <c r="D16" s="60" t="s">
        <v>132</v>
      </c>
      <c r="E16" s="60" t="s">
        <v>136</v>
      </c>
      <c r="F16" s="60" t="s">
        <v>136</v>
      </c>
      <c r="G16" s="60" t="str">
        <f t="shared" si="0"/>
        <v>Gram Negative</v>
      </c>
      <c r="H16" s="61" t="s">
        <v>88</v>
      </c>
      <c r="I16" s="66" t="s">
        <v>265</v>
      </c>
      <c r="J16" s="42" t="s">
        <v>123</v>
      </c>
      <c r="K16" s="42">
        <f>ROWS($B$4:B16)</f>
        <v>13</v>
      </c>
      <c r="L16" s="42" t="str">
        <f t="shared" si="1"/>
        <v/>
      </c>
      <c r="M16" s="43" t="str">
        <f>IFERROR(SMALL(Table5[Helper 2],K16),"")</f>
        <v/>
      </c>
      <c r="Q16" t="str" cm="1">
        <f t="array" ref="Q16">IFERROR(INDEX(Table5[[Control (-/-)]:[Nanogene label]],M15,COLUMNS($Q$15:W16)),"")</f>
        <v/>
      </c>
      <c r="R16" t="str" cm="1">
        <f t="array" ref="R16">IFERROR(INDEX(Table5[[Control (-/-)]:[Nanogene label]],N15,COLUMNS($Q$15:X16)),"")</f>
        <v/>
      </c>
      <c r="S16" t="str" cm="1">
        <f t="array" ref="S16">IFERROR(INDEX(Table5[[Control (-/-)]:[Nanogene label]],P15,COLUMNS($Q$15:Y16)),"")</f>
        <v/>
      </c>
      <c r="T16" t="str" cm="1">
        <f t="array" ref="T16">IFERROR(INDEX(Table5[[Control (-/-)]:[Nanogene label]],Q15,COLUMNS($Q$15:Z16)),"")</f>
        <v/>
      </c>
      <c r="U16" t="str" cm="1">
        <f t="array" ref="U16">IFERROR(INDEX(Table5[[Control (-/-)]:[Nanogene label]],R15,COLUMNS($Q$15:AA16)),"")</f>
        <v/>
      </c>
      <c r="V16" t="str" cm="1">
        <f t="array" ref="V16">IFERROR(INDEX(Table5[[Control (-/-)]:[Nanogene label]],S15,COLUMNS($Q$15:AB16)),"")</f>
        <v/>
      </c>
      <c r="W16" t="str" cm="1">
        <f t="array" ref="W16">IFERROR(INDEX(Table5[[Control (-/-)]:[Nanogene label]],T15,COLUMNS($Q$15:AC16)),"")</f>
        <v/>
      </c>
    </row>
    <row r="17" spans="2:13" ht="16" x14ac:dyDescent="0.2">
      <c r="B17" s="59" t="s">
        <v>20</v>
      </c>
      <c r="C17" s="60" t="s">
        <v>205</v>
      </c>
      <c r="D17" s="60" t="s">
        <v>132</v>
      </c>
      <c r="E17" s="60" t="s">
        <v>136</v>
      </c>
      <c r="F17" s="60" t="s">
        <v>136</v>
      </c>
      <c r="G17" s="60" t="str">
        <f t="shared" si="0"/>
        <v>Gram Negative</v>
      </c>
      <c r="H17" s="61" t="s">
        <v>142</v>
      </c>
      <c r="I17" s="66" t="s">
        <v>265</v>
      </c>
      <c r="J17" s="42" t="s">
        <v>123</v>
      </c>
      <c r="K17" s="42">
        <f>ROWS($B$4:B17)</f>
        <v>14</v>
      </c>
      <c r="L17" s="42" t="str">
        <f t="shared" si="1"/>
        <v/>
      </c>
      <c r="M17" s="43" t="str">
        <f>IFERROR(SMALL(Table5[Helper 2],K17),"")</f>
        <v/>
      </c>
    </row>
    <row r="18" spans="2:13" ht="16" x14ac:dyDescent="0.2">
      <c r="B18" s="59" t="s">
        <v>25</v>
      </c>
      <c r="C18" s="60" t="s">
        <v>205</v>
      </c>
      <c r="D18" s="60" t="s">
        <v>132</v>
      </c>
      <c r="E18" s="60" t="s">
        <v>136</v>
      </c>
      <c r="F18" s="60" t="s">
        <v>136</v>
      </c>
      <c r="G18" s="60" t="str">
        <f t="shared" si="0"/>
        <v>Gram Negative</v>
      </c>
      <c r="H18" s="61" t="s">
        <v>143</v>
      </c>
      <c r="I18" s="66" t="s">
        <v>265</v>
      </c>
      <c r="J18" s="42" t="s">
        <v>123</v>
      </c>
      <c r="K18" s="42">
        <f>ROWS($B$4:B18)</f>
        <v>15</v>
      </c>
      <c r="L18" s="42" t="str">
        <f t="shared" si="1"/>
        <v/>
      </c>
      <c r="M18" s="43" t="str">
        <f>IFERROR(SMALL(Table5[Helper 2],K18),"")</f>
        <v/>
      </c>
    </row>
    <row r="19" spans="2:13" ht="16" x14ac:dyDescent="0.2">
      <c r="B19" s="59" t="s">
        <v>24</v>
      </c>
      <c r="C19" s="60" t="s">
        <v>205</v>
      </c>
      <c r="D19" s="60" t="s">
        <v>132</v>
      </c>
      <c r="E19" s="60" t="s">
        <v>136</v>
      </c>
      <c r="F19" s="60" t="s">
        <v>136</v>
      </c>
      <c r="G19" s="60" t="str">
        <f t="shared" si="0"/>
        <v>Gram Positive</v>
      </c>
      <c r="H19" s="61" t="s">
        <v>149</v>
      </c>
      <c r="I19" s="66" t="s">
        <v>265</v>
      </c>
      <c r="J19" s="42" t="s">
        <v>123</v>
      </c>
      <c r="K19" s="42">
        <f>ROWS($B$4:B19)</f>
        <v>16</v>
      </c>
      <c r="L19" s="42" t="str">
        <f t="shared" si="1"/>
        <v/>
      </c>
      <c r="M19" s="43" t="str">
        <f>IFERROR(SMALL(Table5[Helper 2],K19),"")</f>
        <v/>
      </c>
    </row>
    <row r="20" spans="2:13" ht="16" x14ac:dyDescent="0.2">
      <c r="B20" s="59" t="s">
        <v>26</v>
      </c>
      <c r="C20" s="60" t="s">
        <v>205</v>
      </c>
      <c r="D20" s="60" t="s">
        <v>132</v>
      </c>
      <c r="E20" s="60" t="s">
        <v>136</v>
      </c>
      <c r="F20" s="60" t="s">
        <v>136</v>
      </c>
      <c r="G20" s="60" t="str">
        <f t="shared" si="0"/>
        <v>Gram Positive</v>
      </c>
      <c r="H20" s="61" t="s">
        <v>150</v>
      </c>
      <c r="I20" s="66" t="s">
        <v>265</v>
      </c>
      <c r="J20" s="42" t="s">
        <v>123</v>
      </c>
      <c r="K20" s="42">
        <f>ROWS($B$4:B20)</f>
        <v>17</v>
      </c>
      <c r="L20" s="42" t="str">
        <f t="shared" si="1"/>
        <v/>
      </c>
      <c r="M20" s="43" t="str">
        <f>IFERROR(SMALL(Table5[Helper 2],K20),"")</f>
        <v/>
      </c>
    </row>
    <row r="21" spans="2:13" ht="16" x14ac:dyDescent="0.2">
      <c r="B21" s="59" t="s">
        <v>27</v>
      </c>
      <c r="C21" s="60" t="s">
        <v>205</v>
      </c>
      <c r="D21" s="60" t="s">
        <v>132</v>
      </c>
      <c r="E21" s="60" t="s">
        <v>136</v>
      </c>
      <c r="F21" s="60" t="s">
        <v>136</v>
      </c>
      <c r="G21" s="60" t="str">
        <f t="shared" si="0"/>
        <v>Gram Positive</v>
      </c>
      <c r="H21" s="61" t="s">
        <v>151</v>
      </c>
      <c r="I21" s="66" t="s">
        <v>265</v>
      </c>
      <c r="J21" s="42" t="s">
        <v>123</v>
      </c>
      <c r="K21" s="42">
        <f>ROWS($B$4:B21)</f>
        <v>18</v>
      </c>
      <c r="L21" s="42" t="str">
        <f t="shared" si="1"/>
        <v/>
      </c>
      <c r="M21" s="43" t="str">
        <f>IFERROR(SMALL(Table5[Helper 2],K21),"")</f>
        <v/>
      </c>
    </row>
    <row r="22" spans="2:13" ht="16" x14ac:dyDescent="0.2">
      <c r="B22" s="59" t="s">
        <v>28</v>
      </c>
      <c r="C22" s="60" t="s">
        <v>205</v>
      </c>
      <c r="D22" s="60" t="s">
        <v>132</v>
      </c>
      <c r="E22" s="60" t="s">
        <v>136</v>
      </c>
      <c r="F22" s="60" t="s">
        <v>136</v>
      </c>
      <c r="G22" s="60" t="str">
        <f t="shared" si="0"/>
        <v>Gram Positive</v>
      </c>
      <c r="H22" s="61" t="s">
        <v>152</v>
      </c>
      <c r="I22" s="66" t="s">
        <v>265</v>
      </c>
      <c r="J22" s="42" t="s">
        <v>123</v>
      </c>
      <c r="K22" s="42">
        <f>ROWS($B$4:B22)</f>
        <v>19</v>
      </c>
      <c r="L22" s="42" t="str">
        <f t="shared" si="1"/>
        <v/>
      </c>
      <c r="M22" s="43" t="str">
        <f>IFERROR(SMALL(Table5[Helper 2],K22),"")</f>
        <v/>
      </c>
    </row>
    <row r="23" spans="2:13" ht="16" x14ac:dyDescent="0.2">
      <c r="B23" s="59" t="s">
        <v>29</v>
      </c>
      <c r="C23" s="60" t="s">
        <v>205</v>
      </c>
      <c r="D23" s="60" t="s">
        <v>132</v>
      </c>
      <c r="E23" s="60" t="s">
        <v>136</v>
      </c>
      <c r="F23" s="60" t="s">
        <v>136</v>
      </c>
      <c r="G23" s="60" t="str">
        <f t="shared" si="0"/>
        <v>Gram Positive</v>
      </c>
      <c r="H23" s="61" t="s">
        <v>153</v>
      </c>
      <c r="I23" s="66" t="s">
        <v>265</v>
      </c>
      <c r="J23" s="42" t="s">
        <v>123</v>
      </c>
      <c r="K23" s="42">
        <f>ROWS($B$4:B23)</f>
        <v>20</v>
      </c>
      <c r="L23" s="42" t="str">
        <f t="shared" si="1"/>
        <v/>
      </c>
      <c r="M23" s="43" t="str">
        <f>IFERROR(SMALL(Table5[Helper 2],K23),"")</f>
        <v/>
      </c>
    </row>
    <row r="24" spans="2:13" ht="16" x14ac:dyDescent="0.2">
      <c r="B24" s="59" t="s">
        <v>30</v>
      </c>
      <c r="C24" s="60" t="s">
        <v>205</v>
      </c>
      <c r="D24" s="60" t="s">
        <v>132</v>
      </c>
      <c r="E24" s="60" t="s">
        <v>133</v>
      </c>
      <c r="F24" s="60" t="s">
        <v>116</v>
      </c>
      <c r="G24" s="60" t="str">
        <f>IF(OR(ISNUMBER(SEARCH("B6*", B24)), ISNUMBER(SEARCH("B7*",B24)), ISNUMBER(SEARCH("B8*",B24)), ISNUMBER(SEARCH("B9*",B24)), ISNUMBER(SEARCH("B10*",B24))), "Gram Positive", "Gram Negative")</f>
        <v>Gram Negative</v>
      </c>
      <c r="H24" s="61" t="s">
        <v>154</v>
      </c>
      <c r="I24" s="66" t="s">
        <v>265</v>
      </c>
      <c r="J24" s="42" t="s">
        <v>116</v>
      </c>
      <c r="K24" s="42">
        <f>ROWS($B$4:B24)</f>
        <v>21</v>
      </c>
      <c r="L24" s="42" t="str">
        <f t="shared" si="1"/>
        <v/>
      </c>
      <c r="M24" s="43" t="str">
        <f>IFERROR(SMALL(Table5[Helper 2],K24),"")</f>
        <v/>
      </c>
    </row>
    <row r="25" spans="2:13" ht="16" x14ac:dyDescent="0.2">
      <c r="B25" s="59" t="s">
        <v>31</v>
      </c>
      <c r="C25" s="60" t="s">
        <v>205</v>
      </c>
      <c r="D25" s="60" t="s">
        <v>132</v>
      </c>
      <c r="E25" s="60" t="s">
        <v>133</v>
      </c>
      <c r="F25" s="60" t="s">
        <v>116</v>
      </c>
      <c r="G25" s="60" t="str">
        <f t="shared" ref="G25:G73" si="2">IF(OR(ISNUMBER(SEARCH("B6*", B25)), ISNUMBER(SEARCH("B7*",B25)), ISNUMBER(SEARCH("B8*",B25)), ISNUMBER(SEARCH("B9*",B25)), ISNUMBER(SEARCH("B10*",B25))), "Gram Positive", "Gram Negative")</f>
        <v>Gram Negative</v>
      </c>
      <c r="H25" s="61" t="s">
        <v>2</v>
      </c>
      <c r="I25" s="66" t="s">
        <v>265</v>
      </c>
      <c r="J25" s="42" t="s">
        <v>116</v>
      </c>
      <c r="K25" s="42">
        <f>ROWS($B$4:B25)</f>
        <v>22</v>
      </c>
      <c r="L25" s="42" t="str">
        <f t="shared" si="1"/>
        <v/>
      </c>
      <c r="M25" s="43" t="str">
        <f>IFERROR(SMALL(Table5[Helper 2],K25),"")</f>
        <v/>
      </c>
    </row>
    <row r="26" spans="2:13" ht="16" x14ac:dyDescent="0.2">
      <c r="B26" s="59" t="s">
        <v>32</v>
      </c>
      <c r="C26" s="60" t="s">
        <v>205</v>
      </c>
      <c r="D26" s="60" t="s">
        <v>132</v>
      </c>
      <c r="E26" s="60" t="s">
        <v>133</v>
      </c>
      <c r="F26" s="60" t="s">
        <v>116</v>
      </c>
      <c r="G26" s="60" t="str">
        <f t="shared" si="2"/>
        <v>Gram Negative</v>
      </c>
      <c r="H26" s="61" t="s">
        <v>89</v>
      </c>
      <c r="I26" s="66" t="s">
        <v>265</v>
      </c>
      <c r="J26" s="42" t="s">
        <v>116</v>
      </c>
      <c r="K26" s="42">
        <f>ROWS($B$4:B26)</f>
        <v>23</v>
      </c>
      <c r="L26" s="42" t="str">
        <f t="shared" si="1"/>
        <v/>
      </c>
      <c r="M26" s="43" t="str">
        <f>IFERROR(SMALL(Table5[Helper 2],K26),"")</f>
        <v/>
      </c>
    </row>
    <row r="27" spans="2:13" ht="16" x14ac:dyDescent="0.2">
      <c r="B27" s="59" t="s">
        <v>33</v>
      </c>
      <c r="C27" s="60" t="s">
        <v>205</v>
      </c>
      <c r="D27" s="60" t="s">
        <v>132</v>
      </c>
      <c r="E27" s="60" t="s">
        <v>133</v>
      </c>
      <c r="F27" s="60" t="s">
        <v>116</v>
      </c>
      <c r="G27" s="60" t="str">
        <f t="shared" si="2"/>
        <v>Gram Negative</v>
      </c>
      <c r="H27" s="61" t="s">
        <v>155</v>
      </c>
      <c r="I27" s="66" t="s">
        <v>265</v>
      </c>
      <c r="J27" s="42" t="s">
        <v>116</v>
      </c>
      <c r="K27" s="42">
        <f>ROWS($B$4:B27)</f>
        <v>24</v>
      </c>
      <c r="L27" s="42" t="str">
        <f t="shared" si="1"/>
        <v/>
      </c>
      <c r="M27" s="43" t="str">
        <f>IFERROR(SMALL(Table5[Helper 2],K27),"")</f>
        <v/>
      </c>
    </row>
    <row r="28" spans="2:13" ht="16" x14ac:dyDescent="0.2">
      <c r="B28" s="59" t="s">
        <v>34</v>
      </c>
      <c r="C28" s="60" t="s">
        <v>205</v>
      </c>
      <c r="D28" s="60" t="s">
        <v>132</v>
      </c>
      <c r="E28" s="60" t="s">
        <v>133</v>
      </c>
      <c r="F28" s="60" t="s">
        <v>116</v>
      </c>
      <c r="G28" s="60" t="str">
        <f t="shared" si="2"/>
        <v>Gram Negative</v>
      </c>
      <c r="H28" s="61" t="s">
        <v>156</v>
      </c>
      <c r="I28" s="66" t="s">
        <v>265</v>
      </c>
      <c r="J28" s="42" t="s">
        <v>116</v>
      </c>
      <c r="K28" s="42">
        <f>ROWS($B$4:B28)</f>
        <v>25</v>
      </c>
      <c r="L28" s="42" t="str">
        <f t="shared" si="1"/>
        <v/>
      </c>
      <c r="M28" s="43" t="str">
        <f>IFERROR(SMALL(Table5[Helper 2],K28),"")</f>
        <v/>
      </c>
    </row>
    <row r="29" spans="2:13" ht="16" x14ac:dyDescent="0.2">
      <c r="B29" s="59" t="s">
        <v>35</v>
      </c>
      <c r="C29" s="60" t="s">
        <v>205</v>
      </c>
      <c r="D29" s="60" t="s">
        <v>132</v>
      </c>
      <c r="E29" s="60" t="s">
        <v>133</v>
      </c>
      <c r="F29" s="60" t="s">
        <v>116</v>
      </c>
      <c r="G29" s="60" t="str">
        <f t="shared" si="2"/>
        <v>Gram Positive</v>
      </c>
      <c r="H29" s="61" t="s">
        <v>157</v>
      </c>
      <c r="I29" s="66" t="s">
        <v>265</v>
      </c>
      <c r="J29" s="42" t="s">
        <v>116</v>
      </c>
      <c r="K29" s="42">
        <f>ROWS($B$4:B29)</f>
        <v>26</v>
      </c>
      <c r="L29" s="42" t="str">
        <f t="shared" si="1"/>
        <v/>
      </c>
      <c r="M29" s="43" t="str">
        <f>IFERROR(SMALL(Table5[Helper 2],K29),"")</f>
        <v/>
      </c>
    </row>
    <row r="30" spans="2:13" ht="16" x14ac:dyDescent="0.2">
      <c r="B30" s="59" t="s">
        <v>36</v>
      </c>
      <c r="C30" s="60" t="s">
        <v>205</v>
      </c>
      <c r="D30" s="60" t="s">
        <v>132</v>
      </c>
      <c r="E30" s="60" t="s">
        <v>133</v>
      </c>
      <c r="F30" s="60" t="s">
        <v>116</v>
      </c>
      <c r="G30" s="60" t="str">
        <f t="shared" si="2"/>
        <v>Gram Positive</v>
      </c>
      <c r="H30" s="61" t="s">
        <v>158</v>
      </c>
      <c r="I30" s="66" t="s">
        <v>265</v>
      </c>
      <c r="J30" s="42" t="s">
        <v>116</v>
      </c>
      <c r="K30" s="42">
        <f>ROWS($B$4:B30)</f>
        <v>27</v>
      </c>
      <c r="L30" s="42" t="str">
        <f t="shared" si="1"/>
        <v/>
      </c>
      <c r="M30" s="43" t="str">
        <f>IFERROR(SMALL(Table5[Helper 2],K30),"")</f>
        <v/>
      </c>
    </row>
    <row r="31" spans="2:13" ht="16" x14ac:dyDescent="0.2">
      <c r="B31" s="59" t="s">
        <v>37</v>
      </c>
      <c r="C31" s="60" t="s">
        <v>205</v>
      </c>
      <c r="D31" s="60" t="s">
        <v>132</v>
      </c>
      <c r="E31" s="60" t="s">
        <v>133</v>
      </c>
      <c r="F31" s="60" t="s">
        <v>116</v>
      </c>
      <c r="G31" s="60" t="str">
        <f t="shared" si="2"/>
        <v>Gram Positive</v>
      </c>
      <c r="H31" s="61" t="s">
        <v>159</v>
      </c>
      <c r="I31" s="66" t="s">
        <v>261</v>
      </c>
      <c r="J31" s="42" t="s">
        <v>116</v>
      </c>
      <c r="K31" s="42">
        <f>ROWS($B$4:B31)</f>
        <v>28</v>
      </c>
      <c r="L31" s="42" t="str">
        <f t="shared" si="1"/>
        <v/>
      </c>
      <c r="M31" s="43" t="str">
        <f>IFERROR(SMALL(Table5[Helper 2],K31),"")</f>
        <v/>
      </c>
    </row>
    <row r="32" spans="2:13" ht="16" x14ac:dyDescent="0.2">
      <c r="B32" s="59" t="s">
        <v>38</v>
      </c>
      <c r="C32" s="60" t="s">
        <v>205</v>
      </c>
      <c r="D32" s="60" t="s">
        <v>132</v>
      </c>
      <c r="E32" s="60" t="s">
        <v>133</v>
      </c>
      <c r="F32" s="60" t="s">
        <v>116</v>
      </c>
      <c r="G32" s="60" t="str">
        <f t="shared" si="2"/>
        <v>Gram Positive</v>
      </c>
      <c r="H32" s="61" t="s">
        <v>160</v>
      </c>
      <c r="I32" s="66" t="s">
        <v>265</v>
      </c>
      <c r="J32" s="42" t="s">
        <v>116</v>
      </c>
      <c r="K32" s="42">
        <f>ROWS($B$4:B32)</f>
        <v>29</v>
      </c>
      <c r="L32" s="42" t="str">
        <f t="shared" si="1"/>
        <v/>
      </c>
      <c r="M32" s="43" t="str">
        <f>IFERROR(SMALL(Table5[Helper 2],K32),"")</f>
        <v/>
      </c>
    </row>
    <row r="33" spans="2:13" ht="16" x14ac:dyDescent="0.2">
      <c r="B33" s="59" t="s">
        <v>39</v>
      </c>
      <c r="C33" s="60" t="s">
        <v>205</v>
      </c>
      <c r="D33" s="60" t="s">
        <v>132</v>
      </c>
      <c r="E33" s="60" t="s">
        <v>133</v>
      </c>
      <c r="F33" s="60" t="s">
        <v>116</v>
      </c>
      <c r="G33" s="60" t="str">
        <f t="shared" si="2"/>
        <v>Gram Positive</v>
      </c>
      <c r="H33" s="61" t="s">
        <v>161</v>
      </c>
      <c r="I33" s="66" t="s">
        <v>265</v>
      </c>
      <c r="J33" s="42" t="s">
        <v>116</v>
      </c>
      <c r="K33" s="42">
        <f>ROWS($B$4:B33)</f>
        <v>30</v>
      </c>
      <c r="L33" s="42" t="str">
        <f t="shared" si="1"/>
        <v/>
      </c>
      <c r="M33" s="43" t="str">
        <f>IFERROR(SMALL(Table5[Helper 2],K33),"")</f>
        <v/>
      </c>
    </row>
    <row r="34" spans="2:13" ht="16" x14ac:dyDescent="0.2">
      <c r="B34" s="59" t="s">
        <v>40</v>
      </c>
      <c r="C34" s="60" t="s">
        <v>205</v>
      </c>
      <c r="D34" s="60" t="s">
        <v>132</v>
      </c>
      <c r="E34" s="60" t="s">
        <v>133</v>
      </c>
      <c r="F34" s="60" t="s">
        <v>130</v>
      </c>
      <c r="G34" s="60" t="str">
        <f t="shared" si="2"/>
        <v>Gram Negative</v>
      </c>
      <c r="H34" s="61" t="s">
        <v>162</v>
      </c>
      <c r="I34" s="66" t="s">
        <v>265</v>
      </c>
      <c r="J34" s="42" t="s">
        <v>130</v>
      </c>
      <c r="K34" s="42">
        <f>ROWS($B$4:B34)</f>
        <v>31</v>
      </c>
      <c r="L34" s="42" t="str">
        <f t="shared" si="1"/>
        <v/>
      </c>
      <c r="M34" s="43" t="str">
        <f>IFERROR(SMALL(Table5[Helper 2],K34),"")</f>
        <v/>
      </c>
    </row>
    <row r="35" spans="2:13" ht="16" x14ac:dyDescent="0.2">
      <c r="B35" s="59" t="s">
        <v>41</v>
      </c>
      <c r="C35" s="60" t="s">
        <v>205</v>
      </c>
      <c r="D35" s="60" t="s">
        <v>132</v>
      </c>
      <c r="E35" s="60" t="s">
        <v>133</v>
      </c>
      <c r="F35" s="60" t="s">
        <v>130</v>
      </c>
      <c r="G35" s="60" t="str">
        <f t="shared" si="2"/>
        <v>Gram Negative</v>
      </c>
      <c r="H35" s="61" t="s">
        <v>3</v>
      </c>
      <c r="I35" s="66" t="s">
        <v>265</v>
      </c>
      <c r="J35" s="42" t="s">
        <v>130</v>
      </c>
      <c r="K35" s="42">
        <f>ROWS($B$4:B35)</f>
        <v>32</v>
      </c>
      <c r="L35" s="42" t="str">
        <f t="shared" si="1"/>
        <v/>
      </c>
      <c r="M35" s="43" t="str">
        <f>IFERROR(SMALL(Table5[Helper 2],K35),"")</f>
        <v/>
      </c>
    </row>
    <row r="36" spans="2:13" ht="16" x14ac:dyDescent="0.2">
      <c r="B36" s="59" t="s">
        <v>42</v>
      </c>
      <c r="C36" s="60" t="s">
        <v>205</v>
      </c>
      <c r="D36" s="60" t="s">
        <v>132</v>
      </c>
      <c r="E36" s="60" t="s">
        <v>133</v>
      </c>
      <c r="F36" s="60" t="s">
        <v>130</v>
      </c>
      <c r="G36" s="60" t="str">
        <f t="shared" si="2"/>
        <v>Gram Negative</v>
      </c>
      <c r="H36" s="61" t="s">
        <v>90</v>
      </c>
      <c r="I36" s="66" t="s">
        <v>265</v>
      </c>
      <c r="J36" s="42" t="s">
        <v>130</v>
      </c>
      <c r="K36" s="42">
        <f>ROWS($B$4:B36)</f>
        <v>33</v>
      </c>
      <c r="L36" s="42" t="str">
        <f t="shared" si="1"/>
        <v/>
      </c>
      <c r="M36" s="43" t="str">
        <f>IFERROR(SMALL(Table5[Helper 2],K36),"")</f>
        <v/>
      </c>
    </row>
    <row r="37" spans="2:13" ht="16" x14ac:dyDescent="0.2">
      <c r="B37" s="59" t="s">
        <v>43</v>
      </c>
      <c r="C37" s="60" t="s">
        <v>205</v>
      </c>
      <c r="D37" s="60" t="s">
        <v>132</v>
      </c>
      <c r="E37" s="60" t="s">
        <v>133</v>
      </c>
      <c r="F37" s="60" t="s">
        <v>130</v>
      </c>
      <c r="G37" s="60" t="str">
        <f t="shared" si="2"/>
        <v>Gram Negative</v>
      </c>
      <c r="H37" s="61" t="s">
        <v>163</v>
      </c>
      <c r="I37" s="66" t="s">
        <v>265</v>
      </c>
      <c r="J37" s="42" t="s">
        <v>130</v>
      </c>
      <c r="K37" s="42">
        <f>ROWS($B$4:B37)</f>
        <v>34</v>
      </c>
      <c r="L37" s="42" t="str">
        <f t="shared" si="1"/>
        <v/>
      </c>
      <c r="M37" s="43" t="str">
        <f>IFERROR(SMALL(Table5[Helper 2],K37),"")</f>
        <v/>
      </c>
    </row>
    <row r="38" spans="2:13" ht="16" x14ac:dyDescent="0.2">
      <c r="B38" s="59" t="s">
        <v>44</v>
      </c>
      <c r="C38" s="60" t="s">
        <v>205</v>
      </c>
      <c r="D38" s="60" t="s">
        <v>132</v>
      </c>
      <c r="E38" s="60" t="s">
        <v>133</v>
      </c>
      <c r="F38" s="60" t="s">
        <v>130</v>
      </c>
      <c r="G38" s="60" t="str">
        <f t="shared" si="2"/>
        <v>Gram Negative</v>
      </c>
      <c r="H38" s="61" t="s">
        <v>164</v>
      </c>
      <c r="I38" s="66" t="s">
        <v>265</v>
      </c>
      <c r="J38" s="42" t="s">
        <v>130</v>
      </c>
      <c r="K38" s="42">
        <f>ROWS($B$4:B38)</f>
        <v>35</v>
      </c>
      <c r="L38" s="42" t="str">
        <f t="shared" si="1"/>
        <v/>
      </c>
      <c r="M38" s="43" t="str">
        <f>IFERROR(SMALL(Table5[Helper 2],K38),"")</f>
        <v/>
      </c>
    </row>
    <row r="39" spans="2:13" ht="16" x14ac:dyDescent="0.2">
      <c r="B39" s="59" t="s">
        <v>45</v>
      </c>
      <c r="C39" s="60" t="s">
        <v>205</v>
      </c>
      <c r="D39" s="60" t="s">
        <v>132</v>
      </c>
      <c r="E39" s="60" t="s">
        <v>133</v>
      </c>
      <c r="F39" s="60" t="s">
        <v>130</v>
      </c>
      <c r="G39" s="60" t="str">
        <f t="shared" si="2"/>
        <v>Gram Positive</v>
      </c>
      <c r="H39" s="61" t="s">
        <v>165</v>
      </c>
      <c r="I39" s="66" t="s">
        <v>265</v>
      </c>
      <c r="J39" s="42" t="s">
        <v>130</v>
      </c>
      <c r="K39" s="42">
        <f>ROWS($B$4:B39)</f>
        <v>36</v>
      </c>
      <c r="L39" s="42" t="str">
        <f t="shared" si="1"/>
        <v/>
      </c>
      <c r="M39" s="43" t="str">
        <f>IFERROR(SMALL(Table5[Helper 2],K39),"")</f>
        <v/>
      </c>
    </row>
    <row r="40" spans="2:13" ht="16" x14ac:dyDescent="0.2">
      <c r="B40" s="59" t="s">
        <v>46</v>
      </c>
      <c r="C40" s="60" t="s">
        <v>205</v>
      </c>
      <c r="D40" s="60" t="s">
        <v>132</v>
      </c>
      <c r="E40" s="60" t="s">
        <v>133</v>
      </c>
      <c r="F40" s="60" t="s">
        <v>130</v>
      </c>
      <c r="G40" s="60" t="str">
        <f t="shared" si="2"/>
        <v>Gram Positive</v>
      </c>
      <c r="H40" s="61" t="s">
        <v>166</v>
      </c>
      <c r="I40" s="66" t="s">
        <v>261</v>
      </c>
      <c r="J40" s="42" t="s">
        <v>130</v>
      </c>
      <c r="K40" s="42">
        <f>ROWS($B$4:B40)</f>
        <v>37</v>
      </c>
      <c r="L40" s="42" t="str">
        <f t="shared" si="1"/>
        <v/>
      </c>
      <c r="M40" s="43" t="str">
        <f>IFERROR(SMALL(Table5[Helper 2],K40),"")</f>
        <v/>
      </c>
    </row>
    <row r="41" spans="2:13" ht="16" x14ac:dyDescent="0.2">
      <c r="B41" s="59" t="s">
        <v>47</v>
      </c>
      <c r="C41" s="60" t="s">
        <v>205</v>
      </c>
      <c r="D41" s="60" t="s">
        <v>132</v>
      </c>
      <c r="E41" s="60" t="s">
        <v>133</v>
      </c>
      <c r="F41" s="60" t="s">
        <v>130</v>
      </c>
      <c r="G41" s="60" t="str">
        <f t="shared" si="2"/>
        <v>Gram Positive</v>
      </c>
      <c r="H41" s="61" t="s">
        <v>167</v>
      </c>
      <c r="I41" s="66" t="s">
        <v>265</v>
      </c>
      <c r="J41" s="42" t="s">
        <v>130</v>
      </c>
      <c r="K41" s="42">
        <f>ROWS($B$4:B41)</f>
        <v>38</v>
      </c>
      <c r="L41" s="42" t="str">
        <f t="shared" si="1"/>
        <v/>
      </c>
      <c r="M41" s="43" t="str">
        <f>IFERROR(SMALL(Table5[Helper 2],K41),"")</f>
        <v/>
      </c>
    </row>
    <row r="42" spans="2:13" ht="16" x14ac:dyDescent="0.2">
      <c r="B42" s="59" t="s">
        <v>48</v>
      </c>
      <c r="C42" s="60" t="s">
        <v>205</v>
      </c>
      <c r="D42" s="60" t="s">
        <v>132</v>
      </c>
      <c r="E42" s="60" t="s">
        <v>133</v>
      </c>
      <c r="F42" s="60" t="s">
        <v>130</v>
      </c>
      <c r="G42" s="60" t="str">
        <f t="shared" si="2"/>
        <v>Gram Positive</v>
      </c>
      <c r="H42" s="61" t="s">
        <v>168</v>
      </c>
      <c r="I42" s="66" t="s">
        <v>265</v>
      </c>
      <c r="J42" s="42" t="s">
        <v>130</v>
      </c>
      <c r="K42" s="42">
        <f>ROWS($B$4:B42)</f>
        <v>39</v>
      </c>
      <c r="L42" s="42" t="str">
        <f t="shared" si="1"/>
        <v/>
      </c>
      <c r="M42" s="43" t="str">
        <f>IFERROR(SMALL(Table5[Helper 2],K42),"")</f>
        <v/>
      </c>
    </row>
    <row r="43" spans="2:13" ht="16" x14ac:dyDescent="0.2">
      <c r="B43" s="59" t="s">
        <v>49</v>
      </c>
      <c r="C43" s="60" t="s">
        <v>205</v>
      </c>
      <c r="D43" s="60" t="s">
        <v>132</v>
      </c>
      <c r="E43" s="60" t="s">
        <v>133</v>
      </c>
      <c r="F43" s="60" t="s">
        <v>130</v>
      </c>
      <c r="G43" s="60" t="str">
        <f t="shared" si="2"/>
        <v>Gram Positive</v>
      </c>
      <c r="H43" s="61" t="s">
        <v>169</v>
      </c>
      <c r="I43" s="66" t="s">
        <v>265</v>
      </c>
      <c r="J43" s="42" t="s">
        <v>130</v>
      </c>
      <c r="K43" s="42">
        <f>ROWS($B$4:B43)</f>
        <v>40</v>
      </c>
      <c r="L43" s="42" t="str">
        <f t="shared" si="1"/>
        <v/>
      </c>
      <c r="M43" s="43" t="str">
        <f>IFERROR(SMALL(Table5[Helper 2],K43),"")</f>
        <v/>
      </c>
    </row>
    <row r="44" spans="2:13" ht="16" x14ac:dyDescent="0.2">
      <c r="B44" s="59" t="s">
        <v>51</v>
      </c>
      <c r="C44" s="60" t="s">
        <v>205</v>
      </c>
      <c r="D44" s="60" t="s">
        <v>132</v>
      </c>
      <c r="E44" s="60" t="s">
        <v>133</v>
      </c>
      <c r="F44" s="60" t="s">
        <v>117</v>
      </c>
      <c r="G44" s="60" t="str">
        <f t="shared" si="2"/>
        <v>Gram Negative</v>
      </c>
      <c r="H44" s="61" t="s">
        <v>170</v>
      </c>
      <c r="I44" s="66" t="s">
        <v>265</v>
      </c>
      <c r="J44" s="42" t="s">
        <v>117</v>
      </c>
      <c r="K44" s="42">
        <f>ROWS($B$4:B44)</f>
        <v>41</v>
      </c>
      <c r="L44" s="42">
        <f t="shared" si="1"/>
        <v>41</v>
      </c>
      <c r="M44" s="43" t="str">
        <f>IFERROR(SMALL(Table5[Helper 2],K44),"")</f>
        <v/>
      </c>
    </row>
    <row r="45" spans="2:13" ht="16" x14ac:dyDescent="0.2">
      <c r="B45" s="59" t="s">
        <v>52</v>
      </c>
      <c r="C45" s="60" t="s">
        <v>205</v>
      </c>
      <c r="D45" s="60" t="s">
        <v>132</v>
      </c>
      <c r="E45" s="60" t="s">
        <v>133</v>
      </c>
      <c r="F45" s="60" t="s">
        <v>117</v>
      </c>
      <c r="G45" s="60" t="str">
        <f t="shared" si="2"/>
        <v>Gram Negative</v>
      </c>
      <c r="H45" s="61" t="s">
        <v>4</v>
      </c>
      <c r="I45" s="66" t="s">
        <v>265</v>
      </c>
      <c r="J45" s="42" t="s">
        <v>117</v>
      </c>
      <c r="K45" s="42">
        <f>ROWS($B$4:B45)</f>
        <v>42</v>
      </c>
      <c r="L45" s="42">
        <f t="shared" si="1"/>
        <v>42</v>
      </c>
      <c r="M45" s="43" t="str">
        <f>IFERROR(SMALL(Table5[Helper 2],K45),"")</f>
        <v/>
      </c>
    </row>
    <row r="46" spans="2:13" ht="16" x14ac:dyDescent="0.2">
      <c r="B46" s="59" t="s">
        <v>53</v>
      </c>
      <c r="C46" s="60" t="s">
        <v>205</v>
      </c>
      <c r="D46" s="60" t="s">
        <v>132</v>
      </c>
      <c r="E46" s="60" t="s">
        <v>133</v>
      </c>
      <c r="F46" s="60" t="s">
        <v>117</v>
      </c>
      <c r="G46" s="60" t="str">
        <f t="shared" si="2"/>
        <v>Gram Negative</v>
      </c>
      <c r="H46" s="61" t="s">
        <v>21</v>
      </c>
      <c r="I46" s="66" t="s">
        <v>265</v>
      </c>
      <c r="J46" s="42" t="s">
        <v>117</v>
      </c>
      <c r="K46" s="42">
        <f>ROWS($B$4:B46)</f>
        <v>43</v>
      </c>
      <c r="L46" s="42">
        <f t="shared" si="1"/>
        <v>43</v>
      </c>
      <c r="M46" s="43" t="str">
        <f>IFERROR(SMALL(Table5[Helper 2],K46),"")</f>
        <v/>
      </c>
    </row>
    <row r="47" spans="2:13" ht="16" x14ac:dyDescent="0.2">
      <c r="B47" s="59" t="s">
        <v>54</v>
      </c>
      <c r="C47" s="60" t="s">
        <v>205</v>
      </c>
      <c r="D47" s="60" t="s">
        <v>132</v>
      </c>
      <c r="E47" s="60" t="s">
        <v>133</v>
      </c>
      <c r="F47" s="60" t="s">
        <v>117</v>
      </c>
      <c r="G47" s="60" t="str">
        <f t="shared" si="2"/>
        <v>Gram Negative</v>
      </c>
      <c r="H47" s="61" t="s">
        <v>171</v>
      </c>
      <c r="I47" s="66" t="s">
        <v>265</v>
      </c>
      <c r="J47" s="42" t="s">
        <v>117</v>
      </c>
      <c r="K47" s="42">
        <f>ROWS($B$4:B47)</f>
        <v>44</v>
      </c>
      <c r="L47" s="42">
        <f t="shared" si="1"/>
        <v>44</v>
      </c>
      <c r="M47" s="43" t="str">
        <f>IFERROR(SMALL(Table5[Helper 2],K47),"")</f>
        <v/>
      </c>
    </row>
    <row r="48" spans="2:13" ht="16" x14ac:dyDescent="0.2">
      <c r="B48" s="59" t="s">
        <v>55</v>
      </c>
      <c r="C48" s="60" t="s">
        <v>205</v>
      </c>
      <c r="D48" s="60" t="s">
        <v>132</v>
      </c>
      <c r="E48" s="60" t="s">
        <v>133</v>
      </c>
      <c r="F48" s="60" t="s">
        <v>117</v>
      </c>
      <c r="G48" s="60" t="str">
        <f t="shared" si="2"/>
        <v>Gram Negative</v>
      </c>
      <c r="H48" s="61" t="s">
        <v>172</v>
      </c>
      <c r="I48" s="66" t="s">
        <v>265</v>
      </c>
      <c r="J48" s="42" t="s">
        <v>117</v>
      </c>
      <c r="K48" s="42">
        <f>ROWS($B$4:B48)</f>
        <v>45</v>
      </c>
      <c r="L48" s="42">
        <f t="shared" si="1"/>
        <v>45</v>
      </c>
      <c r="M48" s="43" t="str">
        <f>IFERROR(SMALL(Table5[Helper 2],K48),"")</f>
        <v/>
      </c>
    </row>
    <row r="49" spans="2:13" ht="16" x14ac:dyDescent="0.2">
      <c r="B49" s="59" t="s">
        <v>56</v>
      </c>
      <c r="C49" s="60" t="s">
        <v>205</v>
      </c>
      <c r="D49" s="60" t="s">
        <v>132</v>
      </c>
      <c r="E49" s="60" t="s">
        <v>133</v>
      </c>
      <c r="F49" s="60" t="s">
        <v>117</v>
      </c>
      <c r="G49" s="60" t="str">
        <f t="shared" si="2"/>
        <v>Gram Positive</v>
      </c>
      <c r="H49" s="61" t="s">
        <v>173</v>
      </c>
      <c r="I49" s="66" t="s">
        <v>265</v>
      </c>
      <c r="J49" s="42" t="s">
        <v>117</v>
      </c>
      <c r="K49" s="42">
        <f>ROWS($B$4:B49)</f>
        <v>46</v>
      </c>
      <c r="L49" s="42">
        <f t="shared" si="1"/>
        <v>46</v>
      </c>
      <c r="M49" s="43" t="str">
        <f>IFERROR(SMALL(Table5[Helper 2],K49),"")</f>
        <v/>
      </c>
    </row>
    <row r="50" spans="2:13" ht="16" x14ac:dyDescent="0.2">
      <c r="B50" s="59" t="s">
        <v>57</v>
      </c>
      <c r="C50" s="60" t="s">
        <v>205</v>
      </c>
      <c r="D50" s="60" t="s">
        <v>132</v>
      </c>
      <c r="E50" s="60" t="s">
        <v>133</v>
      </c>
      <c r="F50" s="60" t="s">
        <v>117</v>
      </c>
      <c r="G50" s="60" t="str">
        <f t="shared" si="2"/>
        <v>Gram Positive</v>
      </c>
      <c r="H50" s="61" t="s">
        <v>174</v>
      </c>
      <c r="I50" s="66" t="s">
        <v>265</v>
      </c>
      <c r="J50" s="42" t="s">
        <v>117</v>
      </c>
      <c r="K50" s="42">
        <f>ROWS($B$4:B50)</f>
        <v>47</v>
      </c>
      <c r="L50" s="42">
        <f t="shared" si="1"/>
        <v>47</v>
      </c>
      <c r="M50" s="43" t="str">
        <f>IFERROR(SMALL(Table5[Helper 2],K50),"")</f>
        <v/>
      </c>
    </row>
    <row r="51" spans="2:13" ht="16" x14ac:dyDescent="0.2">
      <c r="B51" s="59" t="s">
        <v>58</v>
      </c>
      <c r="C51" s="60" t="s">
        <v>205</v>
      </c>
      <c r="D51" s="60" t="s">
        <v>132</v>
      </c>
      <c r="E51" s="60" t="s">
        <v>133</v>
      </c>
      <c r="F51" s="60" t="s">
        <v>117</v>
      </c>
      <c r="G51" s="60" t="str">
        <f t="shared" si="2"/>
        <v>Gram Positive</v>
      </c>
      <c r="H51" s="61" t="s">
        <v>175</v>
      </c>
      <c r="I51" s="66" t="s">
        <v>265</v>
      </c>
      <c r="J51" s="42" t="s">
        <v>117</v>
      </c>
      <c r="K51" s="42">
        <f>ROWS($B$4:B51)</f>
        <v>48</v>
      </c>
      <c r="L51" s="42">
        <f t="shared" si="1"/>
        <v>48</v>
      </c>
      <c r="M51" s="43" t="str">
        <f>IFERROR(SMALL(Table5[Helper 2],K51),"")</f>
        <v/>
      </c>
    </row>
    <row r="52" spans="2:13" ht="16" x14ac:dyDescent="0.2">
      <c r="B52" s="59" t="s">
        <v>59</v>
      </c>
      <c r="C52" s="60" t="s">
        <v>205</v>
      </c>
      <c r="D52" s="60" t="s">
        <v>132</v>
      </c>
      <c r="E52" s="60" t="s">
        <v>133</v>
      </c>
      <c r="F52" s="60" t="s">
        <v>117</v>
      </c>
      <c r="G52" s="60" t="str">
        <f t="shared" si="2"/>
        <v>Gram Positive</v>
      </c>
      <c r="H52" s="61" t="s">
        <v>176</v>
      </c>
      <c r="I52" s="66" t="s">
        <v>265</v>
      </c>
      <c r="J52" s="42" t="s">
        <v>117</v>
      </c>
      <c r="K52" s="42">
        <f>ROWS($B$4:B52)</f>
        <v>49</v>
      </c>
      <c r="L52" s="42">
        <f t="shared" si="1"/>
        <v>49</v>
      </c>
      <c r="M52" s="43" t="str">
        <f>IFERROR(SMALL(Table5[Helper 2],K52),"")</f>
        <v/>
      </c>
    </row>
    <row r="53" spans="2:13" ht="16" x14ac:dyDescent="0.2">
      <c r="B53" s="59" t="s">
        <v>60</v>
      </c>
      <c r="C53" s="60" t="s">
        <v>205</v>
      </c>
      <c r="D53" s="60" t="s">
        <v>132</v>
      </c>
      <c r="E53" s="60" t="s">
        <v>133</v>
      </c>
      <c r="F53" s="60" t="s">
        <v>117</v>
      </c>
      <c r="G53" s="60" t="str">
        <f t="shared" si="2"/>
        <v>Gram Positive</v>
      </c>
      <c r="H53" s="61" t="s">
        <v>179</v>
      </c>
      <c r="I53" s="66" t="s">
        <v>265</v>
      </c>
      <c r="J53" s="42" t="s">
        <v>117</v>
      </c>
      <c r="K53" s="42">
        <f>ROWS($B$4:B53)</f>
        <v>50</v>
      </c>
      <c r="L53" s="42">
        <f t="shared" si="1"/>
        <v>50</v>
      </c>
      <c r="M53" s="43" t="str">
        <f>IFERROR(SMALL(Table5[Helper 2],K53),"")</f>
        <v/>
      </c>
    </row>
    <row r="54" spans="2:13" ht="16" x14ac:dyDescent="0.2">
      <c r="B54" s="59" t="s">
        <v>61</v>
      </c>
      <c r="C54" s="60" t="s">
        <v>205</v>
      </c>
      <c r="D54" s="60" t="s">
        <v>132</v>
      </c>
      <c r="E54" s="60" t="s">
        <v>133</v>
      </c>
      <c r="F54" s="60" t="s">
        <v>118</v>
      </c>
      <c r="G54" s="60" t="str">
        <f t="shared" si="2"/>
        <v>Gram Negative</v>
      </c>
      <c r="H54" s="61" t="s">
        <v>177</v>
      </c>
      <c r="I54" s="66" t="s">
        <v>265</v>
      </c>
      <c r="J54" s="42" t="s">
        <v>118</v>
      </c>
      <c r="K54" s="42">
        <f>ROWS($B$4:B54)</f>
        <v>51</v>
      </c>
      <c r="L54" s="42" t="str">
        <f t="shared" si="1"/>
        <v/>
      </c>
      <c r="M54" s="43" t="str">
        <f>IFERROR(SMALL(Table5[Helper 2],K54),"")</f>
        <v/>
      </c>
    </row>
    <row r="55" spans="2:13" ht="16" x14ac:dyDescent="0.2">
      <c r="B55" s="59" t="s">
        <v>62</v>
      </c>
      <c r="C55" s="60" t="s">
        <v>205</v>
      </c>
      <c r="D55" s="60" t="s">
        <v>132</v>
      </c>
      <c r="E55" s="60" t="s">
        <v>133</v>
      </c>
      <c r="F55" s="60" t="s">
        <v>118</v>
      </c>
      <c r="G55" s="60" t="str">
        <f t="shared" si="2"/>
        <v>Gram Negative</v>
      </c>
      <c r="H55" s="61" t="s">
        <v>5</v>
      </c>
      <c r="I55" s="66" t="s">
        <v>265</v>
      </c>
      <c r="J55" s="42" t="s">
        <v>118</v>
      </c>
      <c r="K55" s="42">
        <f>ROWS($B$4:B55)</f>
        <v>52</v>
      </c>
      <c r="L55" s="42" t="str">
        <f t="shared" si="1"/>
        <v/>
      </c>
      <c r="M55" s="43" t="str">
        <f>IFERROR(SMALL(Table5[Helper 2],K55),"")</f>
        <v/>
      </c>
    </row>
    <row r="56" spans="2:13" ht="16" x14ac:dyDescent="0.2">
      <c r="B56" s="59" t="s">
        <v>63</v>
      </c>
      <c r="C56" s="60" t="s">
        <v>205</v>
      </c>
      <c r="D56" s="60" t="s">
        <v>132</v>
      </c>
      <c r="E56" s="60" t="s">
        <v>133</v>
      </c>
      <c r="F56" s="60" t="s">
        <v>118</v>
      </c>
      <c r="G56" s="60" t="str">
        <f t="shared" si="2"/>
        <v>Gram Negative</v>
      </c>
      <c r="H56" s="61" t="s">
        <v>22</v>
      </c>
      <c r="I56" s="66" t="s">
        <v>265</v>
      </c>
      <c r="J56" s="42" t="s">
        <v>118</v>
      </c>
      <c r="K56" s="42">
        <f>ROWS($B$4:B56)</f>
        <v>53</v>
      </c>
      <c r="L56" s="42" t="str">
        <f t="shared" si="1"/>
        <v/>
      </c>
      <c r="M56" s="43" t="str">
        <f>IFERROR(SMALL(Table5[Helper 2],K56),"")</f>
        <v/>
      </c>
    </row>
    <row r="57" spans="2:13" ht="16" x14ac:dyDescent="0.2">
      <c r="B57" s="59" t="s">
        <v>64</v>
      </c>
      <c r="C57" s="60" t="s">
        <v>205</v>
      </c>
      <c r="D57" s="60" t="s">
        <v>132</v>
      </c>
      <c r="E57" s="60" t="s">
        <v>133</v>
      </c>
      <c r="F57" s="60" t="s">
        <v>118</v>
      </c>
      <c r="G57" s="60" t="str">
        <f t="shared" si="2"/>
        <v>Gram Negative</v>
      </c>
      <c r="H57" s="61" t="s">
        <v>180</v>
      </c>
      <c r="I57" s="66" t="s">
        <v>265</v>
      </c>
      <c r="J57" s="42" t="s">
        <v>118</v>
      </c>
      <c r="K57" s="42">
        <f>ROWS($B$4:B57)</f>
        <v>54</v>
      </c>
      <c r="L57" s="42" t="str">
        <f t="shared" si="1"/>
        <v/>
      </c>
      <c r="M57" s="43" t="str">
        <f>IFERROR(SMALL(Table5[Helper 2],K57),"")</f>
        <v/>
      </c>
    </row>
    <row r="58" spans="2:13" ht="16" x14ac:dyDescent="0.2">
      <c r="B58" s="59" t="s">
        <v>65</v>
      </c>
      <c r="C58" s="60" t="s">
        <v>205</v>
      </c>
      <c r="D58" s="60" t="s">
        <v>132</v>
      </c>
      <c r="E58" s="60" t="s">
        <v>133</v>
      </c>
      <c r="F58" s="60" t="s">
        <v>118</v>
      </c>
      <c r="G58" s="60" t="str">
        <f t="shared" si="2"/>
        <v>Gram Negative</v>
      </c>
      <c r="H58" s="61" t="s">
        <v>181</v>
      </c>
      <c r="I58" s="66" t="s">
        <v>265</v>
      </c>
      <c r="J58" s="42" t="s">
        <v>118</v>
      </c>
      <c r="K58" s="42">
        <f>ROWS($B$4:B58)</f>
        <v>55</v>
      </c>
      <c r="L58" s="42" t="str">
        <f t="shared" si="1"/>
        <v/>
      </c>
      <c r="M58" s="43" t="str">
        <f>IFERROR(SMALL(Table5[Helper 2],K58),"")</f>
        <v/>
      </c>
    </row>
    <row r="59" spans="2:13" ht="16" x14ac:dyDescent="0.2">
      <c r="B59" s="59" t="s">
        <v>66</v>
      </c>
      <c r="C59" s="60" t="s">
        <v>205</v>
      </c>
      <c r="D59" s="60" t="s">
        <v>132</v>
      </c>
      <c r="E59" s="60" t="s">
        <v>133</v>
      </c>
      <c r="F59" s="60" t="s">
        <v>118</v>
      </c>
      <c r="G59" s="60" t="str">
        <f t="shared" si="2"/>
        <v>Gram Positive</v>
      </c>
      <c r="H59" s="61" t="s">
        <v>182</v>
      </c>
      <c r="I59" s="66" t="s">
        <v>265</v>
      </c>
      <c r="J59" s="42" t="s">
        <v>118</v>
      </c>
      <c r="K59" s="42">
        <f>ROWS($B$4:B59)</f>
        <v>56</v>
      </c>
      <c r="L59" s="42" t="str">
        <f t="shared" si="1"/>
        <v/>
      </c>
      <c r="M59" s="43" t="str">
        <f>IFERROR(SMALL(Table5[Helper 2],K59),"")</f>
        <v/>
      </c>
    </row>
    <row r="60" spans="2:13" ht="16" x14ac:dyDescent="0.2">
      <c r="B60" s="59" t="s">
        <v>67</v>
      </c>
      <c r="C60" s="60" t="s">
        <v>205</v>
      </c>
      <c r="D60" s="60" t="s">
        <v>132</v>
      </c>
      <c r="E60" s="60" t="s">
        <v>133</v>
      </c>
      <c r="F60" s="60" t="s">
        <v>118</v>
      </c>
      <c r="G60" s="60" t="str">
        <f t="shared" si="2"/>
        <v>Gram Positive</v>
      </c>
      <c r="H60" s="61" t="s">
        <v>183</v>
      </c>
      <c r="I60" s="66" t="s">
        <v>265</v>
      </c>
      <c r="J60" s="42" t="s">
        <v>118</v>
      </c>
      <c r="K60" s="42">
        <f>ROWS($B$4:B60)</f>
        <v>57</v>
      </c>
      <c r="L60" s="42" t="str">
        <f t="shared" si="1"/>
        <v/>
      </c>
      <c r="M60" s="43" t="str">
        <f>IFERROR(SMALL(Table5[Helper 2],K60),"")</f>
        <v/>
      </c>
    </row>
    <row r="61" spans="2:13" ht="16" x14ac:dyDescent="0.2">
      <c r="B61" s="59" t="s">
        <v>68</v>
      </c>
      <c r="C61" s="60" t="s">
        <v>205</v>
      </c>
      <c r="D61" s="60" t="s">
        <v>132</v>
      </c>
      <c r="E61" s="60" t="s">
        <v>133</v>
      </c>
      <c r="F61" s="60" t="s">
        <v>118</v>
      </c>
      <c r="G61" s="60" t="str">
        <f t="shared" si="2"/>
        <v>Gram Positive</v>
      </c>
      <c r="H61" s="61" t="s">
        <v>184</v>
      </c>
      <c r="I61" s="66" t="s">
        <v>265</v>
      </c>
      <c r="J61" s="42" t="s">
        <v>118</v>
      </c>
      <c r="K61" s="42">
        <f>ROWS($B$4:B61)</f>
        <v>58</v>
      </c>
      <c r="L61" s="42" t="str">
        <f t="shared" si="1"/>
        <v/>
      </c>
      <c r="M61" s="43" t="str">
        <f>IFERROR(SMALL(Table5[Helper 2],K61),"")</f>
        <v/>
      </c>
    </row>
    <row r="62" spans="2:13" ht="16" x14ac:dyDescent="0.2">
      <c r="B62" s="59" t="s">
        <v>69</v>
      </c>
      <c r="C62" s="60" t="s">
        <v>205</v>
      </c>
      <c r="D62" s="60" t="s">
        <v>132</v>
      </c>
      <c r="E62" s="60" t="s">
        <v>133</v>
      </c>
      <c r="F62" s="60" t="s">
        <v>118</v>
      </c>
      <c r="G62" s="60" t="str">
        <f t="shared" si="2"/>
        <v>Gram Positive</v>
      </c>
      <c r="H62" s="61" t="s">
        <v>185</v>
      </c>
      <c r="I62" s="66" t="s">
        <v>265</v>
      </c>
      <c r="J62" s="42" t="s">
        <v>118</v>
      </c>
      <c r="K62" s="42">
        <f>ROWS($B$4:B62)</f>
        <v>59</v>
      </c>
      <c r="L62" s="42" t="str">
        <f t="shared" si="1"/>
        <v/>
      </c>
      <c r="M62" s="43" t="str">
        <f>IFERROR(SMALL(Table5[Helper 2],K62),"")</f>
        <v/>
      </c>
    </row>
    <row r="63" spans="2:13" ht="16" x14ac:dyDescent="0.2">
      <c r="B63" s="59" t="s">
        <v>70</v>
      </c>
      <c r="C63" s="60" t="s">
        <v>205</v>
      </c>
      <c r="D63" s="60" t="s">
        <v>132</v>
      </c>
      <c r="E63" s="60" t="s">
        <v>133</v>
      </c>
      <c r="F63" s="60" t="s">
        <v>118</v>
      </c>
      <c r="G63" s="60" t="str">
        <f t="shared" si="2"/>
        <v>Gram Positive</v>
      </c>
      <c r="H63" s="61" t="s">
        <v>186</v>
      </c>
      <c r="I63" s="66" t="s">
        <v>265</v>
      </c>
      <c r="J63" s="42" t="s">
        <v>118</v>
      </c>
      <c r="K63" s="42">
        <f>ROWS($B$4:B63)</f>
        <v>60</v>
      </c>
      <c r="L63" s="42" t="str">
        <f t="shared" si="1"/>
        <v/>
      </c>
      <c r="M63" s="43" t="str">
        <f>IFERROR(SMALL(Table5[Helper 2],K63),"")</f>
        <v/>
      </c>
    </row>
    <row r="64" spans="2:13" ht="16" x14ac:dyDescent="0.2">
      <c r="B64" s="59" t="s">
        <v>71</v>
      </c>
      <c r="C64" s="60" t="s">
        <v>205</v>
      </c>
      <c r="D64" s="60" t="s">
        <v>132</v>
      </c>
      <c r="E64" s="60" t="s">
        <v>133</v>
      </c>
      <c r="F64" s="60" t="s">
        <v>119</v>
      </c>
      <c r="G64" s="60" t="str">
        <f t="shared" si="2"/>
        <v>Gram Negative</v>
      </c>
      <c r="H64" s="61" t="s">
        <v>178</v>
      </c>
      <c r="I64" s="66" t="s">
        <v>265</v>
      </c>
      <c r="J64" s="42" t="s">
        <v>119</v>
      </c>
      <c r="K64" s="42">
        <f>ROWS($B$4:B64)</f>
        <v>61</v>
      </c>
      <c r="L64" s="42" t="str">
        <f t="shared" si="1"/>
        <v/>
      </c>
      <c r="M64" s="43" t="str">
        <f>IFERROR(SMALL(Table5[Helper 2],K64),"")</f>
        <v/>
      </c>
    </row>
    <row r="65" spans="2:13" ht="16" x14ac:dyDescent="0.2">
      <c r="B65" s="59" t="s">
        <v>72</v>
      </c>
      <c r="C65" s="60" t="s">
        <v>205</v>
      </c>
      <c r="D65" s="60" t="s">
        <v>132</v>
      </c>
      <c r="E65" s="60" t="s">
        <v>133</v>
      </c>
      <c r="F65" s="60" t="s">
        <v>119</v>
      </c>
      <c r="G65" s="60" t="str">
        <f t="shared" si="2"/>
        <v>Gram Negative</v>
      </c>
      <c r="H65" s="61" t="s">
        <v>6</v>
      </c>
      <c r="I65" s="66" t="s">
        <v>265</v>
      </c>
      <c r="J65" s="42" t="s">
        <v>119</v>
      </c>
      <c r="K65" s="42">
        <f>ROWS($B$4:B65)</f>
        <v>62</v>
      </c>
      <c r="L65" s="42" t="str">
        <f t="shared" si="1"/>
        <v/>
      </c>
      <c r="M65" s="43" t="str">
        <f>IFERROR(SMALL(Table5[Helper 2],K65),"")</f>
        <v/>
      </c>
    </row>
    <row r="66" spans="2:13" ht="16" x14ac:dyDescent="0.2">
      <c r="B66" s="59" t="s">
        <v>73</v>
      </c>
      <c r="C66" s="60" t="s">
        <v>205</v>
      </c>
      <c r="D66" s="60" t="s">
        <v>132</v>
      </c>
      <c r="E66" s="60" t="s">
        <v>133</v>
      </c>
      <c r="F66" s="60" t="s">
        <v>119</v>
      </c>
      <c r="G66" s="60" t="str">
        <f t="shared" si="2"/>
        <v>Gram Negative</v>
      </c>
      <c r="H66" s="61" t="s">
        <v>23</v>
      </c>
      <c r="I66" s="66" t="s">
        <v>265</v>
      </c>
      <c r="J66" s="42" t="s">
        <v>119</v>
      </c>
      <c r="K66" s="42">
        <f>ROWS($B$4:B66)</f>
        <v>63</v>
      </c>
      <c r="L66" s="42" t="str">
        <f t="shared" si="1"/>
        <v/>
      </c>
      <c r="M66" s="43" t="str">
        <f>IFERROR(SMALL(Table5[Helper 2],K66),"")</f>
        <v/>
      </c>
    </row>
    <row r="67" spans="2:13" ht="16" x14ac:dyDescent="0.2">
      <c r="B67" s="59" t="s">
        <v>74</v>
      </c>
      <c r="C67" s="60" t="s">
        <v>205</v>
      </c>
      <c r="D67" s="60" t="s">
        <v>132</v>
      </c>
      <c r="E67" s="60" t="s">
        <v>133</v>
      </c>
      <c r="F67" s="60" t="s">
        <v>119</v>
      </c>
      <c r="G67" s="60" t="str">
        <f t="shared" si="2"/>
        <v>Gram Negative</v>
      </c>
      <c r="H67" s="61" t="s">
        <v>187</v>
      </c>
      <c r="I67" s="66" t="s">
        <v>265</v>
      </c>
      <c r="J67" s="42" t="s">
        <v>119</v>
      </c>
      <c r="K67" s="42">
        <f>ROWS($B$4:B67)</f>
        <v>64</v>
      </c>
      <c r="L67" s="42" t="str">
        <f t="shared" si="1"/>
        <v/>
      </c>
      <c r="M67" s="43" t="str">
        <f>IFERROR(SMALL(Table5[Helper 2],K67),"")</f>
        <v/>
      </c>
    </row>
    <row r="68" spans="2:13" ht="16" x14ac:dyDescent="0.2">
      <c r="B68" s="59" t="s">
        <v>75</v>
      </c>
      <c r="C68" s="60" t="s">
        <v>205</v>
      </c>
      <c r="D68" s="60" t="s">
        <v>132</v>
      </c>
      <c r="E68" s="60" t="s">
        <v>133</v>
      </c>
      <c r="F68" s="60" t="s">
        <v>119</v>
      </c>
      <c r="G68" s="60" t="str">
        <f t="shared" si="2"/>
        <v>Gram Negative</v>
      </c>
      <c r="H68" s="61" t="s">
        <v>188</v>
      </c>
      <c r="I68" s="66" t="s">
        <v>265</v>
      </c>
      <c r="J68" s="42" t="s">
        <v>119</v>
      </c>
      <c r="K68" s="42">
        <f>ROWS($B$4:B68)</f>
        <v>65</v>
      </c>
      <c r="L68" s="42" t="str">
        <f t="shared" si="1"/>
        <v/>
      </c>
      <c r="M68" s="43" t="str">
        <f>IFERROR(SMALL(Table5[Helper 2],K68),"")</f>
        <v/>
      </c>
    </row>
    <row r="69" spans="2:13" ht="16" x14ac:dyDescent="0.2">
      <c r="B69" s="59" t="s">
        <v>76</v>
      </c>
      <c r="C69" s="60" t="s">
        <v>205</v>
      </c>
      <c r="D69" s="60" t="s">
        <v>132</v>
      </c>
      <c r="E69" s="60" t="s">
        <v>133</v>
      </c>
      <c r="F69" s="60" t="s">
        <v>119</v>
      </c>
      <c r="G69" s="60" t="str">
        <f t="shared" si="2"/>
        <v>Gram Positive</v>
      </c>
      <c r="H69" s="61" t="s">
        <v>189</v>
      </c>
      <c r="I69" s="66" t="s">
        <v>265</v>
      </c>
      <c r="J69" s="42" t="s">
        <v>119</v>
      </c>
      <c r="K69" s="42">
        <f>ROWS($B$4:B69)</f>
        <v>66</v>
      </c>
      <c r="L69" s="42" t="str">
        <f t="shared" ref="L69:L93" si="3">IF(J69=$P$3,K69,"")</f>
        <v/>
      </c>
      <c r="M69" s="43" t="str">
        <f>IFERROR(SMALL(Table5[Helper 2],K69),"")</f>
        <v/>
      </c>
    </row>
    <row r="70" spans="2:13" ht="16" x14ac:dyDescent="0.2">
      <c r="B70" s="59" t="s">
        <v>77</v>
      </c>
      <c r="C70" s="60" t="s">
        <v>205</v>
      </c>
      <c r="D70" s="60" t="s">
        <v>132</v>
      </c>
      <c r="E70" s="60" t="s">
        <v>133</v>
      </c>
      <c r="F70" s="60" t="s">
        <v>119</v>
      </c>
      <c r="G70" s="60" t="str">
        <f t="shared" si="2"/>
        <v>Gram Positive</v>
      </c>
      <c r="H70" s="61" t="s">
        <v>190</v>
      </c>
      <c r="I70" s="66" t="s">
        <v>265</v>
      </c>
      <c r="J70" s="42" t="s">
        <v>119</v>
      </c>
      <c r="K70" s="42">
        <f>ROWS($B$4:B70)</f>
        <v>67</v>
      </c>
      <c r="L70" s="42" t="str">
        <f t="shared" si="3"/>
        <v/>
      </c>
      <c r="M70" s="43" t="str">
        <f>IFERROR(SMALL(Table5[Helper 2],K70),"")</f>
        <v/>
      </c>
    </row>
    <row r="71" spans="2:13" ht="16" x14ac:dyDescent="0.2">
      <c r="B71" s="59" t="s">
        <v>78</v>
      </c>
      <c r="C71" s="60" t="s">
        <v>205</v>
      </c>
      <c r="D71" s="60" t="s">
        <v>132</v>
      </c>
      <c r="E71" s="60" t="s">
        <v>133</v>
      </c>
      <c r="F71" s="60" t="s">
        <v>119</v>
      </c>
      <c r="G71" s="60" t="str">
        <f t="shared" si="2"/>
        <v>Gram Positive</v>
      </c>
      <c r="H71" s="61" t="s">
        <v>191</v>
      </c>
      <c r="I71" s="66" t="s">
        <v>265</v>
      </c>
      <c r="J71" s="42" t="s">
        <v>119</v>
      </c>
      <c r="K71" s="42">
        <f>ROWS($B$4:B71)</f>
        <v>68</v>
      </c>
      <c r="L71" s="42" t="str">
        <f t="shared" si="3"/>
        <v/>
      </c>
      <c r="M71" s="43" t="str">
        <f>IFERROR(SMALL(Table5[Helper 2],K71),"")</f>
        <v/>
      </c>
    </row>
    <row r="72" spans="2:13" ht="16" x14ac:dyDescent="0.2">
      <c r="B72" s="59" t="s">
        <v>79</v>
      </c>
      <c r="C72" s="60" t="s">
        <v>205</v>
      </c>
      <c r="D72" s="60" t="s">
        <v>132</v>
      </c>
      <c r="E72" s="60" t="s">
        <v>133</v>
      </c>
      <c r="F72" s="60" t="s">
        <v>119</v>
      </c>
      <c r="G72" s="60" t="str">
        <f t="shared" si="2"/>
        <v>Gram Positive</v>
      </c>
      <c r="H72" s="61" t="s">
        <v>192</v>
      </c>
      <c r="I72" s="66" t="s">
        <v>265</v>
      </c>
      <c r="J72" s="42" t="s">
        <v>119</v>
      </c>
      <c r="K72" s="42">
        <f>ROWS($B$4:B72)</f>
        <v>69</v>
      </c>
      <c r="L72" s="42" t="str">
        <f t="shared" si="3"/>
        <v/>
      </c>
      <c r="M72" s="43" t="str">
        <f>IFERROR(SMALL(Table5[Helper 2],K72),"")</f>
        <v/>
      </c>
    </row>
    <row r="73" spans="2:13" ht="16" x14ac:dyDescent="0.2">
      <c r="B73" s="59" t="s">
        <v>80</v>
      </c>
      <c r="C73" s="60" t="s">
        <v>205</v>
      </c>
      <c r="D73" s="60" t="s">
        <v>132</v>
      </c>
      <c r="E73" s="60" t="s">
        <v>133</v>
      </c>
      <c r="F73" s="60" t="s">
        <v>119</v>
      </c>
      <c r="G73" s="60" t="str">
        <f t="shared" si="2"/>
        <v>Gram Positive</v>
      </c>
      <c r="H73" s="61" t="s">
        <v>193</v>
      </c>
      <c r="I73" s="66" t="s">
        <v>265</v>
      </c>
      <c r="J73" s="42" t="s">
        <v>119</v>
      </c>
      <c r="K73" s="42">
        <f>ROWS($B$4:B73)</f>
        <v>70</v>
      </c>
      <c r="L73" s="42" t="str">
        <f t="shared" si="3"/>
        <v/>
      </c>
      <c r="M73" s="43" t="str">
        <f>IFERROR(SMALL(Table5[Helper 2],K73),"")</f>
        <v/>
      </c>
    </row>
    <row r="74" spans="2:13" ht="16" x14ac:dyDescent="0.2">
      <c r="B74" s="59" t="s">
        <v>97</v>
      </c>
      <c r="C74" s="60" t="s">
        <v>131</v>
      </c>
      <c r="D74" s="60" t="s">
        <v>136</v>
      </c>
      <c r="E74" s="60" t="s">
        <v>136</v>
      </c>
      <c r="F74" s="60" t="s">
        <v>136</v>
      </c>
      <c r="G74" s="60" t="str">
        <f>IF(ISNUMBER(SEARCH("*1", B74)),"Gram Negative", "Gram Positive")</f>
        <v>Gram Negative</v>
      </c>
      <c r="H74" s="61" t="s">
        <v>194</v>
      </c>
      <c r="I74" s="66" t="s">
        <v>265</v>
      </c>
      <c r="J74" s="42" t="s">
        <v>124</v>
      </c>
      <c r="K74" s="42">
        <f>ROWS($B$4:B74)</f>
        <v>71</v>
      </c>
      <c r="L74" s="42" t="str">
        <f t="shared" si="3"/>
        <v/>
      </c>
      <c r="M74" s="43" t="str">
        <f>IFERROR(SMALL(Table5[Helper 2],K74),"")</f>
        <v/>
      </c>
    </row>
    <row r="75" spans="2:13" ht="16" x14ac:dyDescent="0.2">
      <c r="B75" s="59" t="s">
        <v>98</v>
      </c>
      <c r="C75" s="60" t="s">
        <v>131</v>
      </c>
      <c r="D75" s="60" t="s">
        <v>136</v>
      </c>
      <c r="E75" s="60" t="s">
        <v>136</v>
      </c>
      <c r="F75" s="60" t="s">
        <v>136</v>
      </c>
      <c r="G75" s="60" t="str">
        <f>IF(ISNUMBER(SEARCH("*1", B75)),"Gram Negative", "Gram Positive")</f>
        <v>Gram Positive</v>
      </c>
      <c r="H75" s="61" t="s">
        <v>195</v>
      </c>
      <c r="I75" s="66" t="s">
        <v>265</v>
      </c>
      <c r="J75" s="42" t="s">
        <v>124</v>
      </c>
      <c r="K75" s="42">
        <f>ROWS($B$4:B75)</f>
        <v>72</v>
      </c>
      <c r="L75" s="42" t="str">
        <f t="shared" si="3"/>
        <v/>
      </c>
      <c r="M75" s="43" t="str">
        <f>IFERROR(SMALL(Table5[Helper 2],K75),"")</f>
        <v/>
      </c>
    </row>
    <row r="76" spans="2:13" ht="16" x14ac:dyDescent="0.2">
      <c r="B76" s="59" t="s">
        <v>81</v>
      </c>
      <c r="C76" s="60" t="s">
        <v>205</v>
      </c>
      <c r="D76" s="60" t="s">
        <v>136</v>
      </c>
      <c r="E76" s="60" t="s">
        <v>134</v>
      </c>
      <c r="F76" s="60" t="s">
        <v>136</v>
      </c>
      <c r="G76" s="60" t="str">
        <f>IF(OR(ISNUMBER(SEARCH("*1", B76)), ISNUMBER(SEARCH("*2", B76)), ISNUMBER(SEARCH("*3", B76))), "Gram Negative", "Gram Positive")</f>
        <v>Gram Negative</v>
      </c>
      <c r="H76" s="61" t="s">
        <v>81</v>
      </c>
      <c r="I76" s="66" t="s">
        <v>265</v>
      </c>
      <c r="J76" s="42" t="s">
        <v>122</v>
      </c>
      <c r="K76" s="42">
        <f>ROWS($B$4:B76)</f>
        <v>73</v>
      </c>
      <c r="L76" s="42" t="str">
        <f t="shared" si="3"/>
        <v/>
      </c>
      <c r="M76" s="43" t="str">
        <f>IFERROR(SMALL(Table5[Helper 2],K76),"")</f>
        <v/>
      </c>
    </row>
    <row r="77" spans="2:13" ht="16" x14ac:dyDescent="0.2">
      <c r="B77" s="59" t="s">
        <v>82</v>
      </c>
      <c r="C77" s="60" t="s">
        <v>205</v>
      </c>
      <c r="D77" s="60" t="s">
        <v>136</v>
      </c>
      <c r="E77" s="60" t="s">
        <v>134</v>
      </c>
      <c r="F77" s="60" t="s">
        <v>136</v>
      </c>
      <c r="G77" s="60" t="str">
        <f t="shared" ref="G77:G93" si="4">IF(OR(ISNUMBER(SEARCH("*1", B77)), ISNUMBER(SEARCH("*2", B77)), ISNUMBER(SEARCH("*3", B77))), "Gram Negative", "Gram Positive")</f>
        <v>Gram Negative</v>
      </c>
      <c r="H77" s="61" t="s">
        <v>82</v>
      </c>
      <c r="I77" s="66" t="s">
        <v>265</v>
      </c>
      <c r="J77" s="42" t="s">
        <v>122</v>
      </c>
      <c r="K77" s="42">
        <f>ROWS($B$4:B77)</f>
        <v>74</v>
      </c>
      <c r="L77" s="42" t="str">
        <f t="shared" si="3"/>
        <v/>
      </c>
      <c r="M77" s="43" t="str">
        <f>IFERROR(SMALL(Table5[Helper 2],K77),"")</f>
        <v/>
      </c>
    </row>
    <row r="78" spans="2:13" ht="16" x14ac:dyDescent="0.2">
      <c r="B78" s="59" t="s">
        <v>83</v>
      </c>
      <c r="C78" s="60" t="s">
        <v>205</v>
      </c>
      <c r="D78" s="60" t="s">
        <v>136</v>
      </c>
      <c r="E78" s="60" t="s">
        <v>134</v>
      </c>
      <c r="F78" s="60" t="s">
        <v>136</v>
      </c>
      <c r="G78" s="60" t="str">
        <f t="shared" si="4"/>
        <v>Gram Negative</v>
      </c>
      <c r="H78" s="61" t="s">
        <v>83</v>
      </c>
      <c r="I78" s="66" t="s">
        <v>265</v>
      </c>
      <c r="J78" s="42" t="s">
        <v>122</v>
      </c>
      <c r="K78" s="42">
        <f>ROWS($B$4:B78)</f>
        <v>75</v>
      </c>
      <c r="L78" s="42" t="str">
        <f t="shared" si="3"/>
        <v/>
      </c>
      <c r="M78" s="43" t="str">
        <f>IFERROR(SMALL(Table5[Helper 2],K78),"")</f>
        <v/>
      </c>
    </row>
    <row r="79" spans="2:13" ht="16" x14ac:dyDescent="0.2">
      <c r="B79" s="59" t="s">
        <v>84</v>
      </c>
      <c r="C79" s="60" t="s">
        <v>205</v>
      </c>
      <c r="D79" s="60" t="s">
        <v>136</v>
      </c>
      <c r="E79" s="60" t="s">
        <v>134</v>
      </c>
      <c r="F79" s="60" t="s">
        <v>136</v>
      </c>
      <c r="G79" s="60" t="str">
        <f t="shared" si="4"/>
        <v>Gram Positive</v>
      </c>
      <c r="H79" s="61" t="s">
        <v>84</v>
      </c>
      <c r="I79" s="66" t="s">
        <v>265</v>
      </c>
      <c r="J79" s="42" t="s">
        <v>122</v>
      </c>
      <c r="K79" s="42">
        <f>ROWS($B$4:B79)</f>
        <v>76</v>
      </c>
      <c r="L79" s="42" t="str">
        <f t="shared" si="3"/>
        <v/>
      </c>
      <c r="M79" s="43" t="str">
        <f>IFERROR(SMALL(Table5[Helper 2],K79),"")</f>
        <v/>
      </c>
    </row>
    <row r="80" spans="2:13" ht="16" x14ac:dyDescent="0.2">
      <c r="B80" s="59" t="s">
        <v>85</v>
      </c>
      <c r="C80" s="60" t="s">
        <v>205</v>
      </c>
      <c r="D80" s="60" t="s">
        <v>136</v>
      </c>
      <c r="E80" s="60" t="s">
        <v>134</v>
      </c>
      <c r="F80" s="60" t="s">
        <v>136</v>
      </c>
      <c r="G80" s="60" t="str">
        <f t="shared" si="4"/>
        <v>Gram Positive</v>
      </c>
      <c r="H80" s="61" t="s">
        <v>85</v>
      </c>
      <c r="I80" s="66" t="s">
        <v>265</v>
      </c>
      <c r="J80" s="42" t="s">
        <v>122</v>
      </c>
      <c r="K80" s="42">
        <f>ROWS($B$4:B80)</f>
        <v>77</v>
      </c>
      <c r="L80" s="42" t="str">
        <f t="shared" si="3"/>
        <v/>
      </c>
      <c r="M80" s="43" t="str">
        <f>IFERROR(SMALL(Table5[Helper 2],K80),"")</f>
        <v/>
      </c>
    </row>
    <row r="81" spans="2:13" ht="16" x14ac:dyDescent="0.2">
      <c r="B81" s="59" t="s">
        <v>86</v>
      </c>
      <c r="C81" s="60" t="s">
        <v>205</v>
      </c>
      <c r="D81" s="60" t="s">
        <v>136</v>
      </c>
      <c r="E81" s="60" t="s">
        <v>134</v>
      </c>
      <c r="F81" s="60" t="s">
        <v>136</v>
      </c>
      <c r="G81" s="60" t="str">
        <f t="shared" si="4"/>
        <v>Gram Positive</v>
      </c>
      <c r="H81" s="61" t="s">
        <v>86</v>
      </c>
      <c r="I81" s="66" t="s">
        <v>265</v>
      </c>
      <c r="J81" s="42" t="s">
        <v>122</v>
      </c>
      <c r="K81" s="42">
        <f>ROWS($B$4:B81)</f>
        <v>78</v>
      </c>
      <c r="L81" s="42" t="str">
        <f t="shared" si="3"/>
        <v/>
      </c>
      <c r="M81" s="43" t="str">
        <f>IFERROR(SMALL(Table5[Helper 2],K81),"")</f>
        <v/>
      </c>
    </row>
    <row r="82" spans="2:13" ht="16" x14ac:dyDescent="0.2">
      <c r="B82" s="59" t="s">
        <v>87</v>
      </c>
      <c r="C82" s="60" t="s">
        <v>205</v>
      </c>
      <c r="D82" s="60" t="s">
        <v>136</v>
      </c>
      <c r="E82" s="60" t="s">
        <v>134</v>
      </c>
      <c r="F82" s="60" t="s">
        <v>136</v>
      </c>
      <c r="G82" s="60" t="str">
        <f t="shared" si="4"/>
        <v>Gram Negative</v>
      </c>
      <c r="H82" s="61" t="s">
        <v>196</v>
      </c>
      <c r="I82" s="66" t="s">
        <v>261</v>
      </c>
      <c r="J82" s="42" t="s">
        <v>121</v>
      </c>
      <c r="K82" s="42">
        <f>ROWS($B$4:B82)</f>
        <v>79</v>
      </c>
      <c r="L82" s="42" t="str">
        <f t="shared" si="3"/>
        <v/>
      </c>
      <c r="M82" s="43" t="str">
        <f>IFERROR(SMALL(Table5[Helper 2],K82),"")</f>
        <v/>
      </c>
    </row>
    <row r="83" spans="2:13" ht="80" x14ac:dyDescent="0.2">
      <c r="B83" s="62" t="s">
        <v>88</v>
      </c>
      <c r="C83" s="60" t="s">
        <v>205</v>
      </c>
      <c r="D83" s="60" t="s">
        <v>136</v>
      </c>
      <c r="E83" s="60" t="s">
        <v>134</v>
      </c>
      <c r="F83" s="60" t="s">
        <v>136</v>
      </c>
      <c r="G83" s="60" t="str">
        <f t="shared" si="4"/>
        <v>Gram Negative</v>
      </c>
      <c r="H83" s="61" t="s">
        <v>197</v>
      </c>
      <c r="I83" s="66" t="s">
        <v>263</v>
      </c>
      <c r="J83" s="42" t="s">
        <v>121</v>
      </c>
      <c r="K83" s="42">
        <f>ROWS($B$4:B83)</f>
        <v>80</v>
      </c>
      <c r="L83" s="42" t="str">
        <f t="shared" si="3"/>
        <v/>
      </c>
      <c r="M83" s="43" t="str">
        <f>IFERROR(SMALL(Table5[Helper 2],K83),"")</f>
        <v/>
      </c>
    </row>
    <row r="84" spans="2:13" ht="16" x14ac:dyDescent="0.2">
      <c r="B84" s="59" t="s">
        <v>89</v>
      </c>
      <c r="C84" s="60" t="s">
        <v>205</v>
      </c>
      <c r="D84" s="60" t="s">
        <v>136</v>
      </c>
      <c r="E84" s="60" t="s">
        <v>134</v>
      </c>
      <c r="F84" s="60" t="s">
        <v>136</v>
      </c>
      <c r="G84" s="60" t="str">
        <f t="shared" si="4"/>
        <v>Gram Negative</v>
      </c>
      <c r="H84" s="61" t="s">
        <v>198</v>
      </c>
      <c r="I84" s="66" t="s">
        <v>261</v>
      </c>
      <c r="J84" s="42" t="s">
        <v>121</v>
      </c>
      <c r="K84" s="42">
        <f>ROWS($B$4:B84)</f>
        <v>81</v>
      </c>
      <c r="L84" s="42" t="str">
        <f t="shared" si="3"/>
        <v/>
      </c>
      <c r="M84" s="43" t="str">
        <f>IFERROR(SMALL(Table5[Helper 2],K84),"")</f>
        <v/>
      </c>
    </row>
    <row r="85" spans="2:13" ht="16" x14ac:dyDescent="0.2">
      <c r="B85" s="59" t="s">
        <v>90</v>
      </c>
      <c r="C85" s="60" t="s">
        <v>205</v>
      </c>
      <c r="D85" s="60" t="s">
        <v>136</v>
      </c>
      <c r="E85" s="60" t="s">
        <v>134</v>
      </c>
      <c r="F85" s="60" t="s">
        <v>136</v>
      </c>
      <c r="G85" s="60" t="str">
        <f t="shared" si="4"/>
        <v>Gram Positive</v>
      </c>
      <c r="H85" s="61" t="s">
        <v>199</v>
      </c>
      <c r="I85" s="66" t="s">
        <v>262</v>
      </c>
      <c r="J85" s="42" t="s">
        <v>121</v>
      </c>
      <c r="K85" s="42">
        <f>ROWS($B$4:B85)</f>
        <v>82</v>
      </c>
      <c r="L85" s="42" t="str">
        <f t="shared" si="3"/>
        <v/>
      </c>
      <c r="M85" s="43" t="str">
        <f>IFERROR(SMALL(Table5[Helper 2],K85),"")</f>
        <v/>
      </c>
    </row>
    <row r="86" spans="2:13" ht="16" x14ac:dyDescent="0.2">
      <c r="B86" s="59" t="s">
        <v>21</v>
      </c>
      <c r="C86" s="60" t="s">
        <v>205</v>
      </c>
      <c r="D86" s="60" t="s">
        <v>136</v>
      </c>
      <c r="E86" s="60" t="s">
        <v>134</v>
      </c>
      <c r="F86" s="60" t="s">
        <v>136</v>
      </c>
      <c r="G86" s="60" t="str">
        <f t="shared" si="4"/>
        <v>Gram Positive</v>
      </c>
      <c r="H86" s="61" t="s">
        <v>200</v>
      </c>
      <c r="I86" s="66" t="s">
        <v>262</v>
      </c>
      <c r="J86" s="42" t="s">
        <v>121</v>
      </c>
      <c r="K86" s="42">
        <f>ROWS($B$4:B86)</f>
        <v>83</v>
      </c>
      <c r="L86" s="42" t="str">
        <f t="shared" si="3"/>
        <v/>
      </c>
      <c r="M86" s="43" t="str">
        <f>IFERROR(SMALL(Table5[Helper 2],K86),"")</f>
        <v/>
      </c>
    </row>
    <row r="87" spans="2:13" ht="16" x14ac:dyDescent="0.2">
      <c r="B87" s="59" t="s">
        <v>22</v>
      </c>
      <c r="C87" s="60" t="s">
        <v>205</v>
      </c>
      <c r="D87" s="60" t="s">
        <v>136</v>
      </c>
      <c r="E87" s="60" t="s">
        <v>134</v>
      </c>
      <c r="F87" s="60" t="s">
        <v>136</v>
      </c>
      <c r="G87" s="60" t="str">
        <f t="shared" si="4"/>
        <v>Gram Positive</v>
      </c>
      <c r="H87" s="61" t="s">
        <v>201</v>
      </c>
      <c r="I87" s="66" t="s">
        <v>262</v>
      </c>
      <c r="J87" s="42" t="s">
        <v>121</v>
      </c>
      <c r="K87" s="42">
        <f>ROWS($B$4:B87)</f>
        <v>84</v>
      </c>
      <c r="L87" s="42" t="str">
        <f t="shared" si="3"/>
        <v/>
      </c>
      <c r="M87" s="43" t="str">
        <f>IFERROR(SMALL(Table5[Helper 2],K87),"")</f>
        <v/>
      </c>
    </row>
    <row r="88" spans="2:13" ht="16" x14ac:dyDescent="0.2">
      <c r="B88" s="59" t="s">
        <v>91</v>
      </c>
      <c r="C88" s="60" t="s">
        <v>205</v>
      </c>
      <c r="D88" s="60" t="s">
        <v>136</v>
      </c>
      <c r="E88" s="60" t="s">
        <v>134</v>
      </c>
      <c r="F88" s="60" t="s">
        <v>136</v>
      </c>
      <c r="G88" s="60" t="str">
        <f t="shared" si="4"/>
        <v>Gram Negative</v>
      </c>
      <c r="H88" s="61" t="s">
        <v>91</v>
      </c>
      <c r="I88" s="66" t="s">
        <v>265</v>
      </c>
      <c r="J88" s="42" t="s">
        <v>120</v>
      </c>
      <c r="K88" s="42">
        <f>ROWS($B$4:B88)</f>
        <v>85</v>
      </c>
      <c r="L88" s="42" t="str">
        <f t="shared" si="3"/>
        <v/>
      </c>
      <c r="M88" s="43" t="str">
        <f>IFERROR(SMALL(Table5[Helper 2],K88),"")</f>
        <v/>
      </c>
    </row>
    <row r="89" spans="2:13" ht="16" x14ac:dyDescent="0.2">
      <c r="B89" s="59" t="s">
        <v>92</v>
      </c>
      <c r="C89" s="60" t="s">
        <v>205</v>
      </c>
      <c r="D89" s="60" t="s">
        <v>136</v>
      </c>
      <c r="E89" s="60" t="s">
        <v>134</v>
      </c>
      <c r="F89" s="60" t="s">
        <v>136</v>
      </c>
      <c r="G89" s="60" t="str">
        <f t="shared" si="4"/>
        <v>Gram Negative</v>
      </c>
      <c r="H89" s="61" t="s">
        <v>92</v>
      </c>
      <c r="I89" s="66" t="s">
        <v>265</v>
      </c>
      <c r="J89" s="42" t="s">
        <v>120</v>
      </c>
      <c r="K89" s="42">
        <f>ROWS($B$4:B89)</f>
        <v>86</v>
      </c>
      <c r="L89" s="42" t="str">
        <f t="shared" si="3"/>
        <v/>
      </c>
      <c r="M89" s="43" t="str">
        <f>IFERROR(SMALL(Table5[Helper 2],K89),"")</f>
        <v/>
      </c>
    </row>
    <row r="90" spans="2:13" ht="16" x14ac:dyDescent="0.2">
      <c r="B90" s="59" t="s">
        <v>93</v>
      </c>
      <c r="C90" s="60" t="s">
        <v>205</v>
      </c>
      <c r="D90" s="60" t="s">
        <v>136</v>
      </c>
      <c r="E90" s="60" t="s">
        <v>134</v>
      </c>
      <c r="F90" s="60" t="s">
        <v>136</v>
      </c>
      <c r="G90" s="60" t="str">
        <f t="shared" si="4"/>
        <v>Gram Negative</v>
      </c>
      <c r="H90" s="61" t="s">
        <v>93</v>
      </c>
      <c r="I90" s="66" t="s">
        <v>265</v>
      </c>
      <c r="J90" s="42" t="s">
        <v>120</v>
      </c>
      <c r="K90" s="42">
        <f>ROWS($B$4:B90)</f>
        <v>87</v>
      </c>
      <c r="L90" s="42" t="str">
        <f t="shared" si="3"/>
        <v/>
      </c>
      <c r="M90" s="43" t="str">
        <f>IFERROR(SMALL(Table5[Helper 2],K90),"")</f>
        <v/>
      </c>
    </row>
    <row r="91" spans="2:13" ht="16" x14ac:dyDescent="0.2">
      <c r="B91" s="59" t="s">
        <v>94</v>
      </c>
      <c r="C91" s="60" t="s">
        <v>205</v>
      </c>
      <c r="D91" s="60" t="s">
        <v>136</v>
      </c>
      <c r="E91" s="60" t="s">
        <v>134</v>
      </c>
      <c r="F91" s="60" t="s">
        <v>136</v>
      </c>
      <c r="G91" s="60" t="str">
        <f t="shared" si="4"/>
        <v>Gram Positive</v>
      </c>
      <c r="H91" s="61" t="s">
        <v>94</v>
      </c>
      <c r="I91" s="66" t="s">
        <v>265</v>
      </c>
      <c r="J91" s="42" t="s">
        <v>120</v>
      </c>
      <c r="K91" s="42">
        <f>ROWS($B$4:B91)</f>
        <v>88</v>
      </c>
      <c r="L91" s="42" t="str">
        <f t="shared" si="3"/>
        <v/>
      </c>
      <c r="M91" s="43" t="str">
        <f>IFERROR(SMALL(Table5[Helper 2],K91),"")</f>
        <v/>
      </c>
    </row>
    <row r="92" spans="2:13" ht="16" x14ac:dyDescent="0.2">
      <c r="B92" s="59" t="s">
        <v>95</v>
      </c>
      <c r="C92" s="60" t="s">
        <v>205</v>
      </c>
      <c r="D92" s="60" t="s">
        <v>136</v>
      </c>
      <c r="E92" s="60" t="s">
        <v>134</v>
      </c>
      <c r="F92" s="60" t="s">
        <v>136</v>
      </c>
      <c r="G92" s="60" t="str">
        <f t="shared" si="4"/>
        <v>Gram Positive</v>
      </c>
      <c r="H92" s="61" t="s">
        <v>95</v>
      </c>
      <c r="I92" s="66" t="s">
        <v>265</v>
      </c>
      <c r="J92" s="42" t="s">
        <v>120</v>
      </c>
      <c r="K92" s="42">
        <f>ROWS($B$4:B92)</f>
        <v>89</v>
      </c>
      <c r="L92" s="42" t="str">
        <f t="shared" si="3"/>
        <v/>
      </c>
      <c r="M92" s="43" t="str">
        <f>IFERROR(SMALL(Table5[Helper 2],K92),"")</f>
        <v/>
      </c>
    </row>
    <row r="93" spans="2:13" ht="16" x14ac:dyDescent="0.2">
      <c r="B93" s="63" t="s">
        <v>96</v>
      </c>
      <c r="C93" s="60" t="s">
        <v>205</v>
      </c>
      <c r="D93" s="60" t="s">
        <v>136</v>
      </c>
      <c r="E93" s="64" t="s">
        <v>134</v>
      </c>
      <c r="F93" s="60" t="s">
        <v>136</v>
      </c>
      <c r="G93" s="64" t="str">
        <f t="shared" si="4"/>
        <v>Gram Positive</v>
      </c>
      <c r="H93" s="61" t="s">
        <v>96</v>
      </c>
      <c r="I93" s="67" t="s">
        <v>265</v>
      </c>
      <c r="J93" s="44" t="s">
        <v>120</v>
      </c>
      <c r="K93" s="44">
        <f>ROWS($B$4:B93)</f>
        <v>90</v>
      </c>
      <c r="L93" s="44" t="str">
        <f t="shared" si="3"/>
        <v/>
      </c>
      <c r="M93" s="45" t="str">
        <f>IFERROR(SMALL(Table5[Helper 2],K93),"")</f>
        <v/>
      </c>
    </row>
  </sheetData>
  <dataConsolidate/>
  <phoneticPr fontId="9" type="noConversion"/>
  <dataValidations count="1">
    <dataValidation type="list" allowBlank="1" showInputMessage="1" showErrorMessage="1" sqref="B3" xr:uid="{7FA3B674-B876-4776-95D2-3404900CFF5D}">
      <formula1>Treatments_and_controls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C22535-7E1D-40C5-83F4-6168A709AB98}">
          <x14:formula1>
            <xm:f>'Nanodrop Results'!$AA$29:$AA$39</xm:f>
          </x14:formula1>
          <xm:sqref>P3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0BA7-E4E3-44F1-8AF7-061BD937B99A}">
  <dimension ref="B3:AC39"/>
  <sheetViews>
    <sheetView topLeftCell="B1" zoomScale="70" workbookViewId="0">
      <selection activeCell="AB9" sqref="AB9"/>
    </sheetView>
  </sheetViews>
  <sheetFormatPr baseColWidth="10" defaultColWidth="8.83203125" defaultRowHeight="15" x14ac:dyDescent="0.2"/>
  <cols>
    <col min="2" max="2" width="10.6640625" bestFit="1" customWidth="1"/>
    <col min="3" max="3" width="8.33203125" bestFit="1" customWidth="1"/>
    <col min="4" max="5" width="10.6640625" bestFit="1" customWidth="1"/>
    <col min="6" max="6" width="7.1640625" bestFit="1" customWidth="1"/>
    <col min="7" max="7" width="11.6640625" bestFit="1" customWidth="1"/>
    <col min="8" max="8" width="8.33203125" bestFit="1" customWidth="1"/>
    <col min="9" max="10" width="10.6640625" bestFit="1" customWidth="1"/>
    <col min="11" max="11" width="7.1640625" bestFit="1" customWidth="1"/>
    <col min="12" max="12" width="12.1640625" bestFit="1" customWidth="1"/>
    <col min="13" max="13" width="8.33203125" bestFit="1" customWidth="1"/>
    <col min="14" max="15" width="10.6640625" bestFit="1" customWidth="1"/>
    <col min="16" max="16" width="2.6640625" bestFit="1" customWidth="1"/>
    <col min="17" max="17" width="13.5" bestFit="1" customWidth="1"/>
    <col min="18" max="18" width="8.33203125" bestFit="1" customWidth="1"/>
    <col min="19" max="20" width="10.6640625" bestFit="1" customWidth="1"/>
    <col min="21" max="21" width="2.6640625" bestFit="1" customWidth="1"/>
    <col min="22" max="22" width="9.83203125" bestFit="1" customWidth="1"/>
    <col min="23" max="23" width="8.33203125" bestFit="1" customWidth="1"/>
    <col min="24" max="25" width="10.6640625" bestFit="1" customWidth="1"/>
    <col min="26" max="26" width="10" bestFit="1" customWidth="1"/>
    <col min="27" max="27" width="20.5" bestFit="1" customWidth="1"/>
    <col min="29" max="29" width="16.1640625" bestFit="1" customWidth="1"/>
  </cols>
  <sheetData>
    <row r="3" spans="2:29" x14ac:dyDescent="0.2">
      <c r="B3" s="2" t="s">
        <v>99</v>
      </c>
      <c r="C3" s="2" t="s">
        <v>50</v>
      </c>
      <c r="D3" s="2" t="s">
        <v>109</v>
      </c>
      <c r="E3" s="2" t="s">
        <v>110</v>
      </c>
      <c r="F3" s="2"/>
      <c r="G3" s="2" t="s">
        <v>99</v>
      </c>
      <c r="H3" s="2" t="s">
        <v>50</v>
      </c>
      <c r="I3" s="2" t="s">
        <v>109</v>
      </c>
      <c r="J3" s="34" t="s">
        <v>110</v>
      </c>
      <c r="K3" s="37"/>
      <c r="L3" s="36" t="s">
        <v>99</v>
      </c>
      <c r="M3" s="2" t="s">
        <v>50</v>
      </c>
      <c r="N3" s="2" t="s">
        <v>109</v>
      </c>
      <c r="O3" s="2" t="s">
        <v>110</v>
      </c>
      <c r="P3" s="2"/>
      <c r="Q3" s="2" t="s">
        <v>99</v>
      </c>
      <c r="R3" s="2" t="s">
        <v>50</v>
      </c>
      <c r="S3" s="2" t="s">
        <v>109</v>
      </c>
      <c r="T3" s="2" t="s">
        <v>110</v>
      </c>
      <c r="U3" s="2"/>
      <c r="V3" s="2" t="s">
        <v>99</v>
      </c>
      <c r="W3" s="2" t="s">
        <v>50</v>
      </c>
      <c r="X3" s="2" t="s">
        <v>109</v>
      </c>
      <c r="Y3" s="34" t="s">
        <v>110</v>
      </c>
      <c r="Z3" s="1"/>
    </row>
    <row r="4" spans="2:29" x14ac:dyDescent="0.2">
      <c r="B4" s="3" t="s">
        <v>7</v>
      </c>
      <c r="C4" s="15">
        <v>15</v>
      </c>
      <c r="D4" s="22">
        <v>0.88200000000000001</v>
      </c>
      <c r="E4" s="11">
        <v>1.875</v>
      </c>
      <c r="F4" s="30" t="s">
        <v>105</v>
      </c>
      <c r="G4" s="6" t="s">
        <v>30</v>
      </c>
      <c r="H4" s="15">
        <v>20</v>
      </c>
      <c r="I4" s="22">
        <v>1.538</v>
      </c>
      <c r="J4" s="11">
        <v>2</v>
      </c>
      <c r="K4" s="30" t="s">
        <v>105</v>
      </c>
      <c r="L4" s="6" t="s">
        <v>51</v>
      </c>
      <c r="M4" s="15">
        <v>31</v>
      </c>
      <c r="N4" s="11">
        <v>2.5830000000000002</v>
      </c>
      <c r="O4" s="11">
        <v>2.0670000000000002</v>
      </c>
      <c r="P4" s="30" t="s">
        <v>105</v>
      </c>
      <c r="Q4" s="6" t="s">
        <v>71</v>
      </c>
      <c r="R4" s="15">
        <v>40</v>
      </c>
      <c r="S4" s="22">
        <v>1.6</v>
      </c>
      <c r="T4" s="11">
        <v>2</v>
      </c>
      <c r="U4" s="30" t="s">
        <v>105</v>
      </c>
      <c r="V4" s="6" t="s">
        <v>87</v>
      </c>
      <c r="W4" s="17">
        <v>7</v>
      </c>
      <c r="X4" s="13">
        <v>1.4</v>
      </c>
      <c r="Y4" s="11">
        <v>1.75</v>
      </c>
      <c r="Z4" s="29" t="s">
        <v>104</v>
      </c>
      <c r="AC4" s="24" t="s">
        <v>100</v>
      </c>
    </row>
    <row r="5" spans="2:29" x14ac:dyDescent="0.2">
      <c r="B5" s="3" t="s">
        <v>8</v>
      </c>
      <c r="C5" s="15">
        <v>14</v>
      </c>
      <c r="D5" s="22">
        <v>1.4</v>
      </c>
      <c r="E5" s="11">
        <v>2</v>
      </c>
      <c r="F5" s="30" t="s">
        <v>105</v>
      </c>
      <c r="G5" s="6" t="s">
        <v>31</v>
      </c>
      <c r="H5" s="15">
        <v>27</v>
      </c>
      <c r="I5" s="11">
        <v>1.8</v>
      </c>
      <c r="J5" s="11">
        <v>2.077</v>
      </c>
      <c r="K5" s="30" t="s">
        <v>105</v>
      </c>
      <c r="L5" s="6" t="s">
        <v>52</v>
      </c>
      <c r="M5" s="15">
        <v>33</v>
      </c>
      <c r="N5" s="11">
        <v>1.833</v>
      </c>
      <c r="O5" s="11">
        <v>2.0619999999999998</v>
      </c>
      <c r="P5" s="30" t="s">
        <v>105</v>
      </c>
      <c r="Q5" s="6" t="s">
        <v>72</v>
      </c>
      <c r="R5" s="15">
        <v>30</v>
      </c>
      <c r="S5" s="22">
        <v>1.429</v>
      </c>
      <c r="T5" s="11">
        <v>2</v>
      </c>
      <c r="U5" s="30" t="s">
        <v>105</v>
      </c>
      <c r="V5" s="23" t="s">
        <v>88</v>
      </c>
      <c r="W5" s="17">
        <v>2</v>
      </c>
      <c r="X5" s="13">
        <v>0.66700000000000004</v>
      </c>
      <c r="Y5" s="11">
        <v>2</v>
      </c>
      <c r="Z5" s="29" t="s">
        <v>104</v>
      </c>
      <c r="AC5" s="38" t="s">
        <v>106</v>
      </c>
    </row>
    <row r="6" spans="2:29" x14ac:dyDescent="0.2">
      <c r="B6" s="3" t="s">
        <v>9</v>
      </c>
      <c r="C6" s="15">
        <v>16</v>
      </c>
      <c r="D6" s="22">
        <v>1.62</v>
      </c>
      <c r="E6" s="11">
        <v>2</v>
      </c>
      <c r="F6" s="30" t="s">
        <v>105</v>
      </c>
      <c r="G6" s="6" t="s">
        <v>32</v>
      </c>
      <c r="H6" s="15">
        <v>34</v>
      </c>
      <c r="I6" s="11">
        <v>1.7</v>
      </c>
      <c r="J6" s="11">
        <v>2</v>
      </c>
      <c r="K6" s="30" t="s">
        <v>105</v>
      </c>
      <c r="L6" s="6" t="s">
        <v>53</v>
      </c>
      <c r="M6" s="15">
        <v>27</v>
      </c>
      <c r="N6" s="11">
        <v>1.8</v>
      </c>
      <c r="O6" s="11">
        <v>2.077</v>
      </c>
      <c r="P6" s="30" t="s">
        <v>105</v>
      </c>
      <c r="Q6" s="6" t="s">
        <v>73</v>
      </c>
      <c r="R6" s="15">
        <v>37</v>
      </c>
      <c r="S6" s="22">
        <v>1.542</v>
      </c>
      <c r="T6" s="11">
        <v>1.9470000000000001</v>
      </c>
      <c r="U6" s="30" t="s">
        <v>105</v>
      </c>
      <c r="V6" s="6" t="s">
        <v>89</v>
      </c>
      <c r="W6" s="17">
        <v>8</v>
      </c>
      <c r="X6" s="13">
        <v>1.143</v>
      </c>
      <c r="Y6" s="11">
        <v>2</v>
      </c>
      <c r="Z6" s="29" t="s">
        <v>104</v>
      </c>
      <c r="AC6" s="39" t="s">
        <v>107</v>
      </c>
    </row>
    <row r="7" spans="2:29" x14ac:dyDescent="0.2">
      <c r="B7" s="4" t="s">
        <v>10</v>
      </c>
      <c r="C7" s="16">
        <v>15</v>
      </c>
      <c r="D7" s="26">
        <v>1</v>
      </c>
      <c r="E7" s="12">
        <v>1.875</v>
      </c>
      <c r="F7" s="30" t="s">
        <v>105</v>
      </c>
      <c r="G7" s="7" t="s">
        <v>33</v>
      </c>
      <c r="H7" s="16">
        <v>22</v>
      </c>
      <c r="I7" s="26">
        <v>1.375</v>
      </c>
      <c r="J7" s="12">
        <v>2</v>
      </c>
      <c r="K7" s="30" t="s">
        <v>105</v>
      </c>
      <c r="L7" s="7" t="s">
        <v>54</v>
      </c>
      <c r="M7" s="16">
        <v>26</v>
      </c>
      <c r="N7" s="26">
        <v>1.5289999999999999</v>
      </c>
      <c r="O7" s="12">
        <v>2</v>
      </c>
      <c r="P7" s="30" t="s">
        <v>105</v>
      </c>
      <c r="Q7" s="7" t="s">
        <v>74</v>
      </c>
      <c r="R7" s="16">
        <v>27</v>
      </c>
      <c r="S7" s="26">
        <v>1.421</v>
      </c>
      <c r="T7" s="12">
        <v>1.929</v>
      </c>
      <c r="U7" s="30" t="s">
        <v>105</v>
      </c>
      <c r="V7" s="7" t="s">
        <v>90</v>
      </c>
      <c r="W7" s="16">
        <v>181</v>
      </c>
      <c r="X7" s="25">
        <v>0.82599999999999996</v>
      </c>
      <c r="Y7" s="25">
        <v>1.3819999999999999</v>
      </c>
      <c r="Z7" s="29" t="s">
        <v>108</v>
      </c>
    </row>
    <row r="8" spans="2:29" x14ac:dyDescent="0.2">
      <c r="B8" s="3" t="s">
        <v>11</v>
      </c>
      <c r="C8" s="15">
        <v>16</v>
      </c>
      <c r="D8" s="22">
        <v>1.333</v>
      </c>
      <c r="E8" s="11">
        <v>2</v>
      </c>
      <c r="F8" s="30" t="s">
        <v>105</v>
      </c>
      <c r="G8" s="6" t="s">
        <v>34</v>
      </c>
      <c r="H8" s="15">
        <v>28</v>
      </c>
      <c r="I8" s="11">
        <v>1.75</v>
      </c>
      <c r="J8" s="11">
        <v>2</v>
      </c>
      <c r="K8" s="30" t="s">
        <v>105</v>
      </c>
      <c r="L8" s="6" t="s">
        <v>55</v>
      </c>
      <c r="M8" s="15">
        <v>26</v>
      </c>
      <c r="N8" s="22">
        <v>1.3680000000000001</v>
      </c>
      <c r="O8" s="11">
        <v>2</v>
      </c>
      <c r="P8" s="30" t="s">
        <v>105</v>
      </c>
      <c r="Q8" s="6" t="s">
        <v>75</v>
      </c>
      <c r="R8" s="15">
        <v>22</v>
      </c>
      <c r="S8" s="22">
        <v>1.294</v>
      </c>
      <c r="T8" s="11">
        <v>2</v>
      </c>
      <c r="U8" s="30" t="s">
        <v>105</v>
      </c>
      <c r="V8" s="6" t="s">
        <v>21</v>
      </c>
      <c r="W8" s="15">
        <v>156</v>
      </c>
      <c r="X8" s="13">
        <v>0.90200000000000002</v>
      </c>
      <c r="Y8" s="13">
        <v>1.444</v>
      </c>
      <c r="Z8" s="29" t="s">
        <v>108</v>
      </c>
      <c r="AC8" t="s">
        <v>103</v>
      </c>
    </row>
    <row r="9" spans="2:29" x14ac:dyDescent="0.2">
      <c r="B9" s="3" t="s">
        <v>12</v>
      </c>
      <c r="C9" s="17">
        <v>6</v>
      </c>
      <c r="D9" s="13">
        <v>0.75</v>
      </c>
      <c r="E9" s="11">
        <v>2</v>
      </c>
      <c r="F9" s="32" t="s">
        <v>104</v>
      </c>
      <c r="G9" s="6" t="s">
        <v>35</v>
      </c>
      <c r="H9" s="15">
        <v>20</v>
      </c>
      <c r="I9" s="22">
        <v>1.538</v>
      </c>
      <c r="J9" s="11">
        <v>2</v>
      </c>
      <c r="K9" s="30" t="s">
        <v>105</v>
      </c>
      <c r="L9" s="6" t="s">
        <v>56</v>
      </c>
      <c r="M9" s="15">
        <v>12</v>
      </c>
      <c r="N9" s="22">
        <v>0.78600000000000003</v>
      </c>
      <c r="O9" s="11">
        <v>1.833</v>
      </c>
      <c r="P9" s="30" t="s">
        <v>105</v>
      </c>
      <c r="Q9" s="6" t="s">
        <v>76</v>
      </c>
      <c r="R9" s="15">
        <v>10</v>
      </c>
      <c r="S9" s="22">
        <v>1.111</v>
      </c>
      <c r="T9" s="11">
        <v>2</v>
      </c>
      <c r="U9" s="30" t="s">
        <v>105</v>
      </c>
      <c r="V9" s="6" t="s">
        <v>22</v>
      </c>
      <c r="W9" s="15">
        <v>183</v>
      </c>
      <c r="X9" s="13">
        <v>0.83199999999999996</v>
      </c>
      <c r="Y9" s="13">
        <v>1.397</v>
      </c>
      <c r="Z9" s="29" t="s">
        <v>108</v>
      </c>
      <c r="AC9" t="s">
        <v>101</v>
      </c>
    </row>
    <row r="10" spans="2:29" x14ac:dyDescent="0.2">
      <c r="B10" s="3" t="s">
        <v>13</v>
      </c>
      <c r="C10" s="17">
        <v>8</v>
      </c>
      <c r="D10" s="13">
        <v>0.8</v>
      </c>
      <c r="E10" s="11">
        <v>2</v>
      </c>
      <c r="F10" s="32" t="s">
        <v>104</v>
      </c>
      <c r="G10" s="6" t="s">
        <v>36</v>
      </c>
      <c r="H10" s="15">
        <v>19</v>
      </c>
      <c r="I10" s="22">
        <v>1.462</v>
      </c>
      <c r="J10" s="11">
        <v>1.9</v>
      </c>
      <c r="K10" s="30" t="s">
        <v>105</v>
      </c>
      <c r="L10" s="6" t="s">
        <v>57</v>
      </c>
      <c r="M10" s="15">
        <v>10</v>
      </c>
      <c r="N10" s="11">
        <v>1.667</v>
      </c>
      <c r="O10" s="11">
        <v>2</v>
      </c>
      <c r="P10" s="30" t="s">
        <v>105</v>
      </c>
      <c r="Q10" s="6" t="s">
        <v>77</v>
      </c>
      <c r="R10" s="15">
        <v>14</v>
      </c>
      <c r="S10" s="22">
        <v>1.556</v>
      </c>
      <c r="T10" s="11">
        <v>2</v>
      </c>
      <c r="U10" s="30" t="s">
        <v>105</v>
      </c>
      <c r="V10" s="6"/>
      <c r="W10" s="9"/>
      <c r="X10" s="10"/>
      <c r="Y10" s="10"/>
      <c r="Z10" s="1"/>
      <c r="AC10" t="s">
        <v>102</v>
      </c>
    </row>
    <row r="11" spans="2:29" x14ac:dyDescent="0.2">
      <c r="B11" s="5" t="s">
        <v>14</v>
      </c>
      <c r="C11" s="18">
        <v>6</v>
      </c>
      <c r="D11" s="14">
        <v>0.77700000000000002</v>
      </c>
      <c r="E11" s="20">
        <v>2</v>
      </c>
      <c r="F11" s="32" t="s">
        <v>104</v>
      </c>
      <c r="G11" s="8" t="s">
        <v>37</v>
      </c>
      <c r="H11" s="18">
        <v>6</v>
      </c>
      <c r="I11" s="14">
        <v>0.85699999999999998</v>
      </c>
      <c r="J11" s="20">
        <v>2</v>
      </c>
      <c r="K11" s="35" t="s">
        <v>104</v>
      </c>
      <c r="L11" s="8" t="s">
        <v>58</v>
      </c>
      <c r="M11" s="19">
        <v>12</v>
      </c>
      <c r="N11" s="27">
        <v>1.2</v>
      </c>
      <c r="O11" s="20">
        <v>2</v>
      </c>
      <c r="P11" s="30" t="s">
        <v>105</v>
      </c>
      <c r="Q11" s="8" t="s">
        <v>78</v>
      </c>
      <c r="R11" s="19">
        <v>10</v>
      </c>
      <c r="S11" s="27">
        <v>1.429</v>
      </c>
      <c r="T11" s="20">
        <v>2</v>
      </c>
      <c r="U11" s="30" t="s">
        <v>105</v>
      </c>
      <c r="V11" s="8" t="s">
        <v>91</v>
      </c>
      <c r="W11" s="19">
        <v>211</v>
      </c>
      <c r="X11" s="20">
        <v>2.3439999999999999</v>
      </c>
      <c r="Y11" s="20">
        <v>2.069</v>
      </c>
      <c r="Z11" s="28" t="s">
        <v>105</v>
      </c>
    </row>
    <row r="12" spans="2:29" x14ac:dyDescent="0.2">
      <c r="B12" s="3" t="s">
        <v>15</v>
      </c>
      <c r="C12" s="17">
        <v>8</v>
      </c>
      <c r="D12" s="13">
        <v>1.337</v>
      </c>
      <c r="E12" s="13">
        <v>1.6</v>
      </c>
      <c r="F12" s="32" t="s">
        <v>104</v>
      </c>
      <c r="G12" s="6" t="s">
        <v>38</v>
      </c>
      <c r="H12" s="15">
        <v>23</v>
      </c>
      <c r="I12" s="22">
        <v>1.095</v>
      </c>
      <c r="J12" s="11">
        <v>1.917</v>
      </c>
      <c r="K12" s="30" t="s">
        <v>105</v>
      </c>
      <c r="L12" s="6" t="s">
        <v>59</v>
      </c>
      <c r="M12" s="15">
        <v>11</v>
      </c>
      <c r="N12" s="22">
        <v>1.1000000000000001</v>
      </c>
      <c r="O12" s="11">
        <v>1.833</v>
      </c>
      <c r="P12" s="30" t="s">
        <v>105</v>
      </c>
      <c r="Q12" s="6" t="s">
        <v>79</v>
      </c>
      <c r="R12" s="15">
        <v>12</v>
      </c>
      <c r="S12" s="22">
        <v>1.333</v>
      </c>
      <c r="T12" s="11">
        <v>2</v>
      </c>
      <c r="U12" s="30" t="s">
        <v>105</v>
      </c>
      <c r="V12" s="6" t="s">
        <v>92</v>
      </c>
      <c r="W12" s="15">
        <v>236</v>
      </c>
      <c r="X12" s="11">
        <v>2.36</v>
      </c>
      <c r="Y12" s="11">
        <v>2.0699999999999998</v>
      </c>
      <c r="Z12" s="28" t="s">
        <v>105</v>
      </c>
    </row>
    <row r="13" spans="2:29" x14ac:dyDescent="0.2">
      <c r="B13" s="3" t="s">
        <v>16</v>
      </c>
      <c r="C13" s="15">
        <v>12</v>
      </c>
      <c r="D13" s="22">
        <v>0.6</v>
      </c>
      <c r="E13" s="11">
        <v>1.714</v>
      </c>
      <c r="F13" s="30" t="s">
        <v>105</v>
      </c>
      <c r="G13" s="6" t="s">
        <v>39</v>
      </c>
      <c r="H13" s="15">
        <v>13</v>
      </c>
      <c r="I13" s="22">
        <v>1.1819999999999999</v>
      </c>
      <c r="J13" s="11">
        <v>1.857</v>
      </c>
      <c r="K13" s="30" t="s">
        <v>105</v>
      </c>
      <c r="L13" s="6" t="s">
        <v>60</v>
      </c>
      <c r="M13" s="15">
        <v>18</v>
      </c>
      <c r="N13" s="22">
        <v>1.385</v>
      </c>
      <c r="O13" s="11">
        <v>2</v>
      </c>
      <c r="P13" s="30" t="s">
        <v>105</v>
      </c>
      <c r="Q13" s="6" t="s">
        <v>80</v>
      </c>
      <c r="R13" s="15">
        <v>16</v>
      </c>
      <c r="S13" s="22">
        <v>1.2310000000000001</v>
      </c>
      <c r="T13" s="11">
        <v>2</v>
      </c>
      <c r="U13" s="30" t="s">
        <v>105</v>
      </c>
      <c r="V13" s="6" t="s">
        <v>93</v>
      </c>
      <c r="W13" s="15">
        <v>195</v>
      </c>
      <c r="X13" s="11">
        <v>2.3490000000000002</v>
      </c>
      <c r="Y13" s="11">
        <v>2.0739999999999998</v>
      </c>
      <c r="Z13" s="28" t="s">
        <v>105</v>
      </c>
    </row>
    <row r="14" spans="2:29" x14ac:dyDescent="0.2">
      <c r="B14" s="3"/>
      <c r="C14" s="9"/>
      <c r="D14" s="10"/>
      <c r="E14" s="10"/>
      <c r="F14" s="33"/>
      <c r="G14" s="6"/>
      <c r="H14" s="9"/>
      <c r="I14" s="10"/>
      <c r="J14" s="10"/>
      <c r="K14" s="33"/>
      <c r="L14" s="6"/>
      <c r="M14" s="9"/>
      <c r="N14" s="10"/>
      <c r="O14" s="10"/>
      <c r="P14" s="33"/>
      <c r="Q14" s="6"/>
      <c r="R14" s="9"/>
      <c r="S14" s="10"/>
      <c r="T14" s="10"/>
      <c r="U14" s="33"/>
      <c r="V14" s="6" t="s">
        <v>94</v>
      </c>
      <c r="W14" s="15">
        <v>91</v>
      </c>
      <c r="X14" s="11">
        <v>2.0219999999999998</v>
      </c>
      <c r="Y14" s="11">
        <v>1.9359999999999999</v>
      </c>
      <c r="Z14" s="28" t="s">
        <v>105</v>
      </c>
    </row>
    <row r="15" spans="2:29" x14ac:dyDescent="0.2">
      <c r="B15" s="3" t="s">
        <v>17</v>
      </c>
      <c r="C15" s="15">
        <v>38</v>
      </c>
      <c r="D15" s="11">
        <v>2.1110000000000002</v>
      </c>
      <c r="E15" s="11">
        <v>2</v>
      </c>
      <c r="F15" s="11" t="s">
        <v>105</v>
      </c>
      <c r="G15" s="3" t="s">
        <v>40</v>
      </c>
      <c r="H15" s="15">
        <v>34</v>
      </c>
      <c r="I15" s="11">
        <v>1.889</v>
      </c>
      <c r="J15" s="11">
        <v>2</v>
      </c>
      <c r="K15" s="30" t="s">
        <v>105</v>
      </c>
      <c r="L15" s="6" t="s">
        <v>61</v>
      </c>
      <c r="M15" s="15">
        <v>36</v>
      </c>
      <c r="N15" s="11">
        <v>2</v>
      </c>
      <c r="O15" s="11">
        <v>2</v>
      </c>
      <c r="P15" s="30" t="s">
        <v>105</v>
      </c>
      <c r="Q15" s="6" t="s">
        <v>97</v>
      </c>
      <c r="R15" s="21">
        <v>2</v>
      </c>
      <c r="S15" s="22">
        <v>0.5</v>
      </c>
      <c r="T15" s="22">
        <v>1</v>
      </c>
      <c r="U15" s="30" t="s">
        <v>105</v>
      </c>
      <c r="V15" s="6" t="s">
        <v>95</v>
      </c>
      <c r="W15" s="15">
        <v>97</v>
      </c>
      <c r="X15" s="11">
        <v>2.7639999999999998</v>
      </c>
      <c r="Y15" s="11">
        <v>1.9019999999999999</v>
      </c>
      <c r="Z15" s="28" t="s">
        <v>105</v>
      </c>
    </row>
    <row r="16" spans="2:29" x14ac:dyDescent="0.2">
      <c r="B16" s="3" t="s">
        <v>18</v>
      </c>
      <c r="C16" s="15">
        <v>33</v>
      </c>
      <c r="D16" s="22">
        <v>1.1000000000000001</v>
      </c>
      <c r="E16" s="11">
        <v>2.0630000000000002</v>
      </c>
      <c r="F16" s="11" t="s">
        <v>105</v>
      </c>
      <c r="G16" s="3" t="s">
        <v>41</v>
      </c>
      <c r="H16" s="15">
        <v>31</v>
      </c>
      <c r="I16" s="11">
        <v>1.9379999999999999</v>
      </c>
      <c r="J16" s="11">
        <v>2.0670000000000002</v>
      </c>
      <c r="K16" s="30" t="s">
        <v>105</v>
      </c>
      <c r="L16" s="8" t="s">
        <v>62</v>
      </c>
      <c r="M16" s="15">
        <v>29</v>
      </c>
      <c r="N16" s="11">
        <v>1.8120000000000001</v>
      </c>
      <c r="O16" s="11">
        <v>2.0710000000000002</v>
      </c>
      <c r="P16" s="30" t="s">
        <v>105</v>
      </c>
      <c r="Q16" s="3" t="s">
        <v>98</v>
      </c>
      <c r="R16" s="21">
        <v>2</v>
      </c>
      <c r="S16" s="22">
        <v>0.40699999999999997</v>
      </c>
      <c r="T16" s="22">
        <v>2</v>
      </c>
      <c r="U16" s="30" t="s">
        <v>105</v>
      </c>
      <c r="V16" s="6" t="s">
        <v>96</v>
      </c>
      <c r="W16" s="15">
        <v>87</v>
      </c>
      <c r="X16" s="11">
        <v>2.0710000000000002</v>
      </c>
      <c r="Y16" s="11">
        <v>1.9330000000000001</v>
      </c>
      <c r="Z16" s="28" t="s">
        <v>105</v>
      </c>
    </row>
    <row r="17" spans="2:27" x14ac:dyDescent="0.2">
      <c r="B17" s="3" t="s">
        <v>19</v>
      </c>
      <c r="C17" s="15">
        <v>33</v>
      </c>
      <c r="D17" s="11">
        <v>1.7370000000000001</v>
      </c>
      <c r="E17" s="11">
        <v>2.0630000000000002</v>
      </c>
      <c r="F17" s="11" t="s">
        <v>105</v>
      </c>
      <c r="G17" s="3" t="s">
        <v>42</v>
      </c>
      <c r="H17" s="15">
        <v>33</v>
      </c>
      <c r="I17" s="22">
        <v>1.5</v>
      </c>
      <c r="J17" s="11">
        <v>2.0630000000000002</v>
      </c>
      <c r="K17" s="30" t="s">
        <v>105</v>
      </c>
      <c r="L17" s="6" t="s">
        <v>63</v>
      </c>
      <c r="M17" s="15">
        <v>33</v>
      </c>
      <c r="N17" s="11">
        <v>1.9410000000000001</v>
      </c>
      <c r="O17" s="11">
        <v>2.0619999999999998</v>
      </c>
      <c r="P17" s="30" t="s">
        <v>105</v>
      </c>
      <c r="Q17" s="3"/>
      <c r="R17" s="9"/>
      <c r="S17" s="10"/>
      <c r="T17" s="10"/>
      <c r="U17" s="33"/>
      <c r="V17" s="6"/>
      <c r="W17" s="9"/>
      <c r="X17" s="10"/>
      <c r="Y17" s="10"/>
      <c r="Z17" s="1"/>
    </row>
    <row r="18" spans="2:27" x14ac:dyDescent="0.2">
      <c r="B18" s="3" t="s">
        <v>20</v>
      </c>
      <c r="C18" s="15">
        <v>31</v>
      </c>
      <c r="D18" s="11">
        <v>1.8240000000000001</v>
      </c>
      <c r="E18" s="11">
        <v>2.0670000000000002</v>
      </c>
      <c r="F18" s="11" t="s">
        <v>105</v>
      </c>
      <c r="G18" s="5" t="s">
        <v>43</v>
      </c>
      <c r="H18" s="19">
        <v>35</v>
      </c>
      <c r="I18" s="20">
        <v>1.944</v>
      </c>
      <c r="J18" s="20">
        <v>2.0590000000000002</v>
      </c>
      <c r="K18" s="30" t="s">
        <v>105</v>
      </c>
      <c r="L18" s="8" t="s">
        <v>64</v>
      </c>
      <c r="M18" s="15">
        <v>39</v>
      </c>
      <c r="N18" s="11">
        <v>1.857</v>
      </c>
      <c r="O18" s="11">
        <v>2.0529999999999999</v>
      </c>
      <c r="P18" s="30" t="s">
        <v>105</v>
      </c>
      <c r="Q18" s="3" t="s">
        <v>81</v>
      </c>
      <c r="R18" s="15">
        <v>68</v>
      </c>
      <c r="S18" s="11">
        <v>2.194</v>
      </c>
      <c r="T18" s="11">
        <v>2.0609999999999999</v>
      </c>
      <c r="U18" s="30" t="s">
        <v>105</v>
      </c>
      <c r="V18" s="6"/>
      <c r="W18" s="9"/>
      <c r="X18" s="10"/>
      <c r="Y18" s="10"/>
      <c r="Z18" s="1"/>
    </row>
    <row r="19" spans="2:27" x14ac:dyDescent="0.2">
      <c r="B19" s="3" t="s">
        <v>25</v>
      </c>
      <c r="C19" s="15">
        <v>34</v>
      </c>
      <c r="D19" s="11">
        <v>1.5449999999999999</v>
      </c>
      <c r="E19" s="11">
        <v>1.889</v>
      </c>
      <c r="F19" s="11" t="s">
        <v>105</v>
      </c>
      <c r="G19" s="3" t="s">
        <v>44</v>
      </c>
      <c r="H19" s="15">
        <v>39</v>
      </c>
      <c r="I19" s="11">
        <v>1.857</v>
      </c>
      <c r="J19" s="11">
        <v>2.0529999999999999</v>
      </c>
      <c r="K19" s="30" t="s">
        <v>105</v>
      </c>
      <c r="L19" s="6" t="s">
        <v>65</v>
      </c>
      <c r="M19" s="15">
        <v>37</v>
      </c>
      <c r="N19" s="11">
        <v>1.6819999999999999</v>
      </c>
      <c r="O19" s="11">
        <v>2.056</v>
      </c>
      <c r="P19" s="30" t="s">
        <v>105</v>
      </c>
      <c r="Q19" s="3" t="s">
        <v>82</v>
      </c>
      <c r="R19" s="19">
        <v>70</v>
      </c>
      <c r="S19" s="20">
        <v>2.2559999999999998</v>
      </c>
      <c r="T19" s="20">
        <v>2.0590000000000002</v>
      </c>
      <c r="U19" s="30" t="s">
        <v>105</v>
      </c>
      <c r="V19" s="6"/>
      <c r="W19" s="9"/>
      <c r="X19" s="10"/>
      <c r="Y19" s="10"/>
      <c r="Z19" s="1"/>
    </row>
    <row r="20" spans="2:27" x14ac:dyDescent="0.2">
      <c r="B20" s="3" t="s">
        <v>24</v>
      </c>
      <c r="C20" s="15">
        <v>17</v>
      </c>
      <c r="D20" s="11">
        <v>1.7</v>
      </c>
      <c r="E20" s="11">
        <v>1.889</v>
      </c>
      <c r="F20" s="11" t="s">
        <v>105</v>
      </c>
      <c r="G20" s="3" t="s">
        <v>45</v>
      </c>
      <c r="H20" s="15">
        <v>20</v>
      </c>
      <c r="I20" s="11">
        <v>2</v>
      </c>
      <c r="J20" s="11">
        <v>2</v>
      </c>
      <c r="K20" s="30" t="s">
        <v>105</v>
      </c>
      <c r="L20" s="6" t="s">
        <v>66</v>
      </c>
      <c r="M20" s="15">
        <v>17</v>
      </c>
      <c r="N20" s="22">
        <v>1.133</v>
      </c>
      <c r="O20" s="11">
        <v>1.889</v>
      </c>
      <c r="P20" s="30" t="s">
        <v>105</v>
      </c>
      <c r="Q20" s="3" t="s">
        <v>83</v>
      </c>
      <c r="R20" s="15">
        <v>60</v>
      </c>
      <c r="S20" s="11">
        <v>2.153</v>
      </c>
      <c r="T20" s="11">
        <v>2.069</v>
      </c>
      <c r="U20" s="30" t="s">
        <v>105</v>
      </c>
      <c r="V20" s="6"/>
      <c r="W20" s="9"/>
      <c r="X20" s="10"/>
      <c r="Y20" s="10"/>
      <c r="Z20" s="1"/>
    </row>
    <row r="21" spans="2:27" x14ac:dyDescent="0.2">
      <c r="B21" s="3" t="s">
        <v>26</v>
      </c>
      <c r="C21" s="15">
        <v>19</v>
      </c>
      <c r="D21" s="22">
        <v>1.1180000000000001</v>
      </c>
      <c r="E21" s="11">
        <v>1.9</v>
      </c>
      <c r="F21" s="11" t="s">
        <v>105</v>
      </c>
      <c r="G21" s="3" t="s">
        <v>46</v>
      </c>
      <c r="H21" s="17">
        <v>9</v>
      </c>
      <c r="I21" s="13">
        <v>1.333</v>
      </c>
      <c r="J21" s="11">
        <v>2</v>
      </c>
      <c r="K21" s="32" t="s">
        <v>104</v>
      </c>
      <c r="L21" s="6" t="s">
        <v>67</v>
      </c>
      <c r="M21" s="15">
        <v>17</v>
      </c>
      <c r="N21" s="22">
        <v>1.3080000000000001</v>
      </c>
      <c r="O21" s="11">
        <v>1.889</v>
      </c>
      <c r="P21" s="30" t="s">
        <v>105</v>
      </c>
      <c r="Q21" s="3" t="s">
        <v>84</v>
      </c>
      <c r="R21" s="15">
        <v>20</v>
      </c>
      <c r="S21" s="22">
        <v>1.429</v>
      </c>
      <c r="T21" s="11">
        <v>2</v>
      </c>
      <c r="U21" s="30" t="s">
        <v>105</v>
      </c>
      <c r="V21" s="6"/>
      <c r="W21" s="9"/>
      <c r="X21" s="10"/>
      <c r="Y21" s="10"/>
      <c r="Z21" s="1"/>
    </row>
    <row r="22" spans="2:27" x14ac:dyDescent="0.2">
      <c r="B22" s="3" t="s">
        <v>27</v>
      </c>
      <c r="C22" s="15">
        <v>20</v>
      </c>
      <c r="D22" s="22">
        <v>1.0529999999999999</v>
      </c>
      <c r="E22" s="11">
        <v>2</v>
      </c>
      <c r="F22" s="11" t="s">
        <v>105</v>
      </c>
      <c r="G22" s="5" t="s">
        <v>47</v>
      </c>
      <c r="H22" s="19">
        <v>17</v>
      </c>
      <c r="I22" s="27">
        <v>1.5449999999999999</v>
      </c>
      <c r="J22" s="20">
        <v>1.889</v>
      </c>
      <c r="K22" s="31" t="s">
        <v>105</v>
      </c>
      <c r="L22" s="8" t="s">
        <v>68</v>
      </c>
      <c r="M22" s="15">
        <v>19</v>
      </c>
      <c r="N22" s="22">
        <v>1.583</v>
      </c>
      <c r="O22" s="11">
        <v>1.9</v>
      </c>
      <c r="P22" s="30" t="s">
        <v>105</v>
      </c>
      <c r="Q22" s="8" t="s">
        <v>85</v>
      </c>
      <c r="R22" s="15">
        <v>23</v>
      </c>
      <c r="S22" s="11">
        <v>1.2110000000000001</v>
      </c>
      <c r="T22" s="11">
        <v>1.7689999999999999</v>
      </c>
      <c r="U22" s="30" t="s">
        <v>105</v>
      </c>
      <c r="V22" s="6"/>
      <c r="W22" s="9"/>
      <c r="X22" s="10"/>
      <c r="Y22" s="10"/>
      <c r="Z22" s="1"/>
    </row>
    <row r="23" spans="2:27" x14ac:dyDescent="0.2">
      <c r="B23" s="3" t="s">
        <v>28</v>
      </c>
      <c r="C23" s="15">
        <v>21</v>
      </c>
      <c r="D23" s="22">
        <v>1.167</v>
      </c>
      <c r="E23" s="11">
        <v>1.909</v>
      </c>
      <c r="F23" s="11" t="s">
        <v>105</v>
      </c>
      <c r="G23" s="3" t="s">
        <v>48</v>
      </c>
      <c r="H23" s="15">
        <v>20</v>
      </c>
      <c r="I23" s="22">
        <v>1.222</v>
      </c>
      <c r="J23" s="11">
        <v>2</v>
      </c>
      <c r="K23" s="31" t="s">
        <v>105</v>
      </c>
      <c r="L23" s="6" t="s">
        <v>69</v>
      </c>
      <c r="M23" s="15">
        <v>19</v>
      </c>
      <c r="N23" s="22">
        <v>1.1879999999999999</v>
      </c>
      <c r="O23" s="11">
        <v>1.9</v>
      </c>
      <c r="P23" s="30" t="s">
        <v>105</v>
      </c>
      <c r="Q23" s="6" t="s">
        <v>86</v>
      </c>
      <c r="R23" s="15">
        <v>32</v>
      </c>
      <c r="S23" s="22">
        <v>0.97</v>
      </c>
      <c r="T23" s="11">
        <v>1.778</v>
      </c>
      <c r="U23" s="30" t="s">
        <v>105</v>
      </c>
      <c r="V23" s="6"/>
      <c r="W23" s="9"/>
      <c r="X23" s="10"/>
      <c r="Y23" s="10"/>
      <c r="Z23" s="1"/>
    </row>
    <row r="24" spans="2:27" x14ac:dyDescent="0.2">
      <c r="B24" s="3" t="s">
        <v>29</v>
      </c>
      <c r="C24" s="15">
        <v>20</v>
      </c>
      <c r="D24" s="22">
        <v>1.25</v>
      </c>
      <c r="E24" s="11">
        <v>2</v>
      </c>
      <c r="F24" s="11" t="s">
        <v>105</v>
      </c>
      <c r="G24" s="5" t="s">
        <v>49</v>
      </c>
      <c r="H24" s="19">
        <v>24</v>
      </c>
      <c r="I24" s="27">
        <v>1.5</v>
      </c>
      <c r="J24" s="20">
        <v>2</v>
      </c>
      <c r="K24" s="31" t="s">
        <v>105</v>
      </c>
      <c r="L24" s="3" t="s">
        <v>70</v>
      </c>
      <c r="M24" s="15">
        <v>16</v>
      </c>
      <c r="N24" s="22">
        <v>0.72699999999999998</v>
      </c>
      <c r="O24" s="11">
        <v>1.778</v>
      </c>
      <c r="P24" s="30" t="s">
        <v>105</v>
      </c>
      <c r="Q24" s="6"/>
      <c r="R24" s="9"/>
      <c r="S24" s="10"/>
      <c r="T24" s="10"/>
      <c r="U24" s="33"/>
      <c r="V24" s="6"/>
      <c r="W24" s="9"/>
      <c r="X24" s="10"/>
      <c r="Y24" s="10"/>
      <c r="Z24" s="1"/>
    </row>
    <row r="28" spans="2:27" x14ac:dyDescent="0.2">
      <c r="AA28" t="s">
        <v>125</v>
      </c>
    </row>
    <row r="29" spans="2:27" x14ac:dyDescent="0.2">
      <c r="AA29" t="s">
        <v>115</v>
      </c>
    </row>
    <row r="30" spans="2:27" x14ac:dyDescent="0.2">
      <c r="AA30" t="s">
        <v>123</v>
      </c>
    </row>
    <row r="31" spans="2:27" x14ac:dyDescent="0.2">
      <c r="AA31" t="s">
        <v>116</v>
      </c>
    </row>
    <row r="32" spans="2:27" x14ac:dyDescent="0.2">
      <c r="AA32" t="s">
        <v>130</v>
      </c>
    </row>
    <row r="33" spans="27:27" x14ac:dyDescent="0.2">
      <c r="AA33" t="s">
        <v>117</v>
      </c>
    </row>
    <row r="34" spans="27:27" x14ac:dyDescent="0.2">
      <c r="AA34" t="s">
        <v>118</v>
      </c>
    </row>
    <row r="35" spans="27:27" x14ac:dyDescent="0.2">
      <c r="AA35" t="s">
        <v>119</v>
      </c>
    </row>
    <row r="36" spans="27:27" x14ac:dyDescent="0.2">
      <c r="AA36" t="s">
        <v>124</v>
      </c>
    </row>
    <row r="37" spans="27:27" x14ac:dyDescent="0.2">
      <c r="AA37" t="s">
        <v>122</v>
      </c>
    </row>
    <row r="38" spans="27:27" x14ac:dyDescent="0.2">
      <c r="AA38" t="s">
        <v>121</v>
      </c>
    </row>
    <row r="39" spans="27:27" x14ac:dyDescent="0.2">
      <c r="AA39" t="s">
        <v>120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E6B95-27B7-4D10-A55B-290CC3CD8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Bacteria Enumerations</vt:lpstr>
      <vt:lpstr>Eurofins Experiment trial 1</vt:lpstr>
      <vt:lpstr>Nanodrop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Priestley</dc:creator>
  <cp:lastModifiedBy>Jessica Priestley (25020863)</cp:lastModifiedBy>
  <cp:lastPrinted>2024-03-27T12:03:15Z</cp:lastPrinted>
  <dcterms:created xsi:type="dcterms:W3CDTF">2024-03-25T17:16:24Z</dcterms:created>
  <dcterms:modified xsi:type="dcterms:W3CDTF">2024-11-01T08:34:59Z</dcterms:modified>
</cp:coreProperties>
</file>