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7740" tabRatio="764"/>
  </bookViews>
  <sheets>
    <sheet name="Bivariate Sampling (Ex 1)" sheetId="1" r:id="rId1"/>
    <sheet name="Controlled Experiment (Ex 2)" sheetId="2" r:id="rId2"/>
    <sheet name="Extreme Groups (Ex 3)" sheetId="4" r:id="rId3"/>
    <sheet name="Extreme Groups (Ex 4)" sheetId="3" r:id="rId4"/>
  </sheets>
  <calcPr calcId="145621"/>
</workbook>
</file>

<file path=xl/calcChain.xml><?xml version="1.0" encoding="utf-8"?>
<calcChain xmlns="http://schemas.openxmlformats.org/spreadsheetml/2006/main">
  <c r="B8" i="4" l="1"/>
  <c r="T7" i="3" l="1"/>
  <c r="T6" i="3"/>
  <c r="T5" i="3"/>
  <c r="T4" i="3"/>
  <c r="U7" i="3"/>
  <c r="U6" i="3"/>
  <c r="U5" i="3"/>
  <c r="H8" i="3"/>
  <c r="T7" i="4"/>
  <c r="B13" i="4"/>
  <c r="B8" i="2"/>
  <c r="B11" i="2"/>
  <c r="B10" i="2"/>
  <c r="B5" i="2"/>
  <c r="B5" i="4" l="1"/>
  <c r="H5" i="4" s="1"/>
  <c r="P9" i="4"/>
  <c r="L9" i="4" s="1"/>
  <c r="P8" i="4"/>
  <c r="L8" i="4" s="1"/>
  <c r="E5" i="4"/>
  <c r="H6" i="1"/>
  <c r="E5" i="1"/>
  <c r="E6" i="1" s="1"/>
  <c r="H7" i="2"/>
  <c r="H6" i="2"/>
  <c r="G20" i="3"/>
  <c r="E5" i="2"/>
  <c r="H5" i="2" s="1"/>
  <c r="G5" i="2" s="1"/>
  <c r="P7" i="3"/>
  <c r="O9" i="3"/>
  <c r="K9" i="3" s="1"/>
  <c r="N9" i="3"/>
  <c r="O8" i="3"/>
  <c r="N8" i="3"/>
  <c r="P9" i="3"/>
  <c r="P8" i="3"/>
  <c r="J9" i="3"/>
  <c r="K8" i="3"/>
  <c r="N7" i="3"/>
  <c r="K6" i="3"/>
  <c r="J6" i="3"/>
  <c r="O6" i="3"/>
  <c r="N6" i="3"/>
  <c r="O7" i="3"/>
  <c r="K7" i="3" s="1"/>
  <c r="L9" i="3"/>
  <c r="L8" i="3"/>
  <c r="J8" i="3"/>
  <c r="J7" i="3"/>
  <c r="B5" i="3"/>
  <c r="E6" i="4" l="1"/>
  <c r="E8" i="4" s="1"/>
  <c r="B9" i="4"/>
  <c r="O5" i="4"/>
  <c r="K5" i="4" s="1"/>
  <c r="H5" i="1"/>
  <c r="G5" i="1"/>
  <c r="G6" i="1"/>
  <c r="E6" i="2"/>
  <c r="E7" i="2" s="1"/>
  <c r="H5" i="3"/>
  <c r="O5" i="3" s="1"/>
  <c r="K5" i="3" s="1"/>
  <c r="E7" i="3"/>
  <c r="E9" i="3" s="1"/>
  <c r="E6" i="3"/>
  <c r="E8" i="3" s="1"/>
  <c r="E5" i="3"/>
  <c r="E7" i="4" l="1"/>
  <c r="E9" i="4" s="1"/>
  <c r="T6" i="4"/>
  <c r="G6" i="2"/>
  <c r="G7" i="2"/>
  <c r="E11" i="3"/>
  <c r="E11" i="4" l="1"/>
  <c r="E10" i="3"/>
  <c r="H6" i="3" s="1"/>
  <c r="G22" i="3" s="1"/>
  <c r="U24" i="4" l="1"/>
  <c r="E10" i="4"/>
  <c r="T5" i="4" s="1"/>
  <c r="H20" i="3"/>
  <c r="H21" i="3"/>
  <c r="G21" i="3"/>
  <c r="G24" i="3"/>
  <c r="G25" i="3"/>
  <c r="H22" i="3"/>
  <c r="H24" i="3"/>
  <c r="H25" i="3"/>
  <c r="H7" i="3"/>
  <c r="G23" i="3"/>
  <c r="H23" i="3"/>
  <c r="O6" i="4" l="1"/>
  <c r="K6" i="4" s="1"/>
  <c r="H6" i="4"/>
  <c r="O9" i="4"/>
  <c r="K9" i="4" s="1"/>
  <c r="O8" i="4"/>
  <c r="K8" i="4" s="1"/>
  <c r="O7" i="4"/>
  <c r="K7" i="4" s="1"/>
  <c r="H7" i="4"/>
  <c r="P22" i="3"/>
  <c r="Q22" i="3" s="1"/>
  <c r="O21" i="3"/>
  <c r="L7" i="3"/>
  <c r="O22" i="3"/>
  <c r="P20" i="3"/>
  <c r="P23" i="3"/>
  <c r="O20" i="3"/>
  <c r="O23" i="3"/>
  <c r="P21" i="3"/>
  <c r="H9" i="3"/>
  <c r="G24" i="4" l="1"/>
  <c r="G20" i="4"/>
  <c r="G23" i="4"/>
  <c r="G22" i="4"/>
  <c r="G25" i="4"/>
  <c r="G21" i="4"/>
  <c r="P20" i="4"/>
  <c r="O23" i="4"/>
  <c r="P21" i="4"/>
  <c r="P24" i="4"/>
  <c r="H9" i="4"/>
  <c r="P22" i="4"/>
  <c r="O24" i="4"/>
  <c r="P23" i="4"/>
  <c r="P7" i="4"/>
  <c r="L7" i="4" s="1"/>
  <c r="O21" i="4"/>
  <c r="O20" i="4"/>
  <c r="O22" i="4"/>
  <c r="H21" i="4"/>
  <c r="H20" i="4"/>
  <c r="H25" i="4"/>
  <c r="H24" i="4"/>
  <c r="H23" i="4"/>
  <c r="H22" i="4"/>
  <c r="Q21" i="3"/>
  <c r="N5" i="3" s="1"/>
  <c r="J5" i="3" s="1"/>
  <c r="Q23" i="3"/>
  <c r="Q20" i="3"/>
  <c r="Q20" i="4" l="1"/>
  <c r="Q21" i="4"/>
  <c r="Q23" i="4"/>
  <c r="H8" i="4"/>
  <c r="Q22" i="4"/>
  <c r="T4" i="4" l="1"/>
  <c r="N5" i="4"/>
  <c r="T24" i="4"/>
  <c r="U7" i="4" l="1"/>
  <c r="N9" i="4"/>
  <c r="J9" i="4" s="1"/>
  <c r="N8" i="4"/>
  <c r="J8" i="4" s="1"/>
  <c r="U5" i="4"/>
  <c r="N7" i="4"/>
  <c r="J7" i="4" s="1"/>
  <c r="U6" i="4"/>
  <c r="J5" i="4"/>
  <c r="N6" i="4"/>
  <c r="J6" i="4" s="1"/>
</calcChain>
</file>

<file path=xl/comments1.xml><?xml version="1.0" encoding="utf-8"?>
<comments xmlns="http://schemas.openxmlformats.org/spreadsheetml/2006/main">
  <authors>
    <author>James Eric Pustejovsky</author>
  </authors>
  <commentList>
    <comment ref="H5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(12).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(9).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(13).</t>
        </r>
      </text>
    </comment>
  </commentList>
</comments>
</file>

<file path=xl/comments2.xml><?xml version="1.0" encoding="utf-8"?>
<comments xmlns="http://schemas.openxmlformats.org/spreadsheetml/2006/main">
  <authors>
    <author>James Eric Pustejovsky</author>
  </authors>
  <commentList>
    <comment ref="H5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(14).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(4).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(15).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(9).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(16).</t>
        </r>
      </text>
    </comment>
  </commentList>
</comments>
</file>

<file path=xl/comments3.xml><?xml version="1.0" encoding="utf-8"?>
<comments xmlns="http://schemas.openxmlformats.org/spreadsheetml/2006/main">
  <authors>
    <author>James Eric Pustejovsky</author>
  </authors>
  <commentList>
    <comment ref="N5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(27).</t>
        </r>
      </text>
    </comment>
    <comment ref="O5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(14).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(7).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(6).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(19).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(19).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(12).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(11).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(20).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(20).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(13).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(10).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(20).</t>
        </r>
      </text>
    </comment>
    <comment ref="O9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(20).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(13).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(5).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(5).</t>
        </r>
      </text>
    </comment>
  </commentList>
</comments>
</file>

<file path=xl/comments4.xml><?xml version="1.0" encoding="utf-8"?>
<comments xmlns="http://schemas.openxmlformats.org/spreadsheetml/2006/main">
  <authors>
    <author>James Eric Pustejovsky</author>
  </authors>
  <commentList>
    <comment ref="N5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(27).</t>
        </r>
      </text>
    </comment>
    <comment ref="O5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(14).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(7).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(6).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(19).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(19).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(12).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(11).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(20).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(20).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(13).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(10).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(20).</t>
        </r>
      </text>
    </comment>
    <comment ref="O9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(20).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(13).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(5).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James Eric Pustejovsky:</t>
        </r>
        <r>
          <rPr>
            <sz val="9"/>
            <color indexed="81"/>
            <rFont val="Tahoma"/>
            <family val="2"/>
          </rPr>
          <t xml:space="preserve">
See formula (5).</t>
        </r>
      </text>
    </comment>
  </commentList>
</comments>
</file>

<file path=xl/sharedStrings.xml><?xml version="1.0" encoding="utf-8"?>
<sst xmlns="http://schemas.openxmlformats.org/spreadsheetml/2006/main" count="109" uniqueCount="53">
  <si>
    <t>d</t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</si>
  <si>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</si>
  <si>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</si>
  <si>
    <r>
      <t>p</t>
    </r>
    <r>
      <rPr>
        <vertAlign val="subscript"/>
        <sz val="11"/>
        <color theme="1"/>
        <rFont val="Calibri"/>
        <family val="2"/>
        <scheme val="minor"/>
      </rPr>
      <t>1</t>
    </r>
  </si>
  <si>
    <r>
      <t>p</t>
    </r>
    <r>
      <rPr>
        <vertAlign val="subscript"/>
        <sz val="11"/>
        <color theme="1"/>
        <rFont val="Calibri"/>
        <family val="2"/>
        <scheme val="minor"/>
      </rPr>
      <t>2</t>
    </r>
  </si>
  <si>
    <t>User entry</t>
  </si>
  <si>
    <t>Auxilliary statistics</t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</si>
  <si>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</si>
  <si>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</si>
  <si>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</si>
  <si>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</si>
  <si>
    <t>a</t>
  </si>
  <si>
    <t>b</t>
  </si>
  <si>
    <t>f</t>
  </si>
  <si>
    <t>Effect size</t>
  </si>
  <si>
    <r>
      <t>r</t>
    </r>
    <r>
      <rPr>
        <vertAlign val="subscript"/>
        <sz val="11"/>
        <color theme="1"/>
        <rFont val="Calibri"/>
        <family val="2"/>
        <scheme val="minor"/>
      </rPr>
      <t>pbs</t>
    </r>
  </si>
  <si>
    <r>
      <t>r</t>
    </r>
    <r>
      <rPr>
        <vertAlign val="subscript"/>
        <sz val="11"/>
        <color theme="1"/>
        <rFont val="Calibri"/>
        <family val="2"/>
        <scheme val="minor"/>
      </rPr>
      <t>eg</t>
    </r>
  </si>
  <si>
    <t>k</t>
  </si>
  <si>
    <r>
      <t>Z</t>
    </r>
    <r>
      <rPr>
        <vertAlign val="superscript"/>
        <sz val="11"/>
        <color theme="1"/>
        <rFont val="Calibri"/>
        <family val="2"/>
        <scheme val="minor"/>
      </rPr>
      <t>(k)</t>
    </r>
    <r>
      <rPr>
        <sz val="11"/>
        <color theme="1"/>
        <rFont val="Calibri"/>
        <family val="2"/>
        <scheme val="minor"/>
      </rPr>
      <t>(r</t>
    </r>
    <r>
      <rPr>
        <vertAlign val="subscript"/>
        <sz val="11"/>
        <color theme="1"/>
        <rFont val="Calibri"/>
        <family val="2"/>
        <scheme val="minor"/>
      </rPr>
      <t>pbs</t>
    </r>
    <r>
      <rPr>
        <sz val="11"/>
        <color theme="1"/>
        <rFont val="Calibri"/>
        <family val="2"/>
        <scheme val="minor"/>
      </rPr>
      <t>)</t>
    </r>
  </si>
  <si>
    <r>
      <t>(b-1)</t>
    </r>
    <r>
      <rPr>
        <vertAlign val="super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(r</t>
    </r>
    <r>
      <rPr>
        <vertAlign val="subscript"/>
        <sz val="11"/>
        <color theme="1"/>
        <rFont val="Calibri"/>
        <family val="2"/>
        <scheme val="minor"/>
      </rPr>
      <t>pbs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/k!</t>
    </r>
  </si>
  <si>
    <t>k1</t>
  </si>
  <si>
    <t>k2</t>
  </si>
  <si>
    <t>k3</t>
  </si>
  <si>
    <t>k4</t>
  </si>
  <si>
    <r>
      <t>Z</t>
    </r>
    <r>
      <rPr>
        <vertAlign val="superscript"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5</t>
    </r>
  </si>
  <si>
    <r>
      <t>Z</t>
    </r>
    <r>
      <rPr>
        <vertAlign val="superscript"/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12</t>
    </r>
  </si>
  <si>
    <r>
      <t>Calculations for Z</t>
    </r>
    <r>
      <rPr>
        <b/>
        <vertAlign val="superscript"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5</t>
    </r>
  </si>
  <si>
    <t>Total</t>
  </si>
  <si>
    <r>
      <t>Calculations for V</t>
    </r>
    <r>
      <rPr>
        <b/>
        <vertAlign val="subscript"/>
        <sz val="11"/>
        <color theme="1"/>
        <rFont val="Calibri"/>
        <family val="2"/>
        <scheme val="minor"/>
      </rPr>
      <t>eg</t>
    </r>
  </si>
  <si>
    <r>
      <t>se</t>
    </r>
    <r>
      <rPr>
        <b/>
        <u val="singleAccounting"/>
        <vertAlign val="subscript"/>
        <sz val="11"/>
        <color theme="1"/>
        <rFont val="Calibri"/>
        <family val="2"/>
        <scheme val="minor"/>
      </rPr>
      <t>eg</t>
    </r>
  </si>
  <si>
    <r>
      <t>se</t>
    </r>
    <r>
      <rPr>
        <b/>
        <u val="singleAccounting"/>
        <vertAlign val="subscript"/>
        <sz val="11"/>
        <color theme="1"/>
        <rFont val="Calibri"/>
        <family val="2"/>
        <scheme val="minor"/>
      </rPr>
      <t>ce</t>
    </r>
  </si>
  <si>
    <r>
      <t>se</t>
    </r>
    <r>
      <rPr>
        <b/>
        <u val="singleAccounting"/>
        <vertAlign val="subscript"/>
        <sz val="11"/>
        <color theme="1"/>
        <rFont val="Calibri"/>
        <family val="2"/>
        <scheme val="minor"/>
      </rPr>
      <t>p</t>
    </r>
  </si>
  <si>
    <r>
      <t>V</t>
    </r>
    <r>
      <rPr>
        <b/>
        <u val="singleAccounting"/>
        <vertAlign val="subscript"/>
        <sz val="11"/>
        <color theme="1"/>
        <rFont val="Calibri"/>
        <family val="2"/>
        <scheme val="minor"/>
      </rPr>
      <t>eg</t>
    </r>
  </si>
  <si>
    <r>
      <t>V</t>
    </r>
    <r>
      <rPr>
        <b/>
        <u val="singleAccounting"/>
        <vertAlign val="subscript"/>
        <sz val="11"/>
        <color theme="1"/>
        <rFont val="Calibri"/>
        <family val="2"/>
        <scheme val="minor"/>
      </rPr>
      <t>ce</t>
    </r>
  </si>
  <si>
    <r>
      <t>V</t>
    </r>
    <r>
      <rPr>
        <b/>
        <u val="singleAccounting"/>
        <vertAlign val="subscript"/>
        <sz val="11"/>
        <color theme="1"/>
        <rFont val="Calibri"/>
        <family val="2"/>
        <scheme val="minor"/>
      </rPr>
      <t>p</t>
    </r>
  </si>
  <si>
    <t>Effect size and variance calculations for extreme groups designs</t>
  </si>
  <si>
    <t>Effect size and variance calculations for controlled experimental design</t>
  </si>
  <si>
    <r>
      <t>r</t>
    </r>
    <r>
      <rPr>
        <vertAlign val="subscript"/>
        <sz val="11"/>
        <color theme="1"/>
        <rFont val="Calibri"/>
        <family val="2"/>
        <scheme val="minor"/>
      </rPr>
      <t>ce</t>
    </r>
  </si>
  <si>
    <r>
      <t>Z</t>
    </r>
    <r>
      <rPr>
        <vertAlign val="subscript"/>
        <sz val="11"/>
        <color theme="1"/>
        <rFont val="Calibri"/>
        <family val="2"/>
        <scheme val="minor"/>
      </rPr>
      <t>ce</t>
    </r>
  </si>
  <si>
    <r>
      <rPr>
        <sz val="11"/>
        <color theme="1"/>
        <rFont val="Calibri"/>
        <family val="2"/>
      </rPr>
      <t>λ</t>
    </r>
    <r>
      <rPr>
        <vertAlign val="subscript"/>
        <sz val="11"/>
        <color theme="1"/>
        <rFont val="Calibri"/>
        <family val="2"/>
      </rPr>
      <t xml:space="preserve">2 </t>
    </r>
    <r>
      <rPr>
        <sz val="11"/>
        <color theme="1"/>
        <rFont val="Calibri"/>
        <family val="2"/>
      </rPr>
      <t>- λ</t>
    </r>
    <r>
      <rPr>
        <vertAlign val="subscript"/>
        <sz val="11"/>
        <color theme="1"/>
        <rFont val="Calibri"/>
        <family val="2"/>
        <scheme val="minor"/>
      </rPr>
      <t>1</t>
    </r>
  </si>
  <si>
    <t>Effect size and variance calculations for bivariate sampling design</t>
  </si>
  <si>
    <r>
      <t>r</t>
    </r>
    <r>
      <rPr>
        <vertAlign val="subscript"/>
        <sz val="11"/>
        <color theme="1"/>
        <rFont val="Calibri"/>
        <family val="2"/>
        <scheme val="minor"/>
      </rPr>
      <t>p</t>
    </r>
  </si>
  <si>
    <t>n</t>
  </si>
  <si>
    <r>
      <t>Z</t>
    </r>
    <r>
      <rPr>
        <vertAlign val="subscript"/>
        <sz val="11"/>
        <color theme="1"/>
        <rFont val="Calibri"/>
        <family val="2"/>
        <scheme val="minor"/>
      </rPr>
      <t>p</t>
    </r>
  </si>
  <si>
    <t>(including dichotomization designs)</t>
  </si>
  <si>
    <t>Dichotomization</t>
  </si>
  <si>
    <t>Balanced EG</t>
  </si>
  <si>
    <t>Median Split</t>
  </si>
  <si>
    <t>Actual</t>
  </si>
  <si>
    <t>Week 5</t>
  </si>
  <si>
    <t>Week 10</t>
  </si>
  <si>
    <t>population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</si>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</sst>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"/>
    <numFmt numFmtId="165" formatCode="0.00000"/>
    <numFmt numFmtId="166" formatCode="0.0000"/>
    <numFmt numFmtId="167" formatCode="0.000000"/>
    <numFmt numFmtId="168" formatCode="0.0000000"/>
    <numFmt numFmtId="169" formatCode="0.0000000000"/>
    <numFmt numFmtId="170" formatCode="0.000000000000"/>
    <numFmt numFmtId="171" formatCode="0.00000000000000"/>
    <numFmt numFmtId="172" formatCode="0.000000000"/>
  </numFmts>
  <fonts count="1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u val="singleAccounting"/>
      <vertAlign val="subscript"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Fill="1" applyAlignment="1">
      <alignment horizontal="right" indent="2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indent="2"/>
    </xf>
    <xf numFmtId="164" fontId="0" fillId="0" borderId="0" xfId="0" applyNumberFormat="1" applyAlignment="1">
      <alignment horizontal="right" indent="1"/>
    </xf>
    <xf numFmtId="165" fontId="0" fillId="0" borderId="0" xfId="0" applyNumberFormat="1" applyAlignment="1">
      <alignment horizontal="right" indent="1"/>
    </xf>
    <xf numFmtId="166" fontId="0" fillId="0" borderId="0" xfId="0" applyNumberFormat="1"/>
    <xf numFmtId="166" fontId="0" fillId="0" borderId="0" xfId="0" applyNumberFormat="1" applyAlignment="1">
      <alignment horizontal="right" indent="1"/>
    </xf>
    <xf numFmtId="167" fontId="0" fillId="0" borderId="0" xfId="0" applyNumberFormat="1"/>
    <xf numFmtId="2" fontId="0" fillId="2" borderId="0" xfId="0" applyNumberFormat="1" applyFill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67" fontId="0" fillId="0" borderId="0" xfId="0" applyNumberFormat="1" applyAlignment="1">
      <alignment horizontal="left" indent="3"/>
    </xf>
    <xf numFmtId="0" fontId="6" fillId="0" borderId="0" xfId="0" applyFont="1" applyAlignment="1">
      <alignment horizontal="center"/>
    </xf>
    <xf numFmtId="0" fontId="8" fillId="0" borderId="0" xfId="0" applyFont="1" applyBorder="1"/>
    <xf numFmtId="0" fontId="9" fillId="0" borderId="0" xfId="0" applyFont="1"/>
    <xf numFmtId="0" fontId="3" fillId="0" borderId="0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right" indent="1"/>
    </xf>
    <xf numFmtId="172" fontId="0" fillId="0" borderId="0" xfId="0" applyNumberFormat="1"/>
    <xf numFmtId="170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7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Fill="1" applyAlignment="1">
      <alignment horizontal="left"/>
    </xf>
    <xf numFmtId="0" fontId="6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E40" sqref="E40"/>
    </sheetView>
  </sheetViews>
  <sheetFormatPr defaultRowHeight="15" x14ac:dyDescent="0.25"/>
  <cols>
    <col min="5" max="5" width="10.85546875" bestFit="1" customWidth="1"/>
    <col min="6" max="6" width="1.5703125" customWidth="1"/>
    <col min="7" max="7" width="8.140625" customWidth="1"/>
    <col min="8" max="8" width="9.85546875" bestFit="1" customWidth="1"/>
    <col min="9" max="9" width="7.28515625" bestFit="1" customWidth="1"/>
    <col min="11" max="12" width="17.5703125" bestFit="1" customWidth="1"/>
    <col min="13" max="13" width="12.5703125" bestFit="1" customWidth="1"/>
  </cols>
  <sheetData>
    <row r="1" spans="1:11" x14ac:dyDescent="0.25">
      <c r="A1" s="19" t="s">
        <v>40</v>
      </c>
    </row>
    <row r="2" spans="1:11" x14ac:dyDescent="0.25">
      <c r="A2" s="19"/>
    </row>
    <row r="4" spans="1:11" ht="17.25" x14ac:dyDescent="0.4">
      <c r="A4" s="31" t="s">
        <v>5</v>
      </c>
      <c r="B4" s="31"/>
      <c r="C4" s="18"/>
      <c r="E4" s="17" t="s">
        <v>14</v>
      </c>
      <c r="F4" s="17"/>
      <c r="G4" s="17" t="s">
        <v>31</v>
      </c>
      <c r="H4" s="17" t="s">
        <v>34</v>
      </c>
    </row>
    <row r="5" spans="1:11" ht="18" x14ac:dyDescent="0.35">
      <c r="A5" s="21" t="s">
        <v>41</v>
      </c>
      <c r="B5" s="11">
        <v>0.57999999999999996</v>
      </c>
      <c r="D5" s="22" t="s">
        <v>41</v>
      </c>
      <c r="E5" s="23">
        <f>B5</f>
        <v>0.57999999999999996</v>
      </c>
      <c r="F5" s="23"/>
      <c r="G5" s="23">
        <f>SQRT(H5)</f>
        <v>5.1661189934558663E-2</v>
      </c>
      <c r="H5" s="9">
        <f>(1-E5^2)^2/B6</f>
        <v>2.6688785454545452E-3</v>
      </c>
    </row>
    <row r="6" spans="1:11" ht="18" x14ac:dyDescent="0.35">
      <c r="A6" s="21" t="s">
        <v>42</v>
      </c>
      <c r="B6" s="1">
        <v>165</v>
      </c>
      <c r="D6" s="16" t="s">
        <v>43</v>
      </c>
      <c r="E6" s="23">
        <f>(LN(1+E5)-LN(1-E5))/2</f>
        <v>0.66246270737179924</v>
      </c>
      <c r="F6" s="23"/>
      <c r="G6" s="23">
        <f>SQRT(H6)</f>
        <v>7.8567420131838608E-2</v>
      </c>
      <c r="H6" s="9">
        <f>1/(B6-3)</f>
        <v>6.1728395061728392E-3</v>
      </c>
      <c r="K6" s="14"/>
    </row>
    <row r="7" spans="1:11" x14ac:dyDescent="0.25">
      <c r="D7" s="10"/>
      <c r="E7" s="10"/>
      <c r="F7" s="10"/>
      <c r="G7" s="10"/>
      <c r="H7" s="10"/>
    </row>
  </sheetData>
  <mergeCells count="1">
    <mergeCell ref="A4:B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workbookViewId="0">
      <selection activeCell="B8" sqref="B8"/>
    </sheetView>
  </sheetViews>
  <sheetFormatPr defaultRowHeight="15" x14ac:dyDescent="0.25"/>
  <cols>
    <col min="5" max="5" width="10.85546875" bestFit="1" customWidth="1"/>
    <col min="6" max="6" width="1.5703125" customWidth="1"/>
    <col min="7" max="7" width="8.140625" customWidth="1"/>
    <col min="8" max="8" width="9.85546875" bestFit="1" customWidth="1"/>
    <col min="9" max="9" width="7.28515625" bestFit="1" customWidth="1"/>
    <col min="11" max="12" width="17.5703125" bestFit="1" customWidth="1"/>
    <col min="13" max="13" width="12.5703125" bestFit="1" customWidth="1"/>
  </cols>
  <sheetData>
    <row r="1" spans="1:11" x14ac:dyDescent="0.25">
      <c r="A1" s="19" t="s">
        <v>36</v>
      </c>
    </row>
    <row r="2" spans="1:11" x14ac:dyDescent="0.25">
      <c r="A2" s="19"/>
    </row>
    <row r="4" spans="1:11" ht="17.25" x14ac:dyDescent="0.4">
      <c r="A4" s="31" t="s">
        <v>5</v>
      </c>
      <c r="B4" s="31"/>
      <c r="C4" s="18"/>
      <c r="E4" s="17" t="s">
        <v>14</v>
      </c>
      <c r="F4" s="17"/>
      <c r="G4" s="17" t="s">
        <v>30</v>
      </c>
      <c r="H4" s="17" t="s">
        <v>33</v>
      </c>
    </row>
    <row r="5" spans="1:11" x14ac:dyDescent="0.25">
      <c r="A5" s="21" t="s">
        <v>0</v>
      </c>
      <c r="B5" s="11">
        <f>(5.67 - 4.67) / SQRT((1.52^2 *(B6-1) + 1.33^2 *(B7-1))/(B6+B7-2))</f>
        <v>0.69509282078338708</v>
      </c>
      <c r="D5" s="16" t="s">
        <v>0</v>
      </c>
      <c r="E5" s="23">
        <f>B5</f>
        <v>0.69509282078338708</v>
      </c>
      <c r="F5" s="23"/>
      <c r="G5" s="23">
        <f>SQRT(H5)</f>
        <v>0.27671635256985266</v>
      </c>
      <c r="H5" s="9">
        <f>1/B6+1/B7+E5^2/(2*(B6+B7))</f>
        <v>7.6571939779563017E-2</v>
      </c>
    </row>
    <row r="6" spans="1:11" ht="18" x14ac:dyDescent="0.35">
      <c r="A6" s="21" t="s">
        <v>1</v>
      </c>
      <c r="B6" s="1">
        <v>31</v>
      </c>
      <c r="D6" s="16" t="s">
        <v>37</v>
      </c>
      <c r="E6" s="23">
        <f>E5/SQRT(E5^2+B8^2)</f>
        <v>0.30395654742790923</v>
      </c>
      <c r="F6" s="23"/>
      <c r="G6" s="23">
        <f>SQRT(H6)</f>
        <v>0.10982545124874502</v>
      </c>
      <c r="H6" s="9">
        <f>B8^4*H5/(E5^2+B8^2)^3</f>
        <v>1.2061629741990468E-2</v>
      </c>
      <c r="K6" s="14"/>
    </row>
    <row r="7" spans="1:11" ht="18" x14ac:dyDescent="0.35">
      <c r="A7" s="21" t="s">
        <v>2</v>
      </c>
      <c r="B7" s="1">
        <v>25</v>
      </c>
      <c r="D7" s="16" t="s">
        <v>38</v>
      </c>
      <c r="E7" s="23">
        <f>(LN(1+E6)-LN(1-E6))/2</f>
        <v>0.31387316458234815</v>
      </c>
      <c r="F7" s="23"/>
      <c r="G7" s="23">
        <f>SQRT(H7)</f>
        <v>0.12100505807149996</v>
      </c>
      <c r="H7" s="9">
        <f>H5/(E5^2+B8^2)</f>
        <v>1.4642224078887078E-2</v>
      </c>
      <c r="K7" s="14"/>
    </row>
    <row r="8" spans="1:11" ht="18" x14ac:dyDescent="0.35">
      <c r="A8" s="21" t="s">
        <v>39</v>
      </c>
      <c r="B8" s="11">
        <f>B10</f>
        <v>2.1786177421761068</v>
      </c>
      <c r="D8" s="16"/>
      <c r="E8" s="6"/>
      <c r="F8" s="6"/>
      <c r="G8" s="6"/>
      <c r="H8" s="7"/>
    </row>
    <row r="9" spans="1:11" x14ac:dyDescent="0.25">
      <c r="D9" s="10"/>
      <c r="E9" s="10"/>
      <c r="F9" s="10"/>
      <c r="G9" s="10"/>
      <c r="H9" s="10"/>
    </row>
    <row r="10" spans="1:11" x14ac:dyDescent="0.25">
      <c r="A10" s="28" t="s">
        <v>49</v>
      </c>
      <c r="B10" s="29">
        <f>(6.59-4.48) / SQRT((1.22^2 *(B6-1) + 0.5^2 *(B7-1))/(B6+B7-2))</f>
        <v>2.1786177421761068</v>
      </c>
    </row>
    <row r="11" spans="1:11" x14ac:dyDescent="0.25">
      <c r="A11" s="28" t="s">
        <v>50</v>
      </c>
      <c r="B11" s="29">
        <f>(6.33-5.08) / SQRT((1.33^2 *(B6-1) + 0.4^2 *(B7-1))/(B6+B7-2))</f>
        <v>1.2176544136469334</v>
      </c>
    </row>
  </sheetData>
  <mergeCells count="1">
    <mergeCell ref="A4:B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5"/>
  <sheetViews>
    <sheetView workbookViewId="0">
      <selection activeCell="B8" sqref="B8"/>
    </sheetView>
  </sheetViews>
  <sheetFormatPr defaultRowHeight="15" x14ac:dyDescent="0.25"/>
  <cols>
    <col min="1" max="1" width="11.28515625" customWidth="1"/>
    <col min="3" max="3" width="2.85546875" customWidth="1"/>
    <col min="5" max="5" width="9.140625" customWidth="1"/>
    <col min="6" max="6" width="4.5703125" bestFit="1" customWidth="1"/>
    <col min="8" max="8" width="10.85546875" bestFit="1" customWidth="1"/>
    <col min="9" max="9" width="1.5703125" customWidth="1"/>
    <col min="10" max="12" width="8.140625" customWidth="1"/>
    <col min="13" max="13" width="1.5703125" customWidth="1"/>
    <col min="14" max="16" width="9.85546875" bestFit="1" customWidth="1"/>
    <col min="17" max="17" width="7.28515625" bestFit="1" customWidth="1"/>
    <col min="19" max="20" width="17.5703125" bestFit="1" customWidth="1"/>
    <col min="21" max="21" width="12.5703125" bestFit="1" customWidth="1"/>
    <col min="22" max="22" width="11.5703125" bestFit="1" customWidth="1"/>
  </cols>
  <sheetData>
    <row r="1" spans="1:22" x14ac:dyDescent="0.25">
      <c r="A1" s="19" t="s">
        <v>35</v>
      </c>
    </row>
    <row r="2" spans="1:22" x14ac:dyDescent="0.25">
      <c r="A2" s="19" t="s">
        <v>44</v>
      </c>
    </row>
    <row r="4" spans="1:22" ht="17.25" x14ac:dyDescent="0.4">
      <c r="A4" s="31" t="s">
        <v>5</v>
      </c>
      <c r="B4" s="31"/>
      <c r="C4" s="18"/>
      <c r="D4" s="31" t="s">
        <v>6</v>
      </c>
      <c r="E4" s="31"/>
      <c r="H4" s="17" t="s">
        <v>14</v>
      </c>
      <c r="I4" s="17"/>
      <c r="J4" s="17" t="s">
        <v>29</v>
      </c>
      <c r="K4" s="17" t="s">
        <v>30</v>
      </c>
      <c r="L4" s="17" t="s">
        <v>31</v>
      </c>
      <c r="M4" s="17"/>
      <c r="N4" s="17" t="s">
        <v>32</v>
      </c>
      <c r="O4" s="17" t="s">
        <v>33</v>
      </c>
      <c r="P4" s="17" t="s">
        <v>34</v>
      </c>
      <c r="S4" s="4" t="s">
        <v>48</v>
      </c>
      <c r="T4">
        <f>(((O21/E5+P21/(1-E5))/Q21)-(Q20*Q22/Q21^2)+(Q20^2*(E5*O21^2+(1-E5)*P21^2)/(2*Q21^3))+(Q20^2*Q23/(4*Q21^3)))</f>
        <v>5.2755397028598363</v>
      </c>
    </row>
    <row r="5" spans="1:22" x14ac:dyDescent="0.25">
      <c r="A5" s="21" t="s">
        <v>0</v>
      </c>
      <c r="B5" s="11">
        <f>2.71*SQRT(1/B6+1/B7)</f>
        <v>1.1421663972238758</v>
      </c>
      <c r="D5" s="2" t="s">
        <v>13</v>
      </c>
      <c r="E5" s="3">
        <f>B6/(B6+B7)</f>
        <v>0.70370370370370372</v>
      </c>
      <c r="F5" s="10"/>
      <c r="G5" s="16" t="s">
        <v>0</v>
      </c>
      <c r="H5" s="23">
        <f>B5</f>
        <v>1.1421663972238758</v>
      </c>
      <c r="I5" s="23"/>
      <c r="J5" s="23">
        <f>SQRT(N5)</f>
        <v>0.44202981728066615</v>
      </c>
      <c r="K5" s="23">
        <f>SQRT(O5)</f>
        <v>0.44921019871723633</v>
      </c>
      <c r="L5" s="23"/>
      <c r="M5" s="6"/>
      <c r="N5" s="9">
        <f>(((O21/E5+P21/(1-E5))/Q21)-(Q20*Q22/Q21^2)+(Q20^2*(E5*O21^2+(1-E5)*P21^2)/(2*Q21^3))+(Q20^2*Q23/(4*Q21^3)))/(B6+B7)</f>
        <v>0.19539035936517912</v>
      </c>
      <c r="O5" s="9">
        <f>1/B6+1/B7+H5^2/(2*(B6+B7))</f>
        <v>0.20178980263157895</v>
      </c>
      <c r="P5" s="8"/>
      <c r="S5" s="4" t="s">
        <v>46</v>
      </c>
      <c r="T5">
        <f>4+H5^2/2-H5^4*(E10-E10*E11^2+4)/(E10^2)-H5^6*(64+64*E10+4*E10^2-48*E10*E11^2-4*E10^2*E11^2)/(64*E10^3)</f>
        <v>4.4794870712808876</v>
      </c>
      <c r="U5" t="b">
        <f>IF(T5=$N$5*($B$6+$B$7),TRUE,FALSE)</f>
        <v>0</v>
      </c>
      <c r="V5" s="24"/>
    </row>
    <row r="6" spans="1:22" ht="18" x14ac:dyDescent="0.35">
      <c r="A6" s="21" t="s">
        <v>1</v>
      </c>
      <c r="B6" s="1">
        <v>19</v>
      </c>
      <c r="D6" s="2" t="s">
        <v>7</v>
      </c>
      <c r="E6" s="3">
        <f>_xlfn.NORM.S.INV(B8)</f>
        <v>0</v>
      </c>
      <c r="F6" s="10"/>
      <c r="G6" s="16" t="s">
        <v>15</v>
      </c>
      <c r="H6" s="23">
        <f>H5/SQRT(H5^2+E10)</f>
        <v>0.49591283388589413</v>
      </c>
      <c r="I6" s="23"/>
      <c r="J6" s="23">
        <f t="shared" ref="J6:L9" si="0">SQRT(N6)</f>
        <v>0.14472363538768987</v>
      </c>
      <c r="K6" s="23">
        <f t="shared" si="0"/>
        <v>0.14707454219158744</v>
      </c>
      <c r="L6" s="23"/>
      <c r="M6" s="6"/>
      <c r="N6" s="9">
        <f>$E10^2*N5/($H5^2+$E10)^3</f>
        <v>2.0944930639828999E-2</v>
      </c>
      <c r="O6" s="9">
        <f>$E10^2*O5/($H5^2+$E10)^3</f>
        <v>2.1630920960865035E-2</v>
      </c>
      <c r="P6" s="9"/>
      <c r="S6" s="4" t="s">
        <v>45</v>
      </c>
      <c r="T6">
        <f>1/(B8*B9)-H5^2*(E8*(9*B8^2-9*B8+2)+2*E6*B9*(1-2*B8))/(2*E8*B8*B9)-(H5^4)*(2*E8^2*(3*B8^2-3*B8+1)+3*E6*E8*B9*(1-2*B8)-(1-E6^2)*B9^2)/(E8^2)-(H5^6)*B8*B9*(2*E8^3*(5*B8^2-5*B8+2)+8*E6*E8^2*B9*(1-2*B8)+5*E6^2*E8*B9^2-4*E8*B9^2)/(4*E8^3)</f>
        <v>4.4794870712808876</v>
      </c>
      <c r="U6" t="b">
        <f>IF(ROUND(T6,12)=ROUND($N$5*($B$6+$B$7),12),TRUE,FALSE)</f>
        <v>0</v>
      </c>
    </row>
    <row r="7" spans="1:22" ht="18" x14ac:dyDescent="0.35">
      <c r="A7" s="21" t="s">
        <v>2</v>
      </c>
      <c r="B7" s="1">
        <v>8</v>
      </c>
      <c r="D7" s="2" t="s">
        <v>8</v>
      </c>
      <c r="E7" s="3">
        <f>_xlfn.NORM.S.INV(1-B9)</f>
        <v>0</v>
      </c>
      <c r="F7" s="10"/>
      <c r="G7" s="16" t="s">
        <v>16</v>
      </c>
      <c r="H7" s="23">
        <f>E11*H5/SQRT(H5^2+E10)</f>
        <v>0.62153456558538434</v>
      </c>
      <c r="I7" s="23"/>
      <c r="J7" s="23">
        <f t="shared" si="0"/>
        <v>0.18138417823508554</v>
      </c>
      <c r="K7" s="23">
        <f t="shared" si="0"/>
        <v>0.18433060296792153</v>
      </c>
      <c r="L7" s="23">
        <f t="shared" si="0"/>
        <v>0.11810561620571537</v>
      </c>
      <c r="M7" s="6"/>
      <c r="N7" s="9">
        <f>$E10^2*$E11^2*N5/($H5^2+$E10)^3</f>
        <v>3.2900220114017276E-2</v>
      </c>
      <c r="O7" s="9">
        <f>$E10^2*$E11^2*O5/($H5^2+$E10)^3</f>
        <v>3.3977771190517522E-2</v>
      </c>
      <c r="P7" s="9">
        <f>(1-H7^2)^2/(B6+B7)</f>
        <v>1.3948936579331737E-2</v>
      </c>
      <c r="S7" s="25" t="s">
        <v>47</v>
      </c>
      <c r="T7">
        <f>4+H5^2/2-H5^4*(4 - PI())/8+H5^6*(PI()-3)/32</f>
        <v>4.4794870712808876</v>
      </c>
      <c r="U7" t="b">
        <f>IF(ROUND(T7,12)=ROUND($N$5*($B$6+$B$7),12),TRUE,FALSE)</f>
        <v>0</v>
      </c>
      <c r="V7" s="24"/>
    </row>
    <row r="8" spans="1:22" ht="18.75" x14ac:dyDescent="0.35">
      <c r="A8" s="21" t="s">
        <v>3</v>
      </c>
      <c r="B8" s="11">
        <f>B12</f>
        <v>0.5</v>
      </c>
      <c r="D8" s="2" t="s">
        <v>9</v>
      </c>
      <c r="E8" s="3">
        <f>_xlfn.NORM.S.DIST(E6,FALSE)/B8</f>
        <v>0.79788456080286541</v>
      </c>
      <c r="F8" s="10"/>
      <c r="G8" s="16" t="s">
        <v>24</v>
      </c>
      <c r="H8" s="23">
        <f>SUMPRODUCT(G20:G25,H20:H25)</f>
        <v>0.72747635574426572</v>
      </c>
      <c r="I8" s="23"/>
      <c r="J8" s="23">
        <f t="shared" si="0"/>
        <v>0.2955608928547519</v>
      </c>
      <c r="K8" s="23">
        <f t="shared" si="0"/>
        <v>0.30036201681848401</v>
      </c>
      <c r="L8" s="23">
        <f t="shared" si="0"/>
        <v>0.20412414523193151</v>
      </c>
      <c r="M8" s="6"/>
      <c r="N8" s="9">
        <f>$E10^2*$E11^2*N5/(($H5^2+$E10)*($H5^2*(1-$E11^2)+$E10)^2)</f>
        <v>8.7356241385098121E-2</v>
      </c>
      <c r="O8" s="9">
        <f>$E10^2*$E11^2*O5/(($H5^2+$E10)*($H5^2*(1-$E11^2)+$E10)^2)</f>
        <v>9.0217341147267288E-2</v>
      </c>
      <c r="P8" s="9">
        <f>1/(B6+B7-3)</f>
        <v>4.1666666666666664E-2</v>
      </c>
      <c r="S8" s="4"/>
    </row>
    <row r="9" spans="1:22" ht="18.75" x14ac:dyDescent="0.35">
      <c r="A9" s="21" t="s">
        <v>4</v>
      </c>
      <c r="B9" s="11">
        <f>1-B8</f>
        <v>0.5</v>
      </c>
      <c r="D9" s="2" t="s">
        <v>10</v>
      </c>
      <c r="E9" s="3">
        <f>_xlfn.NORM.S.DIST(E7,FALSE)/B9</f>
        <v>0.79788456080286541</v>
      </c>
      <c r="F9" s="10"/>
      <c r="G9" s="16" t="s">
        <v>25</v>
      </c>
      <c r="H9" s="23">
        <f>MAX(MIN((LN(1+H7)-LN(1-H7))/2,1-10^(-12)),10^(-12)-1)</f>
        <v>0.72750174820323688</v>
      </c>
      <c r="I9" s="23"/>
      <c r="J9" s="23">
        <f t="shared" si="0"/>
        <v>0.2955608928547519</v>
      </c>
      <c r="K9" s="23">
        <f t="shared" si="0"/>
        <v>0.30036201681848401</v>
      </c>
      <c r="L9" s="23">
        <f t="shared" si="0"/>
        <v>0.20412414523193151</v>
      </c>
      <c r="M9" s="6"/>
      <c r="N9" s="9">
        <f>$E10^2*$E11^2*N5/(($H5^2+$E10)*($H5^2*(1-$E11^2)+$E10)^2)</f>
        <v>8.7356241385098121E-2</v>
      </c>
      <c r="O9" s="9">
        <f>$E10^2*$E11^2*O5/(($H5^2+$E10)*($H5^2*(1-$E11^2)+$E10)^2)</f>
        <v>9.0217341147267288E-2</v>
      </c>
      <c r="P9" s="9">
        <f>1/(B6+B7-3)</f>
        <v>4.1666666666666664E-2</v>
      </c>
      <c r="S9" s="4"/>
      <c r="V9" s="24"/>
    </row>
    <row r="10" spans="1:22" x14ac:dyDescent="0.25">
      <c r="D10" s="2" t="s">
        <v>11</v>
      </c>
      <c r="E10" s="3">
        <f>(E8+E9)^2 *E11^2</f>
        <v>3.9999999999999996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22" x14ac:dyDescent="0.25">
      <c r="D11" s="2" t="s">
        <v>12</v>
      </c>
      <c r="E11" s="3">
        <f>1/SQRT(E5*E8*(E8+E6)+(1-E5)*E9*(E9-E7))</f>
        <v>1.2533141373155001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22" x14ac:dyDescent="0.25">
      <c r="A12" s="30" t="s">
        <v>51</v>
      </c>
      <c r="B12" s="29">
        <v>0.5</v>
      </c>
    </row>
    <row r="13" spans="1:22" x14ac:dyDescent="0.25">
      <c r="A13" s="30" t="s">
        <v>52</v>
      </c>
      <c r="B13" s="29">
        <f>B6/(B6+B7)</f>
        <v>0.70370370370370372</v>
      </c>
    </row>
    <row r="18" spans="6:21" ht="18.75" x14ac:dyDescent="0.35">
      <c r="F18" s="32" t="s">
        <v>26</v>
      </c>
      <c r="G18" s="32"/>
      <c r="H18" s="32"/>
      <c r="I18" s="20"/>
      <c r="N18" s="32" t="s">
        <v>28</v>
      </c>
      <c r="O18" s="32"/>
      <c r="P18" s="32"/>
      <c r="Q18" s="32"/>
    </row>
    <row r="19" spans="6:21" ht="18.75" x14ac:dyDescent="0.35">
      <c r="F19" s="5" t="s">
        <v>17</v>
      </c>
      <c r="G19" t="s">
        <v>18</v>
      </c>
      <c r="H19" t="s">
        <v>19</v>
      </c>
      <c r="O19">
        <v>1</v>
      </c>
      <c r="P19">
        <v>2</v>
      </c>
      <c r="Q19" t="s">
        <v>27</v>
      </c>
    </row>
    <row r="20" spans="6:21" x14ac:dyDescent="0.25">
      <c r="F20" s="5">
        <v>0</v>
      </c>
      <c r="G20" s="8">
        <f>(LN(1+H6)-LN(1-H6))/2</f>
        <v>0.54387134448062791</v>
      </c>
      <c r="H20" s="8">
        <f t="shared" ref="H20:H25" si="1">(($E$11-1)*$H$6)^F20/FACT(F20)</f>
        <v>1</v>
      </c>
      <c r="I20" s="8"/>
      <c r="J20" s="12"/>
      <c r="K20" s="12"/>
      <c r="L20" s="12"/>
      <c r="M20" s="12"/>
      <c r="N20" s="4" t="s">
        <v>20</v>
      </c>
      <c r="O20" s="8">
        <f>-H7*E8</f>
        <v>-0.49591283388589413</v>
      </c>
      <c r="P20" s="8">
        <f>-H7*E9</f>
        <v>-0.49591283388589413</v>
      </c>
      <c r="Q20" s="8">
        <f>O20+P20</f>
        <v>-0.99182566777178827</v>
      </c>
      <c r="S20" s="26"/>
      <c r="T20" s="13"/>
    </row>
    <row r="21" spans="6:21" x14ac:dyDescent="0.25">
      <c r="F21" s="5">
        <v>1</v>
      </c>
      <c r="G21" s="8">
        <f>1/(1-H6^2)</f>
        <v>1.3261360197368424</v>
      </c>
      <c r="H21" s="8">
        <f t="shared" si="1"/>
        <v>0.12562173169949017</v>
      </c>
      <c r="I21" s="8"/>
      <c r="J21" s="12"/>
      <c r="K21" s="12"/>
      <c r="L21" s="12"/>
      <c r="M21" s="12"/>
      <c r="N21" s="4" t="s">
        <v>21</v>
      </c>
      <c r="O21" s="8">
        <f>1-H7^2*E8*(E8+E6)</f>
        <v>0.75407046118726151</v>
      </c>
      <c r="P21" s="8">
        <f>1-H7^2*E9*(E9-E7)</f>
        <v>0.75407046118726151</v>
      </c>
      <c r="Q21" s="8">
        <f>E5*O21+(1-E5)*P21</f>
        <v>0.75407046118726151</v>
      </c>
      <c r="S21" s="26"/>
      <c r="T21" s="13"/>
    </row>
    <row r="22" spans="6:21" x14ac:dyDescent="0.25">
      <c r="F22" s="5">
        <v>2</v>
      </c>
      <c r="G22" s="8">
        <f>2*H6/(1-H6^2)^2</f>
        <v>1.7442610618387318</v>
      </c>
      <c r="H22" s="8">
        <f t="shared" si="1"/>
        <v>7.8904097375893465E-3</v>
      </c>
      <c r="I22" s="8"/>
      <c r="J22" s="12"/>
      <c r="K22" s="12"/>
      <c r="L22" s="12"/>
      <c r="M22" s="12"/>
      <c r="N22" s="4" t="s">
        <v>22</v>
      </c>
      <c r="O22" s="8">
        <f>-(H7^3)*E8*(E8*(E8+E6)+(E8+E6)^2-1)</f>
        <v>-5.2345514538472117E-2</v>
      </c>
      <c r="P22" s="8">
        <f>-(H7^3)*E9*(E9*(E9-E7)+(E9-E7)^2-1)</f>
        <v>-5.2345514538472117E-2</v>
      </c>
      <c r="Q22" s="8">
        <f>O22+P22</f>
        <v>-0.10469102907694423</v>
      </c>
      <c r="S22" s="26"/>
      <c r="T22" s="13"/>
    </row>
    <row r="23" spans="6:21" x14ac:dyDescent="0.25">
      <c r="F23" s="5">
        <v>3</v>
      </c>
      <c r="G23" s="8">
        <f>(2+6*H6^2)/(1-H6^2)^3</f>
        <v>8.105711785478432</v>
      </c>
      <c r="H23" s="8">
        <f t="shared" si="1"/>
        <v>3.304023116848312E-4</v>
      </c>
      <c r="I23" s="8"/>
      <c r="J23" s="12"/>
      <c r="K23" s="12"/>
      <c r="L23" s="12"/>
      <c r="M23" s="12"/>
      <c r="N23" s="4" t="s">
        <v>23</v>
      </c>
      <c r="O23" s="8">
        <f>-(H7^4)*E8*((E8+E6)^3+4*E8*(E8+E6)^2+(E8^2-3)*(E8+E6)-E8)</f>
        <v>1.7127426297336473E-2</v>
      </c>
      <c r="P23" s="8">
        <f>-(H7^4)*E9*((E9-E7)^3+4*E9*(E9-E7)^2+(E9^2-3)*(E9-E7)-E9)</f>
        <v>1.7127426297336473E-2</v>
      </c>
      <c r="Q23" s="8">
        <f>E5*O23+(1-E5)*P23</f>
        <v>1.7127426297336473E-2</v>
      </c>
      <c r="S23" s="27"/>
      <c r="T23" s="15"/>
    </row>
    <row r="24" spans="6:21" x14ac:dyDescent="0.25">
      <c r="F24" s="5">
        <v>4</v>
      </c>
      <c r="G24" s="8">
        <f>24*(H6+H6^3)/(1-H6^2)^4</f>
        <v>45.862989155913127</v>
      </c>
      <c r="H24" s="8">
        <f t="shared" si="1"/>
        <v>1.0376427637840797E-5</v>
      </c>
      <c r="I24" s="8"/>
      <c r="J24" s="12"/>
      <c r="K24" s="12"/>
      <c r="L24" s="12"/>
      <c r="M24" s="12"/>
      <c r="O24">
        <f>-(H7^4)*E8*(6*E8^3+12*E6*E8^2+7*E6^2*E8+E6^3-4*E8-3*E6)</f>
        <v>1.7127426297336459E-2</v>
      </c>
      <c r="P24">
        <f>-(H7^4)*E8*B8*(6*E8^3*B8^3-12*E6*E8^2*B8^2*B9+7*E6^2*E8*B8*B9^2-E6^3*B9^3-4*E8*B8*B9^2+3*E6*B9^3)/B9^4</f>
        <v>1.7127426297336459E-2</v>
      </c>
      <c r="S24" s="13"/>
      <c r="T24" s="13">
        <f>SUM(T20:T23)/(B6+B7)</f>
        <v>0</v>
      </c>
      <c r="U24" s="13">
        <f>SUM(U20:U23)/(B6+B7)</f>
        <v>0</v>
      </c>
    </row>
    <row r="25" spans="6:21" x14ac:dyDescent="0.25">
      <c r="F25" s="5">
        <v>5</v>
      </c>
      <c r="G25" s="8">
        <f>(24+240*H6^2+120*H6^4)/(1-H6^2)^5</f>
        <v>370.28489402490521</v>
      </c>
      <c r="H25" s="8">
        <f t="shared" si="1"/>
        <v>2.6070096174400218E-7</v>
      </c>
      <c r="I25" s="8"/>
      <c r="J25" s="12"/>
      <c r="K25" s="12"/>
      <c r="L25" s="12"/>
      <c r="M25" s="12"/>
    </row>
  </sheetData>
  <mergeCells count="4">
    <mergeCell ref="A4:B4"/>
    <mergeCell ref="D4:E4"/>
    <mergeCell ref="F18:H18"/>
    <mergeCell ref="N18:Q18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5"/>
  <sheetViews>
    <sheetView workbookViewId="0"/>
  </sheetViews>
  <sheetFormatPr defaultRowHeight="15" x14ac:dyDescent="0.25"/>
  <cols>
    <col min="3" max="3" width="2.7109375" customWidth="1"/>
    <col min="5" max="5" width="9.140625" customWidth="1"/>
    <col min="6" max="6" width="4.5703125" bestFit="1" customWidth="1"/>
    <col min="8" max="8" width="10.85546875" bestFit="1" customWidth="1"/>
    <col min="9" max="9" width="1.5703125" customWidth="1"/>
    <col min="10" max="12" width="8.140625" customWidth="1"/>
    <col min="13" max="13" width="1.5703125" customWidth="1"/>
    <col min="14" max="16" width="9.85546875" bestFit="1" customWidth="1"/>
    <col min="17" max="17" width="7.28515625" bestFit="1" customWidth="1"/>
    <col min="19" max="20" width="17.5703125" bestFit="1" customWidth="1"/>
    <col min="21" max="21" width="12.5703125" bestFit="1" customWidth="1"/>
  </cols>
  <sheetData>
    <row r="1" spans="1:21" x14ac:dyDescent="0.25">
      <c r="A1" s="19" t="s">
        <v>35</v>
      </c>
    </row>
    <row r="2" spans="1:21" x14ac:dyDescent="0.25">
      <c r="A2" s="19" t="s">
        <v>44</v>
      </c>
    </row>
    <row r="4" spans="1:21" ht="17.25" x14ac:dyDescent="0.4">
      <c r="A4" s="31" t="s">
        <v>5</v>
      </c>
      <c r="B4" s="31"/>
      <c r="C4" s="18"/>
      <c r="D4" s="31" t="s">
        <v>6</v>
      </c>
      <c r="E4" s="31"/>
      <c r="H4" s="17" t="s">
        <v>14</v>
      </c>
      <c r="I4" s="17"/>
      <c r="J4" s="17" t="s">
        <v>29</v>
      </c>
      <c r="K4" s="17" t="s">
        <v>30</v>
      </c>
      <c r="L4" s="17" t="s">
        <v>31</v>
      </c>
      <c r="M4" s="17"/>
      <c r="N4" s="17" t="s">
        <v>32</v>
      </c>
      <c r="O4" s="17" t="s">
        <v>33</v>
      </c>
      <c r="P4" s="17" t="s">
        <v>34</v>
      </c>
      <c r="S4" s="4" t="s">
        <v>48</v>
      </c>
      <c r="T4">
        <f>(((O21/E5+P21/(1-E5))/Q21)-(Q20*Q22/Q21^2)+(Q20^2*(E5*O21^2+(1-E5)*P21^2)/(2*Q21^3))+(Q20^2*Q23/(4*Q21^3)))</f>
        <v>4.5015090644731144</v>
      </c>
    </row>
    <row r="5" spans="1:21" x14ac:dyDescent="0.25">
      <c r="A5" s="21" t="s">
        <v>0</v>
      </c>
      <c r="B5" s="11">
        <f>SQRT(18.2 *2 /B6)</f>
        <v>1.019803902718557</v>
      </c>
      <c r="D5" s="2" t="s">
        <v>13</v>
      </c>
      <c r="E5" s="3">
        <f>B6/(B6+B7)</f>
        <v>0.5</v>
      </c>
      <c r="F5" s="10"/>
      <c r="G5" s="16" t="s">
        <v>0</v>
      </c>
      <c r="H5" s="23">
        <f>B5</f>
        <v>1.019803902718557</v>
      </c>
      <c r="I5" s="23"/>
      <c r="J5" s="23">
        <f>SQRT(N5)</f>
        <v>0.25358878593032447</v>
      </c>
      <c r="K5" s="23">
        <f>SQRT(O5)</f>
        <v>0.25410908793553327</v>
      </c>
      <c r="L5" s="23"/>
      <c r="M5" s="6"/>
      <c r="N5" s="9">
        <f>(((O21/E5+P21/(1-E5))/Q21)-(Q20*Q22/Q21^2)+(Q20^2*(E5*O21^2+(1-E5)*P21^2)/(2*Q21^3))+(Q20^2*Q23/(4*Q21^3)))/(B6+B7)</f>
        <v>6.4307272349615918E-2</v>
      </c>
      <c r="O5" s="9">
        <f>1/B6+1/B7+H5^2/(2*(B6+B7))</f>
        <v>6.4571428571428571E-2</v>
      </c>
      <c r="P5" s="8"/>
      <c r="S5" s="4" t="s">
        <v>46</v>
      </c>
      <c r="T5">
        <f>4+H5^2/2-H5^4*(E10-E10*E11^2+4)/(E10^2)-H5^6*(64+64*E10+4*E10^2-48*E10*E11^2-4*E10^2*E11^2)/(64*E10^3)</f>
        <v>4.5015090644731135</v>
      </c>
      <c r="U5" t="b">
        <f>IF(T5=$N$5*($B$6+$B$7),TRUE,FALSE)</f>
        <v>1</v>
      </c>
    </row>
    <row r="6" spans="1:21" ht="18" x14ac:dyDescent="0.35">
      <c r="A6" s="21" t="s">
        <v>1</v>
      </c>
      <c r="B6" s="1">
        <v>35</v>
      </c>
      <c r="D6" s="2" t="s">
        <v>7</v>
      </c>
      <c r="E6" s="3">
        <f>_xlfn.NORM.S.INV(B8)</f>
        <v>-0.67448975019608193</v>
      </c>
      <c r="F6" s="10"/>
      <c r="G6" s="16" t="s">
        <v>15</v>
      </c>
      <c r="H6" s="23">
        <f>H5/SQRT(H5^2+E10)</f>
        <v>0.32979195262398536</v>
      </c>
      <c r="I6" s="23"/>
      <c r="J6" s="23">
        <f t="shared" ref="J6:K9" si="0">SQRT(N6)</f>
        <v>7.3088116066749448E-2</v>
      </c>
      <c r="K6" s="23">
        <f t="shared" si="0"/>
        <v>7.3238074958689212E-2</v>
      </c>
      <c r="L6" s="23"/>
      <c r="M6" s="6"/>
      <c r="N6" s="9">
        <f>$E10^2*N5/($H5^2+$E10)^3</f>
        <v>5.3418727101866379E-3</v>
      </c>
      <c r="O6" s="9">
        <f>$E10^2*O5/($H5^2+$E10)^3</f>
        <v>5.3638156236545803E-3</v>
      </c>
      <c r="P6" s="9"/>
      <c r="S6" s="4" t="s">
        <v>45</v>
      </c>
      <c r="T6">
        <f>1/(B8*B9)-H5^2*(E8*(9*B8^2-9*B8+2)+2*E6*B9*(1-2*B8))/(2*E8*B8*B9)-(H5^4)*(2*E8^2*(3*B8^2-3*B8+1)+3*E6*E8*B9*(1-2*B8)-(1-E6^2)*B9^2)/(E8^2)-(H5^6)*B8*B9*(2*E8^3*(5*B8^2-5*B8+2)+8*E6*E8^2*B9*(1-2*B8)+5*E6^2*E8*B9^2-4*E8*B9^2)/(4*E8^3)</f>
        <v>13.768494461185966</v>
      </c>
      <c r="U6" t="b">
        <f>IF(ROUND(T6,12)=ROUND($N$5*($B$6+$B$7),12),TRUE,FALSE)</f>
        <v>0</v>
      </c>
    </row>
    <row r="7" spans="1:21" ht="18" x14ac:dyDescent="0.35">
      <c r="A7" s="21" t="s">
        <v>2</v>
      </c>
      <c r="B7" s="1">
        <v>35</v>
      </c>
      <c r="D7" s="2" t="s">
        <v>8</v>
      </c>
      <c r="E7" s="3">
        <f>_xlfn.NORM.S.INV(1-B9)</f>
        <v>0.67448975019608193</v>
      </c>
      <c r="F7" s="10"/>
      <c r="G7" s="16" t="s">
        <v>16</v>
      </c>
      <c r="H7" s="23">
        <f>E11*H5/SQRT(H5^2+E10)</f>
        <v>0.37870538033216378</v>
      </c>
      <c r="I7" s="23"/>
      <c r="J7" s="23">
        <f t="shared" si="0"/>
        <v>8.3928254078345949E-2</v>
      </c>
      <c r="K7" s="23">
        <f t="shared" ref="K7:K9" si="1">SQRT(O7)</f>
        <v>8.4100454275331943E-2</v>
      </c>
      <c r="L7" s="23">
        <f t="shared" ref="L7:L9" si="2">SQRT(P7)</f>
        <v>0.10238115934090036</v>
      </c>
      <c r="M7" s="6"/>
      <c r="N7" s="9">
        <f>$E10^2*$E11^2*N5/($H5^2+$E10)^3</f>
        <v>7.0439518326393937E-3</v>
      </c>
      <c r="O7" s="9">
        <f>$E10^2*$E11^2*O5/($H5^2+$E10)^3</f>
        <v>7.0728864093171978E-3</v>
      </c>
      <c r="P7" s="9">
        <f>(1-H7^2)^2/(B6+B7)</f>
        <v>1.048190178798683E-2</v>
      </c>
      <c r="S7" s="25" t="s">
        <v>47</v>
      </c>
      <c r="T7">
        <f>4+H5^2/2-H5^4*(4 - PI())/8+H5^6*(PI()-3)/32</f>
        <v>4.4089205917243275</v>
      </c>
      <c r="U7" t="b">
        <f>IF(ROUND(T7,12)=ROUND($N$5*($B$6+$B$7),12),TRUE,FALSE)</f>
        <v>0</v>
      </c>
    </row>
    <row r="8" spans="1:21" ht="18.75" x14ac:dyDescent="0.35">
      <c r="A8" s="21" t="s">
        <v>3</v>
      </c>
      <c r="B8" s="1">
        <v>0.25</v>
      </c>
      <c r="D8" s="2" t="s">
        <v>9</v>
      </c>
      <c r="E8" s="3">
        <f>_xlfn.NORM.S.DIST(E6,FALSE)/B8</f>
        <v>1.2711062907364277</v>
      </c>
      <c r="F8" s="10"/>
      <c r="G8" s="16" t="s">
        <v>24</v>
      </c>
      <c r="H8" s="23">
        <f>SUMPRODUCT(G20:G25,H20:H25)</f>
        <v>0.39854739196697214</v>
      </c>
      <c r="I8" s="23"/>
      <c r="J8" s="23">
        <f t="shared" si="0"/>
        <v>9.7980381401923347E-2</v>
      </c>
      <c r="K8" s="23">
        <f t="shared" si="1"/>
        <v>9.8181413118398994E-2</v>
      </c>
      <c r="L8" s="23">
        <f t="shared" si="2"/>
        <v>0.12216944435630522</v>
      </c>
      <c r="M8" s="6"/>
      <c r="N8" s="9">
        <f>$E10^2*$E11^2*N5/(($H5^2+$E10)*($H5^2*(1-$E11^2)+$E10)^2)</f>
        <v>9.6001551396663679E-3</v>
      </c>
      <c r="O8" s="9">
        <f>$E10^2*$E11^2*O5/(($H5^2+$E10)*($H5^2*(1-$E11^2)+$E10)^2)</f>
        <v>9.6395898819257291E-3</v>
      </c>
      <c r="P8" s="9">
        <f>1/(B6+B7-3)</f>
        <v>1.4925373134328358E-2</v>
      </c>
    </row>
    <row r="9" spans="1:21" ht="18.75" x14ac:dyDescent="0.35">
      <c r="A9" s="21" t="s">
        <v>4</v>
      </c>
      <c r="B9" s="1">
        <v>0.25</v>
      </c>
      <c r="D9" s="2" t="s">
        <v>10</v>
      </c>
      <c r="E9" s="3">
        <f>_xlfn.NORM.S.DIST(E7,FALSE)/B9</f>
        <v>1.2711062907364277</v>
      </c>
      <c r="F9" s="10"/>
      <c r="G9" s="16" t="s">
        <v>25</v>
      </c>
      <c r="H9" s="23">
        <f>MAX(MIN((LN(1+H7)-LN(1-H7))/2,1-10^(-12)),10^(-12)-1)</f>
        <v>0.39854740520147031</v>
      </c>
      <c r="I9" s="23"/>
      <c r="J9" s="23">
        <f t="shared" si="0"/>
        <v>9.7980381401923347E-2</v>
      </c>
      <c r="K9" s="23">
        <f t="shared" si="1"/>
        <v>9.8181413118398994E-2</v>
      </c>
      <c r="L9" s="23">
        <f t="shared" si="2"/>
        <v>0.12216944435630522</v>
      </c>
      <c r="M9" s="6"/>
      <c r="N9" s="9">
        <f>$E10^2*$E11^2*N5/(($H5^2+$E10)*($H5^2*(1-$E11^2)+$E10)^2)</f>
        <v>9.6001551396663679E-3</v>
      </c>
      <c r="O9" s="9">
        <f>$E10^2*$E11^2*O5/(($H5^2+$E10)*($H5^2*(1-$E11^2)+$E10)^2)</f>
        <v>9.6395898819257291E-3</v>
      </c>
      <c r="P9" s="9">
        <f>1/(B6+B7-3)</f>
        <v>1.4925373134328358E-2</v>
      </c>
    </row>
    <row r="10" spans="1:21" x14ac:dyDescent="0.25">
      <c r="D10" s="2" t="s">
        <v>11</v>
      </c>
      <c r="E10" s="3">
        <f>(E8+E9)^2 *E11^2</f>
        <v>8.5220988984663926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21" x14ac:dyDescent="0.25">
      <c r="D11" s="2" t="s">
        <v>12</v>
      </c>
      <c r="E11" s="3">
        <f>1/SQRT(E5*E8*(E8+E6)+(1-E5)*E9*(E9-E7))</f>
        <v>1.1483160135321657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8" spans="6:21" ht="18.75" x14ac:dyDescent="0.35">
      <c r="F18" s="32" t="s">
        <v>26</v>
      </c>
      <c r="G18" s="32"/>
      <c r="H18" s="32"/>
      <c r="I18" s="20"/>
      <c r="N18" s="32" t="s">
        <v>28</v>
      </c>
      <c r="O18" s="32"/>
      <c r="P18" s="32"/>
      <c r="Q18" s="32"/>
    </row>
    <row r="19" spans="6:21" ht="18.75" x14ac:dyDescent="0.35">
      <c r="F19" s="5" t="s">
        <v>17</v>
      </c>
      <c r="G19" t="s">
        <v>18</v>
      </c>
      <c r="H19" t="s">
        <v>19</v>
      </c>
      <c r="O19">
        <v>1</v>
      </c>
      <c r="P19">
        <v>2</v>
      </c>
      <c r="Q19" t="s">
        <v>27</v>
      </c>
    </row>
    <row r="20" spans="6:21" x14ac:dyDescent="0.25">
      <c r="F20" s="5">
        <v>0</v>
      </c>
      <c r="G20" s="8">
        <f>(LN(1+H6)-LN(1-H6))/2</f>
        <v>0.34259479986279162</v>
      </c>
      <c r="H20" s="8">
        <f t="shared" ref="H20:H25" si="3">(($E$11-1)*$H$6)^F20/FACT(F20)</f>
        <v>1</v>
      </c>
      <c r="I20" s="8"/>
      <c r="J20" s="12"/>
      <c r="K20" s="12"/>
      <c r="L20" s="12"/>
      <c r="M20" s="12"/>
      <c r="N20" s="4" t="s">
        <v>20</v>
      </c>
      <c r="O20" s="8">
        <f>-H7*E8</f>
        <v>-0.48137479127594479</v>
      </c>
      <c r="P20" s="8">
        <f>-H7*E9</f>
        <v>-0.48137479127594479</v>
      </c>
      <c r="Q20" s="8">
        <f>O20+P20</f>
        <v>-0.96274958255188958</v>
      </c>
      <c r="S20" s="13"/>
      <c r="T20" s="13"/>
    </row>
    <row r="21" spans="6:21" x14ac:dyDescent="0.25">
      <c r="F21" s="5">
        <v>1</v>
      </c>
      <c r="G21" s="8">
        <f>1/(1-H6^2)</f>
        <v>1.1220356642642524</v>
      </c>
      <c r="H21" s="8">
        <f t="shared" si="3"/>
        <v>4.8913427708178372E-2</v>
      </c>
      <c r="I21" s="8"/>
      <c r="J21" s="12"/>
      <c r="K21" s="12"/>
      <c r="L21" s="12"/>
      <c r="M21" s="12"/>
      <c r="N21" s="4" t="s">
        <v>21</v>
      </c>
      <c r="O21" s="8">
        <f>1-H7^2*E8*(E8+E6)</f>
        <v>0.89123726798445901</v>
      </c>
      <c r="P21" s="8">
        <f>1-H7^2*E9*(E9-E7)</f>
        <v>0.89123726798445901</v>
      </c>
      <c r="Q21" s="8">
        <f>E5*O21+(1-E5)*P21</f>
        <v>0.89123726798445901</v>
      </c>
      <c r="S21" s="13"/>
      <c r="T21" s="13"/>
    </row>
    <row r="22" spans="6:21" x14ac:dyDescent="0.25">
      <c r="F22" s="5">
        <v>2</v>
      </c>
      <c r="G22" s="8">
        <f>2*H6/(1-H6^2)^2</f>
        <v>0.83039241271474928</v>
      </c>
      <c r="H22" s="8">
        <f t="shared" si="3"/>
        <v>1.1962617050815959E-3</v>
      </c>
      <c r="I22" s="8"/>
      <c r="J22" s="12"/>
      <c r="K22" s="12"/>
      <c r="L22" s="12"/>
      <c r="M22" s="12"/>
      <c r="N22" s="4" t="s">
        <v>22</v>
      </c>
      <c r="O22" s="8">
        <f>-(H7^3)*E8*(E8*(E8+E6)+(E8+E6)^2-1)</f>
        <v>-7.8919983429933359E-3</v>
      </c>
      <c r="P22" s="8">
        <f>-(H7^3)*E9*(E9*(E9-E7)+(E9-E7)^2-1)</f>
        <v>-7.8919983429933359E-3</v>
      </c>
      <c r="Q22" s="8">
        <f>O22+P22</f>
        <v>-1.5783996685986672E-2</v>
      </c>
      <c r="S22" s="13"/>
      <c r="T22" s="13"/>
    </row>
    <row r="23" spans="6:21" x14ac:dyDescent="0.25">
      <c r="F23" s="5">
        <v>3</v>
      </c>
      <c r="G23" s="8">
        <f>(2+6*H6^2)/(1-H6^2)^3</f>
        <v>3.747036159084963</v>
      </c>
      <c r="H23" s="8">
        <f t="shared" si="3"/>
        <v>1.9504420143856946E-5</v>
      </c>
      <c r="I23" s="8"/>
      <c r="J23" s="12"/>
      <c r="K23" s="12"/>
      <c r="L23" s="12"/>
      <c r="M23" s="12"/>
      <c r="N23" s="4" t="s">
        <v>23</v>
      </c>
      <c r="O23" s="8">
        <f>-(H7^4)*E8*((E8+E6)^3+4*E8*(E8+E6)^2+(E8^2-3)*(E8+E6)-E8)</f>
        <v>1.9562100437216018E-3</v>
      </c>
      <c r="P23" s="8">
        <f>-(H7^4)*E9*((E9-E7)^3+4*E9*(E9-E7)^2+(E9^2-3)*(E9-E7)-E9)</f>
        <v>1.9562100437216018E-3</v>
      </c>
      <c r="Q23" s="8">
        <f>E5*O23+(1-E5)*P23</f>
        <v>1.9562100437216018E-3</v>
      </c>
      <c r="S23" s="15"/>
      <c r="T23" s="15"/>
    </row>
    <row r="24" spans="6:21" x14ac:dyDescent="0.25">
      <c r="F24" s="5">
        <v>4</v>
      </c>
      <c r="G24" s="8">
        <f>24*(H6+H6^3)/(1-H6^2)^4</f>
        <v>13.909661490107831</v>
      </c>
      <c r="H24" s="8">
        <f t="shared" si="3"/>
        <v>2.3850701117412117E-7</v>
      </c>
      <c r="I24" s="8"/>
      <c r="J24" s="12"/>
      <c r="K24" s="12"/>
      <c r="L24" s="12"/>
      <c r="M24" s="12"/>
      <c r="S24" s="13"/>
      <c r="T24" s="13"/>
      <c r="U24" s="13"/>
    </row>
    <row r="25" spans="6:21" x14ac:dyDescent="0.25">
      <c r="F25" s="5">
        <v>5</v>
      </c>
      <c r="G25" s="8">
        <f>(24+240*H6^2+120*H6^4)/(1-H6^2)^5</f>
        <v>91.628562031512871</v>
      </c>
      <c r="H25" s="8">
        <f t="shared" si="3"/>
        <v>2.3332390897918135E-9</v>
      </c>
      <c r="I25" s="8"/>
      <c r="J25" s="12"/>
      <c r="K25" s="12"/>
      <c r="L25" s="12"/>
      <c r="M25" s="12"/>
    </row>
  </sheetData>
  <mergeCells count="4">
    <mergeCell ref="F18:H18"/>
    <mergeCell ref="N18:Q18"/>
    <mergeCell ref="A4:B4"/>
    <mergeCell ref="D4:E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Bivariate Sampling (Ex 1)</vt:lpstr>
      <vt:lpstr>Controlled Experiment (Ex 2)</vt:lpstr>
      <vt:lpstr>Extreme Groups (Ex 3)</vt:lpstr>
      <vt:lpstr>Extreme Groups (Ex 4)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 Pustejovsky</dc:creator>
  <cp:lastModifiedBy>James E Pustejovsky</cp:lastModifiedBy>
  <dcterms:created xsi:type="dcterms:W3CDTF">2012-08-03T15:47:10Z</dcterms:created>
  <dcterms:modified xsi:type="dcterms:W3CDTF">2012-08-12T18:22:11Z</dcterms:modified>
</cp:coreProperties>
</file>