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h-bdc\users\asingh\Documents\"/>
    </mc:Choice>
  </mc:AlternateContent>
  <bookViews>
    <workbookView xWindow="0" yWindow="0" windowWidth="28800" windowHeight="11700"/>
  </bookViews>
  <sheets>
    <sheet name="Summary-PUC-2013-2021" sheetId="6" r:id="rId1"/>
    <sheet name="Energy-Mahe-2021" sheetId="1" r:id="rId2"/>
    <sheet name="Energy-Praslin-2021 " sheetId="2" r:id="rId3"/>
    <sheet name="Statistics- Mahe-2011-2021" sheetId="4" r:id="rId4"/>
    <sheet name="Statistics- Praslin-2013-202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" i="6" l="1"/>
  <c r="H40" i="6"/>
  <c r="D40" i="6"/>
  <c r="C40" i="6"/>
  <c r="U14" i="6"/>
  <c r="Q14" i="6"/>
  <c r="P40" i="6" s="1"/>
  <c r="P14" i="6"/>
  <c r="O14" i="6"/>
  <c r="N40" i="6" s="1"/>
  <c r="L14" i="6"/>
  <c r="K14" i="6"/>
  <c r="K40" i="6" s="1"/>
  <c r="J14" i="6"/>
  <c r="J40" i="6" s="1"/>
  <c r="I14" i="6"/>
  <c r="I40" i="6" s="1"/>
  <c r="M40" i="6" s="1"/>
  <c r="O40" i="6" s="1"/>
  <c r="H14" i="6"/>
  <c r="G14" i="6"/>
  <c r="E14" i="6"/>
  <c r="D14" i="6"/>
  <c r="C14" i="6"/>
  <c r="T14" i="6"/>
  <c r="S40" i="6" s="1"/>
  <c r="N14" i="6"/>
  <c r="R27" i="6"/>
  <c r="Q27" i="6"/>
  <c r="P27" i="6"/>
  <c r="M27" i="6"/>
  <c r="L25" i="6"/>
  <c r="L23" i="2"/>
  <c r="L27" i="6"/>
  <c r="K27" i="6"/>
  <c r="I27" i="6"/>
  <c r="H27" i="6"/>
  <c r="J27" i="6" s="1"/>
  <c r="F27" i="6"/>
  <c r="G40" i="6" s="1"/>
  <c r="D27" i="6"/>
  <c r="E40" i="6" s="1"/>
  <c r="C27" i="6"/>
  <c r="F40" i="6" l="1"/>
  <c r="W40" i="6"/>
  <c r="R14" i="6"/>
  <c r="S14" i="6" s="1"/>
  <c r="M14" i="6"/>
  <c r="V14" i="6" s="1"/>
  <c r="F14" i="6"/>
  <c r="N27" i="6"/>
  <c r="O27" i="6" s="1"/>
  <c r="E27" i="6"/>
  <c r="O78" i="1"/>
  <c r="J78" i="1"/>
  <c r="I78" i="1"/>
  <c r="H78" i="1"/>
  <c r="G78" i="1"/>
  <c r="N78" i="1"/>
  <c r="F78" i="1"/>
  <c r="Q40" i="6" l="1"/>
  <c r="R40" i="6" s="1"/>
  <c r="S15" i="5"/>
  <c r="P15" i="5"/>
  <c r="J15" i="5"/>
  <c r="I37" i="2"/>
  <c r="H15" i="5" s="1"/>
  <c r="I34" i="2"/>
  <c r="F15" i="5"/>
  <c r="H19" i="4"/>
  <c r="D15" i="5"/>
  <c r="D37" i="2"/>
  <c r="C15" i="5"/>
  <c r="U19" i="4"/>
  <c r="K75" i="1"/>
  <c r="P19" i="4"/>
  <c r="N19" i="4"/>
  <c r="M19" i="4"/>
  <c r="L19" i="4"/>
  <c r="K19" i="4"/>
  <c r="J19" i="4"/>
  <c r="I19" i="4"/>
  <c r="F19" i="4"/>
  <c r="E19" i="4"/>
  <c r="D19" i="4"/>
  <c r="C19" i="4"/>
  <c r="G19" i="4" s="1"/>
  <c r="M77" i="1"/>
  <c r="R19" i="4"/>
  <c r="AA19" i="4"/>
  <c r="O19" i="4" l="1"/>
  <c r="Q19" i="4"/>
  <c r="S19" i="4" s="1"/>
  <c r="V19" i="4"/>
  <c r="M15" i="5"/>
  <c r="E15" i="5"/>
  <c r="F34" i="2"/>
  <c r="L32" i="2"/>
  <c r="AB19" i="4" l="1"/>
  <c r="W19" i="4"/>
  <c r="G34" i="2" l="1"/>
  <c r="K77" i="1" l="1"/>
  <c r="M74" i="1"/>
  <c r="K72" i="1"/>
  <c r="J38" i="2" l="1"/>
  <c r="H34" i="2"/>
  <c r="H38" i="2" s="1"/>
  <c r="G38" i="2"/>
  <c r="F38" i="2"/>
  <c r="Q34" i="2" s="1"/>
  <c r="E34" i="2"/>
  <c r="E38" i="2" s="1"/>
  <c r="D34" i="2"/>
  <c r="D38" i="2" s="1"/>
  <c r="N33" i="2"/>
  <c r="O32" i="2"/>
  <c r="M32" i="2"/>
  <c r="O34" i="2" l="1"/>
  <c r="N34" i="2"/>
  <c r="I38" i="2"/>
  <c r="G15" i="5" s="1"/>
  <c r="I15" i="5" s="1"/>
  <c r="T15" i="5" s="1"/>
  <c r="P34" i="2"/>
  <c r="K32" i="2"/>
  <c r="K34" i="2" s="1"/>
  <c r="N32" i="2"/>
  <c r="N15" i="5" s="1"/>
  <c r="D77" i="1"/>
  <c r="D75" i="1"/>
  <c r="R77" i="1"/>
  <c r="R76" i="1"/>
  <c r="M76" i="1"/>
  <c r="AA75" i="1"/>
  <c r="AC75" i="1" s="1"/>
  <c r="AE75" i="1" s="1"/>
  <c r="AD73" i="1"/>
  <c r="X73" i="1"/>
  <c r="AA73" i="1" s="1"/>
  <c r="AC73" i="1" s="1"/>
  <c r="R73" i="1"/>
  <c r="M73" i="1"/>
  <c r="AD72" i="1"/>
  <c r="X72" i="1"/>
  <c r="AA72" i="1" s="1"/>
  <c r="AC72" i="1" s="1"/>
  <c r="AE72" i="1" s="1"/>
  <c r="S72" i="1"/>
  <c r="L72" i="1"/>
  <c r="L75" i="1" s="1"/>
  <c r="L78" i="1" s="1"/>
  <c r="J72" i="1"/>
  <c r="I72" i="1"/>
  <c r="AD76" i="1" s="1"/>
  <c r="H72" i="1"/>
  <c r="G72" i="1"/>
  <c r="X76" i="1" s="1"/>
  <c r="AA76" i="1" s="1"/>
  <c r="AC76" i="1" s="1"/>
  <c r="D72" i="1"/>
  <c r="E72" i="1" s="1"/>
  <c r="E75" i="1" s="1"/>
  <c r="AD71" i="1"/>
  <c r="X71" i="1"/>
  <c r="AA71" i="1" s="1"/>
  <c r="AC71" i="1" s="1"/>
  <c r="AE71" i="1" s="1"/>
  <c r="O71" i="1"/>
  <c r="K71" i="1"/>
  <c r="R71" i="1" s="1"/>
  <c r="AD70" i="1"/>
  <c r="X70" i="1"/>
  <c r="AA70" i="1" s="1"/>
  <c r="AC70" i="1" s="1"/>
  <c r="O70" i="1"/>
  <c r="K70" i="1"/>
  <c r="P70" i="1" s="1"/>
  <c r="AE70" i="1" l="1"/>
  <c r="AE73" i="1"/>
  <c r="M71" i="1"/>
  <c r="Q71" i="1" s="1"/>
  <c r="P71" i="1"/>
  <c r="K38" i="2"/>
  <c r="K15" i="5" s="1"/>
  <c r="N38" i="2"/>
  <c r="R35" i="2"/>
  <c r="P38" i="2"/>
  <c r="Q15" i="5" s="1"/>
  <c r="L38" i="2"/>
  <c r="M38" i="2"/>
  <c r="O38" i="2"/>
  <c r="AE76" i="1"/>
  <c r="AE77" i="1" s="1"/>
  <c r="O72" i="1"/>
  <c r="M70" i="1"/>
  <c r="Q70" i="1" s="1"/>
  <c r="R70" i="1"/>
  <c r="R15" i="5" l="1"/>
  <c r="O15" i="5"/>
  <c r="R72" i="1"/>
  <c r="N72" i="1"/>
  <c r="M72" i="1"/>
  <c r="Q72" i="1" s="1"/>
  <c r="P72" i="1"/>
  <c r="AD62" i="1"/>
  <c r="X62" i="1"/>
  <c r="AA65" i="1"/>
  <c r="AC65" i="1" s="1"/>
  <c r="AE65" i="1" s="1"/>
  <c r="AD65" i="1"/>
  <c r="X65" i="1"/>
  <c r="K78" i="1" l="1"/>
  <c r="R75" i="1"/>
  <c r="M75" i="1"/>
  <c r="M78" i="1" s="1"/>
  <c r="AA62" i="1"/>
  <c r="AC62" i="1"/>
  <c r="AE62" i="1" s="1"/>
  <c r="AA67" i="1"/>
  <c r="AC67" i="1" s="1"/>
  <c r="AE67" i="1" s="1"/>
  <c r="AD67" i="1"/>
  <c r="X67" i="1"/>
  <c r="AA66" i="1"/>
  <c r="AC66" i="1" s="1"/>
  <c r="AE66" i="1" s="1"/>
  <c r="AE68" i="1" s="1"/>
  <c r="AA64" i="1"/>
  <c r="AC64" i="1" s="1"/>
  <c r="AE64" i="1" s="1"/>
  <c r="AD64" i="1"/>
  <c r="X64" i="1"/>
  <c r="AA63" i="1"/>
  <c r="AC63" i="1" s="1"/>
  <c r="AE63" i="1" s="1"/>
  <c r="AD63" i="1"/>
  <c r="X63" i="1"/>
  <c r="AA57" i="1"/>
  <c r="Z57" i="1"/>
  <c r="Y57" i="1"/>
  <c r="G28" i="2"/>
  <c r="G26" i="2"/>
  <c r="G25" i="2"/>
  <c r="G23" i="2"/>
  <c r="G20" i="2"/>
  <c r="G17" i="2"/>
  <c r="G14" i="2"/>
  <c r="G13" i="2"/>
  <c r="G11" i="2"/>
  <c r="I26" i="2"/>
  <c r="C26" i="6"/>
  <c r="M26" i="6"/>
  <c r="Q13" i="6"/>
  <c r="P39" i="6" s="1"/>
  <c r="V40" i="6" s="1"/>
  <c r="O13" i="6"/>
  <c r="L13" i="6"/>
  <c r="K13" i="6"/>
  <c r="J13" i="6"/>
  <c r="J39" i="6" s="1"/>
  <c r="H13" i="6"/>
  <c r="H39" i="6" s="1"/>
  <c r="G13" i="6"/>
  <c r="E13" i="6"/>
  <c r="D13" i="6"/>
  <c r="C13" i="6"/>
  <c r="Q28" i="2"/>
  <c r="J28" i="2"/>
  <c r="H31" i="2"/>
  <c r="F31" i="2"/>
  <c r="H28" i="2"/>
  <c r="F28" i="2"/>
  <c r="E28" i="2"/>
  <c r="E31" i="2"/>
  <c r="D28" i="2"/>
  <c r="D31" i="2"/>
  <c r="K39" i="6"/>
  <c r="C14" i="5"/>
  <c r="E14" i="5" s="1"/>
  <c r="D38" i="6"/>
  <c r="D39" i="6"/>
  <c r="M25" i="6"/>
  <c r="K25" i="6"/>
  <c r="F25" i="6"/>
  <c r="C25" i="6"/>
  <c r="M24" i="6"/>
  <c r="L24" i="6"/>
  <c r="K24" i="6"/>
  <c r="I24" i="6"/>
  <c r="H24" i="6"/>
  <c r="J24" i="6" s="1"/>
  <c r="F24" i="6"/>
  <c r="D24" i="6"/>
  <c r="C24" i="6"/>
  <c r="M23" i="6"/>
  <c r="N23" i="6" s="1"/>
  <c r="O23" i="6" s="1"/>
  <c r="L23" i="6"/>
  <c r="K23" i="6"/>
  <c r="I23" i="6"/>
  <c r="H23" i="6"/>
  <c r="F23" i="6"/>
  <c r="D23" i="6"/>
  <c r="C23" i="6"/>
  <c r="M22" i="6"/>
  <c r="L22" i="6"/>
  <c r="K22" i="6"/>
  <c r="H22" i="6"/>
  <c r="J22" i="6" s="1"/>
  <c r="R22" i="6" s="1"/>
  <c r="F22" i="6"/>
  <c r="D22" i="6"/>
  <c r="C22" i="6"/>
  <c r="M21" i="6"/>
  <c r="L21" i="6"/>
  <c r="N21" i="6" s="1"/>
  <c r="O21" i="6" s="1"/>
  <c r="K21" i="6"/>
  <c r="I21" i="6"/>
  <c r="H21" i="6"/>
  <c r="J21" i="6" s="1"/>
  <c r="F21" i="6"/>
  <c r="D21" i="6"/>
  <c r="C21" i="6"/>
  <c r="M20" i="6"/>
  <c r="L20" i="6"/>
  <c r="N20" i="6" s="1"/>
  <c r="O20" i="6" s="1"/>
  <c r="K20" i="6"/>
  <c r="I20" i="6"/>
  <c r="H20" i="6"/>
  <c r="F20" i="6"/>
  <c r="G33" i="6" s="1"/>
  <c r="D20" i="6"/>
  <c r="C20" i="6"/>
  <c r="P19" i="6"/>
  <c r="M19" i="6"/>
  <c r="L19" i="6"/>
  <c r="K19" i="6"/>
  <c r="H19" i="6"/>
  <c r="J19" i="6"/>
  <c r="R19" i="6" s="1"/>
  <c r="F19" i="6"/>
  <c r="C19" i="6"/>
  <c r="E19" i="6" s="1"/>
  <c r="U12" i="6"/>
  <c r="T12" i="6"/>
  <c r="Q12" i="6"/>
  <c r="O12" i="6"/>
  <c r="L12" i="6"/>
  <c r="L38" i="6" s="1"/>
  <c r="K12" i="6"/>
  <c r="K38" i="6" s="1"/>
  <c r="J12" i="6"/>
  <c r="J38" i="6" s="1"/>
  <c r="I12" i="6"/>
  <c r="H12" i="6"/>
  <c r="H38" i="6" s="1"/>
  <c r="G12" i="6"/>
  <c r="E12" i="6"/>
  <c r="D12" i="6"/>
  <c r="C12" i="6"/>
  <c r="U11" i="6"/>
  <c r="T11" i="6"/>
  <c r="Q11" i="6"/>
  <c r="O11" i="6"/>
  <c r="L11" i="6"/>
  <c r="K11" i="6"/>
  <c r="K37" i="6" s="1"/>
  <c r="J11" i="6"/>
  <c r="I11" i="6"/>
  <c r="H11" i="6"/>
  <c r="H37" i="6" s="1"/>
  <c r="G11" i="6"/>
  <c r="E11" i="6"/>
  <c r="E37" i="6" s="1"/>
  <c r="D11" i="6"/>
  <c r="C11" i="6"/>
  <c r="U10" i="6"/>
  <c r="T10" i="6"/>
  <c r="Q10" i="6"/>
  <c r="O10" i="6"/>
  <c r="L10" i="6"/>
  <c r="K10" i="6"/>
  <c r="J10" i="6"/>
  <c r="J36" i="6" s="1"/>
  <c r="I10" i="6"/>
  <c r="H10" i="6"/>
  <c r="H36" i="6" s="1"/>
  <c r="G10" i="6"/>
  <c r="E10" i="6"/>
  <c r="D10" i="6"/>
  <c r="C10" i="6"/>
  <c r="C36" i="6" s="1"/>
  <c r="T9" i="6"/>
  <c r="Q9" i="6"/>
  <c r="O9" i="6"/>
  <c r="L9" i="6"/>
  <c r="L35" i="6" s="1"/>
  <c r="K9" i="6"/>
  <c r="K35" i="6" s="1"/>
  <c r="J9" i="6"/>
  <c r="J35" i="6" s="1"/>
  <c r="I9" i="6"/>
  <c r="H9" i="6"/>
  <c r="H35" i="6" s="1"/>
  <c r="G9" i="6"/>
  <c r="E9" i="6"/>
  <c r="D9" i="6"/>
  <c r="C9" i="6"/>
  <c r="C35" i="6" s="1"/>
  <c r="Q8" i="6"/>
  <c r="P34" i="6" s="1"/>
  <c r="O8" i="6"/>
  <c r="L8" i="6"/>
  <c r="K8" i="6"/>
  <c r="J8" i="6"/>
  <c r="J34" i="6" s="1"/>
  <c r="I8" i="6"/>
  <c r="H8" i="6"/>
  <c r="H34" i="6"/>
  <c r="G8" i="6"/>
  <c r="E8" i="6"/>
  <c r="D8" i="6"/>
  <c r="C8" i="6"/>
  <c r="C34" i="6" s="1"/>
  <c r="U7" i="6"/>
  <c r="Q7" i="6"/>
  <c r="O7" i="6"/>
  <c r="L7" i="6"/>
  <c r="L33" i="6" s="1"/>
  <c r="K7" i="6"/>
  <c r="K33" i="6" s="1"/>
  <c r="J7" i="6"/>
  <c r="J33" i="6" s="1"/>
  <c r="I7" i="6"/>
  <c r="H7" i="6"/>
  <c r="H33" i="6" s="1"/>
  <c r="G7" i="6"/>
  <c r="E7" i="6"/>
  <c r="E33" i="6" s="1"/>
  <c r="D7" i="6"/>
  <c r="C7" i="6"/>
  <c r="T6" i="6"/>
  <c r="Q6" i="6"/>
  <c r="O6" i="6"/>
  <c r="L6" i="6"/>
  <c r="K6" i="6"/>
  <c r="K32" i="6" s="1"/>
  <c r="J6" i="6"/>
  <c r="J32" i="6"/>
  <c r="I6" i="6"/>
  <c r="H6" i="6"/>
  <c r="H32" i="6" s="1"/>
  <c r="G6" i="6"/>
  <c r="G32" i="6" s="1"/>
  <c r="E6" i="6"/>
  <c r="E32" i="6" s="1"/>
  <c r="D6" i="6"/>
  <c r="C6" i="6"/>
  <c r="E23" i="6"/>
  <c r="P33" i="6"/>
  <c r="T23" i="6"/>
  <c r="E22" i="6"/>
  <c r="I33" i="6"/>
  <c r="E7" i="5"/>
  <c r="C8" i="5"/>
  <c r="E8" i="5" s="1"/>
  <c r="C13" i="5"/>
  <c r="C12" i="5"/>
  <c r="E12" i="5" s="1"/>
  <c r="C11" i="5"/>
  <c r="E11" i="5" s="1"/>
  <c r="C10" i="5"/>
  <c r="E10" i="5" s="1"/>
  <c r="C9" i="5"/>
  <c r="S14" i="5"/>
  <c r="S13" i="5"/>
  <c r="S12" i="5"/>
  <c r="S11" i="5"/>
  <c r="S10" i="5"/>
  <c r="S9" i="5"/>
  <c r="S8" i="5"/>
  <c r="M14" i="5"/>
  <c r="P26" i="6"/>
  <c r="J14" i="5"/>
  <c r="K26" i="6"/>
  <c r="H14" i="5"/>
  <c r="I26" i="6"/>
  <c r="I28" i="2"/>
  <c r="F14" i="5"/>
  <c r="F26" i="6" s="1"/>
  <c r="G39" i="6" s="1"/>
  <c r="D14" i="5"/>
  <c r="D26" i="6"/>
  <c r="E39" i="6" s="1"/>
  <c r="N27" i="2"/>
  <c r="AA18" i="4"/>
  <c r="AA17" i="4"/>
  <c r="AA16" i="4"/>
  <c r="AA15" i="4"/>
  <c r="AA14" i="4"/>
  <c r="AA13" i="4"/>
  <c r="AA12" i="4"/>
  <c r="AA11" i="4"/>
  <c r="AA10" i="4"/>
  <c r="U18" i="4"/>
  <c r="X19" i="4" s="1"/>
  <c r="R18" i="4"/>
  <c r="N18" i="4"/>
  <c r="L18" i="4"/>
  <c r="K18" i="4"/>
  <c r="I18" i="4"/>
  <c r="H18" i="4"/>
  <c r="E18" i="4"/>
  <c r="D18" i="4"/>
  <c r="C18" i="4"/>
  <c r="O28" i="2"/>
  <c r="P28" i="2"/>
  <c r="I31" i="2"/>
  <c r="R29" i="2"/>
  <c r="N28" i="2"/>
  <c r="K26" i="2"/>
  <c r="G14" i="5"/>
  <c r="I14" i="5" s="1"/>
  <c r="T14" i="5" s="1"/>
  <c r="J31" i="2"/>
  <c r="O31" i="2"/>
  <c r="N31" i="2"/>
  <c r="N14" i="5"/>
  <c r="Q26" i="6"/>
  <c r="O26" i="2"/>
  <c r="N26" i="2"/>
  <c r="M26" i="2"/>
  <c r="L26" i="2"/>
  <c r="L31" i="2"/>
  <c r="H26" i="6"/>
  <c r="K28" i="2"/>
  <c r="K14" i="5"/>
  <c r="G31" i="2"/>
  <c r="K31" i="2"/>
  <c r="P31" i="2"/>
  <c r="Q14" i="5" s="1"/>
  <c r="M31" i="2"/>
  <c r="K68" i="1"/>
  <c r="R68" i="1"/>
  <c r="D68" i="1"/>
  <c r="R67" i="1"/>
  <c r="M67" i="1"/>
  <c r="R65" i="1"/>
  <c r="M65" i="1"/>
  <c r="S64" i="1"/>
  <c r="L64" i="1"/>
  <c r="L66" i="1"/>
  <c r="L69" i="1"/>
  <c r="J64" i="1"/>
  <c r="I64" i="1"/>
  <c r="H64" i="1"/>
  <c r="G64" i="1"/>
  <c r="D64" i="1"/>
  <c r="D66" i="1"/>
  <c r="P63" i="1"/>
  <c r="O63" i="1"/>
  <c r="K63" i="1"/>
  <c r="R63" i="1"/>
  <c r="O62" i="1"/>
  <c r="K62" i="1"/>
  <c r="P62" i="1"/>
  <c r="I13" i="6"/>
  <c r="I39" i="6" s="1"/>
  <c r="J18" i="4"/>
  <c r="O14" i="5"/>
  <c r="L26" i="6"/>
  <c r="T27" i="6" s="1"/>
  <c r="J26" i="6"/>
  <c r="S27" i="6" s="1"/>
  <c r="M68" i="1"/>
  <c r="O64" i="1"/>
  <c r="M62" i="1"/>
  <c r="Q62" i="1" s="1"/>
  <c r="R62" i="1"/>
  <c r="E64" i="1"/>
  <c r="E66" i="1"/>
  <c r="K64" i="1"/>
  <c r="M63" i="1"/>
  <c r="Q63" i="1"/>
  <c r="T61" i="1"/>
  <c r="T13" i="1"/>
  <c r="T21" i="1"/>
  <c r="T29" i="1"/>
  <c r="T37" i="1"/>
  <c r="T45" i="1"/>
  <c r="T53" i="1"/>
  <c r="AB9" i="4"/>
  <c r="AB10" i="4"/>
  <c r="S10" i="4"/>
  <c r="S9" i="4"/>
  <c r="Q10" i="4"/>
  <c r="Q9" i="4"/>
  <c r="D17" i="4"/>
  <c r="C17" i="4"/>
  <c r="K66" i="1"/>
  <c r="P64" i="1"/>
  <c r="R64" i="1"/>
  <c r="N64" i="1"/>
  <c r="N69" i="1"/>
  <c r="M64" i="1"/>
  <c r="Q64" i="1"/>
  <c r="R53" i="1"/>
  <c r="R66" i="1"/>
  <c r="K69" i="1"/>
  <c r="M66" i="1"/>
  <c r="M69" i="1" s="1"/>
  <c r="P13" i="6" s="1"/>
  <c r="X14" i="6" s="1"/>
  <c r="R69" i="1"/>
  <c r="T69" i="1"/>
  <c r="N13" i="5"/>
  <c r="Q25" i="6"/>
  <c r="J13" i="5"/>
  <c r="H13" i="5"/>
  <c r="I25" i="6"/>
  <c r="G13" i="5"/>
  <c r="I13" i="5" s="1"/>
  <c r="F13" i="5"/>
  <c r="H25" i="2"/>
  <c r="D13" i="5"/>
  <c r="D25" i="6"/>
  <c r="Q13" i="5"/>
  <c r="M13" i="5"/>
  <c r="P25" i="6"/>
  <c r="E25" i="6"/>
  <c r="P14" i="5"/>
  <c r="E13" i="5"/>
  <c r="U17" i="4"/>
  <c r="R17" i="4"/>
  <c r="N17" i="4"/>
  <c r="P17" i="4" s="1"/>
  <c r="L17" i="4"/>
  <c r="K17" i="4"/>
  <c r="J17" i="4"/>
  <c r="O17" i="4" s="1"/>
  <c r="I17" i="4"/>
  <c r="H17" i="4"/>
  <c r="E17" i="4"/>
  <c r="P23" i="2"/>
  <c r="J25" i="2"/>
  <c r="P25" i="2"/>
  <c r="F25" i="2"/>
  <c r="E25" i="2"/>
  <c r="D25" i="2"/>
  <c r="Q23" i="2"/>
  <c r="N23" i="2"/>
  <c r="M23" i="2"/>
  <c r="K23" i="2"/>
  <c r="M48" i="1"/>
  <c r="M50" i="1"/>
  <c r="M42" i="1"/>
  <c r="M40" i="1"/>
  <c r="Q40" i="1" s="1"/>
  <c r="M34" i="1"/>
  <c r="M32" i="1"/>
  <c r="M26" i="1"/>
  <c r="M24" i="1"/>
  <c r="Q24" i="1" s="1"/>
  <c r="M18" i="1"/>
  <c r="M16" i="1"/>
  <c r="M8" i="1"/>
  <c r="M58" i="1"/>
  <c r="M56" i="1"/>
  <c r="L18" i="1"/>
  <c r="L26" i="1"/>
  <c r="L34" i="1"/>
  <c r="L58" i="1"/>
  <c r="L42" i="1"/>
  <c r="L50" i="1"/>
  <c r="O25" i="2"/>
  <c r="O23" i="2"/>
  <c r="M25" i="2"/>
  <c r="N25" i="2"/>
  <c r="K25" i="2"/>
  <c r="R23" i="2"/>
  <c r="L25" i="2"/>
  <c r="K60" i="1"/>
  <c r="D60" i="1"/>
  <c r="R59" i="1"/>
  <c r="M59" i="1"/>
  <c r="R57" i="1"/>
  <c r="M57" i="1"/>
  <c r="S56" i="1"/>
  <c r="L56" i="1"/>
  <c r="L61" i="1"/>
  <c r="J56" i="1"/>
  <c r="I56" i="1"/>
  <c r="H56" i="1"/>
  <c r="G56" i="1"/>
  <c r="D56" i="1"/>
  <c r="D58" i="1"/>
  <c r="O55" i="1"/>
  <c r="K55" i="1"/>
  <c r="P55" i="1"/>
  <c r="O54" i="1"/>
  <c r="K54" i="1"/>
  <c r="K56" i="1"/>
  <c r="P56" i="1"/>
  <c r="O56" i="1"/>
  <c r="M60" i="1"/>
  <c r="K58" i="1"/>
  <c r="P54" i="1"/>
  <c r="M55" i="1"/>
  <c r="Q55" i="1"/>
  <c r="M54" i="1"/>
  <c r="E56" i="1"/>
  <c r="E58" i="1"/>
  <c r="Q12" i="5"/>
  <c r="N12" i="5"/>
  <c r="Q24" i="6"/>
  <c r="M12" i="5"/>
  <c r="P24" i="6"/>
  <c r="K12" i="5"/>
  <c r="R12" i="5" s="1"/>
  <c r="J12" i="5"/>
  <c r="H12" i="5"/>
  <c r="G12" i="5"/>
  <c r="I12" i="5" s="1"/>
  <c r="T12" i="5" s="1"/>
  <c r="F12" i="5"/>
  <c r="D12" i="5"/>
  <c r="U16" i="4"/>
  <c r="N16" i="4"/>
  <c r="L16" i="4"/>
  <c r="P16" i="4" s="1"/>
  <c r="E16" i="4"/>
  <c r="D16" i="4"/>
  <c r="O12" i="5"/>
  <c r="P13" i="5"/>
  <c r="N56" i="1"/>
  <c r="Q54" i="1"/>
  <c r="K61" i="1"/>
  <c r="J22" i="2"/>
  <c r="I22" i="2"/>
  <c r="P22" i="2"/>
  <c r="F22" i="2"/>
  <c r="E22" i="2"/>
  <c r="D22" i="2"/>
  <c r="Q20" i="2"/>
  <c r="P20" i="2"/>
  <c r="O20" i="2"/>
  <c r="N20" i="2"/>
  <c r="M20" i="2"/>
  <c r="L20" i="2"/>
  <c r="K20" i="2"/>
  <c r="G22" i="2"/>
  <c r="Q56" i="1"/>
  <c r="O22" i="2"/>
  <c r="N22" i="2"/>
  <c r="M22" i="2"/>
  <c r="R20" i="2"/>
  <c r="K22" i="2"/>
  <c r="L22" i="2"/>
  <c r="K52" i="1"/>
  <c r="R60" i="1"/>
  <c r="D52" i="1"/>
  <c r="R51" i="1"/>
  <c r="M51" i="1"/>
  <c r="R49" i="1"/>
  <c r="M49" i="1"/>
  <c r="S48" i="1"/>
  <c r="L48" i="1"/>
  <c r="J48" i="1"/>
  <c r="I48" i="1"/>
  <c r="H48" i="1"/>
  <c r="G48" i="1"/>
  <c r="D48" i="1"/>
  <c r="O47" i="1"/>
  <c r="K47" i="1"/>
  <c r="O46" i="1"/>
  <c r="K46" i="1"/>
  <c r="R54" i="1"/>
  <c r="H16" i="4"/>
  <c r="L53" i="1"/>
  <c r="R16" i="4"/>
  <c r="P47" i="1"/>
  <c r="R55" i="1"/>
  <c r="I16" i="4"/>
  <c r="J16" i="4"/>
  <c r="M52" i="1"/>
  <c r="D50" i="1"/>
  <c r="C16" i="4"/>
  <c r="K16" i="4"/>
  <c r="O48" i="1"/>
  <c r="K48" i="1"/>
  <c r="R56" i="1"/>
  <c r="P46" i="1"/>
  <c r="M47" i="1"/>
  <c r="Q47" i="1" s="1"/>
  <c r="M46" i="1"/>
  <c r="Q46" i="1" s="1"/>
  <c r="E48" i="1"/>
  <c r="E50" i="1"/>
  <c r="N48" i="1"/>
  <c r="K50" i="1"/>
  <c r="R58" i="1"/>
  <c r="P48" i="1"/>
  <c r="K53" i="1"/>
  <c r="M53" i="1"/>
  <c r="Q48" i="1"/>
  <c r="N14" i="4"/>
  <c r="Q11" i="5"/>
  <c r="M11" i="5"/>
  <c r="P23" i="6"/>
  <c r="J11" i="5"/>
  <c r="H11" i="5"/>
  <c r="F11" i="5"/>
  <c r="D11" i="5"/>
  <c r="U15" i="4"/>
  <c r="N15" i="4"/>
  <c r="P15" i="4" s="1"/>
  <c r="L15" i="4"/>
  <c r="E15" i="4"/>
  <c r="D15" i="4"/>
  <c r="N17" i="2"/>
  <c r="M17" i="2"/>
  <c r="J19" i="2"/>
  <c r="I19" i="2"/>
  <c r="P19" i="2"/>
  <c r="H19" i="2"/>
  <c r="M19" i="2"/>
  <c r="F19" i="2"/>
  <c r="E19" i="2"/>
  <c r="D19" i="2"/>
  <c r="R17" i="2"/>
  <c r="Q17" i="2"/>
  <c r="P17" i="2"/>
  <c r="O17" i="2"/>
  <c r="L17" i="2"/>
  <c r="K17" i="2"/>
  <c r="G19" i="2"/>
  <c r="P12" i="5"/>
  <c r="R61" i="1"/>
  <c r="G11" i="5"/>
  <c r="I11" i="5"/>
  <c r="T11" i="5"/>
  <c r="N19" i="2"/>
  <c r="O19" i="2"/>
  <c r="K19" i="2"/>
  <c r="L19" i="2"/>
  <c r="K11" i="5"/>
  <c r="N11" i="5"/>
  <c r="Q23" i="6"/>
  <c r="O39" i="1"/>
  <c r="O38" i="1"/>
  <c r="O11" i="5"/>
  <c r="K44" i="1"/>
  <c r="D44" i="1"/>
  <c r="R43" i="1"/>
  <c r="M43" i="1"/>
  <c r="M44" i="1" s="1"/>
  <c r="R41" i="1"/>
  <c r="M41" i="1"/>
  <c r="S40" i="1"/>
  <c r="L40" i="1"/>
  <c r="J40" i="1"/>
  <c r="I40" i="1"/>
  <c r="H40" i="1"/>
  <c r="G40" i="1"/>
  <c r="D40" i="1"/>
  <c r="K39" i="1"/>
  <c r="K38" i="1"/>
  <c r="P39" i="1"/>
  <c r="R47" i="1"/>
  <c r="R52" i="1"/>
  <c r="P38" i="1"/>
  <c r="R46" i="1"/>
  <c r="E40" i="1"/>
  <c r="E42" i="1"/>
  <c r="C15" i="4"/>
  <c r="H15" i="4"/>
  <c r="L45" i="1"/>
  <c r="R15" i="4"/>
  <c r="K15" i="4"/>
  <c r="J15" i="4"/>
  <c r="I15" i="4"/>
  <c r="O40" i="1"/>
  <c r="D42" i="1"/>
  <c r="K40" i="1"/>
  <c r="M39" i="1"/>
  <c r="Q39" i="1"/>
  <c r="M38" i="1"/>
  <c r="P40" i="1"/>
  <c r="R48" i="1"/>
  <c r="K42" i="1"/>
  <c r="R50" i="1"/>
  <c r="N40" i="1"/>
  <c r="Q38" i="1"/>
  <c r="K45" i="1"/>
  <c r="L8" i="1"/>
  <c r="L13" i="1"/>
  <c r="R11" i="4"/>
  <c r="X14" i="4"/>
  <c r="X13" i="4"/>
  <c r="X12" i="4"/>
  <c r="X11" i="4"/>
  <c r="X10" i="4"/>
  <c r="P10" i="4"/>
  <c r="P9" i="4"/>
  <c r="O10" i="4"/>
  <c r="V10" i="4"/>
  <c r="O9" i="4"/>
  <c r="V9" i="4"/>
  <c r="W9" i="4"/>
  <c r="W10" i="4"/>
  <c r="Y10" i="4"/>
  <c r="G10" i="4"/>
  <c r="G9" i="4"/>
  <c r="Z10" i="4"/>
  <c r="Q10" i="5"/>
  <c r="N10" i="5"/>
  <c r="Q22" i="6"/>
  <c r="M10" i="5"/>
  <c r="P22" i="6"/>
  <c r="K10" i="5"/>
  <c r="O10" i="5" s="1"/>
  <c r="J10" i="5"/>
  <c r="G10" i="5"/>
  <c r="I10" i="5"/>
  <c r="T10" i="5"/>
  <c r="F10" i="5"/>
  <c r="D10" i="5"/>
  <c r="Q9" i="5"/>
  <c r="N9" i="5"/>
  <c r="Q21" i="6"/>
  <c r="M9" i="5"/>
  <c r="P21" i="6"/>
  <c r="S34" i="6" s="1"/>
  <c r="K9" i="5"/>
  <c r="O9" i="5" s="1"/>
  <c r="J9" i="5"/>
  <c r="H9" i="5"/>
  <c r="T9" i="5" s="1"/>
  <c r="G9" i="5"/>
  <c r="F9" i="5"/>
  <c r="D9" i="5"/>
  <c r="Q8" i="5"/>
  <c r="N8" i="5"/>
  <c r="Q20" i="6" s="1"/>
  <c r="M8" i="5"/>
  <c r="P20" i="6"/>
  <c r="S33" i="6"/>
  <c r="K8" i="5"/>
  <c r="O8" i="5"/>
  <c r="J8" i="5"/>
  <c r="H8" i="5"/>
  <c r="I8" i="5" s="1"/>
  <c r="G8" i="5"/>
  <c r="F8" i="5"/>
  <c r="D8" i="5"/>
  <c r="N7" i="5"/>
  <c r="Q19" i="6" s="1"/>
  <c r="K7" i="5"/>
  <c r="O7" i="5"/>
  <c r="J7" i="5"/>
  <c r="G7" i="5"/>
  <c r="I7" i="5"/>
  <c r="F7" i="5"/>
  <c r="C7" i="5"/>
  <c r="L14" i="4"/>
  <c r="P14" i="4" s="1"/>
  <c r="E14" i="4"/>
  <c r="D14" i="4"/>
  <c r="N13" i="4"/>
  <c r="L13" i="4"/>
  <c r="P13" i="4" s="1"/>
  <c r="E13" i="4"/>
  <c r="D13" i="4"/>
  <c r="N12" i="4"/>
  <c r="L12" i="4"/>
  <c r="P12" i="4" s="1"/>
  <c r="I12" i="4"/>
  <c r="E12" i="4"/>
  <c r="D12" i="4"/>
  <c r="C12" i="4"/>
  <c r="G12" i="4" s="1"/>
  <c r="N11" i="4"/>
  <c r="P11" i="4" s="1"/>
  <c r="L11" i="4"/>
  <c r="E11" i="4"/>
  <c r="D11" i="4"/>
  <c r="C11" i="4"/>
  <c r="P11" i="5"/>
  <c r="P8" i="5"/>
  <c r="P9" i="5"/>
  <c r="P10" i="5"/>
  <c r="R8" i="5"/>
  <c r="I9" i="5"/>
  <c r="E9" i="5"/>
  <c r="Q14" i="2"/>
  <c r="J16" i="2"/>
  <c r="I16" i="2"/>
  <c r="H16" i="2"/>
  <c r="F16" i="2"/>
  <c r="E16" i="2"/>
  <c r="D16" i="2"/>
  <c r="R14" i="2"/>
  <c r="P14" i="2"/>
  <c r="O14" i="2"/>
  <c r="N14" i="2"/>
  <c r="M14" i="2"/>
  <c r="L14" i="2"/>
  <c r="K14" i="2"/>
  <c r="G16" i="2"/>
  <c r="O16" i="2"/>
  <c r="L16" i="2"/>
  <c r="K16" i="2"/>
  <c r="N16" i="2"/>
  <c r="M16" i="2"/>
  <c r="P16" i="2"/>
  <c r="D32" i="1"/>
  <c r="E32" i="1"/>
  <c r="E34" i="1"/>
  <c r="D24" i="1"/>
  <c r="C13" i="4"/>
  <c r="G13" i="4" s="1"/>
  <c r="K36" i="1"/>
  <c r="D36" i="1"/>
  <c r="R35" i="1"/>
  <c r="M35" i="1"/>
  <c r="R33" i="1"/>
  <c r="M33" i="1"/>
  <c r="M36" i="1" s="1"/>
  <c r="S32" i="1"/>
  <c r="L32" i="1"/>
  <c r="J32" i="1"/>
  <c r="I32" i="1"/>
  <c r="H32" i="1"/>
  <c r="G32" i="1"/>
  <c r="O31" i="1"/>
  <c r="K31" i="1"/>
  <c r="O30" i="1"/>
  <c r="K30" i="1"/>
  <c r="O32" i="1"/>
  <c r="J14" i="4"/>
  <c r="P30" i="1"/>
  <c r="R38" i="1"/>
  <c r="K14" i="4"/>
  <c r="R44" i="1"/>
  <c r="H14" i="4"/>
  <c r="R39" i="1"/>
  <c r="I14" i="4"/>
  <c r="D34" i="1"/>
  <c r="C14" i="4"/>
  <c r="G14" i="4" s="1"/>
  <c r="M30" i="1"/>
  <c r="Q30" i="1" s="1"/>
  <c r="P31" i="1"/>
  <c r="K32" i="1"/>
  <c r="R40" i="1"/>
  <c r="M31" i="1"/>
  <c r="Q31" i="1" s="1"/>
  <c r="D12" i="1"/>
  <c r="D28" i="1"/>
  <c r="L37" i="1"/>
  <c r="R14" i="4"/>
  <c r="K34" i="1"/>
  <c r="P32" i="1"/>
  <c r="U9" i="6" s="1"/>
  <c r="N32" i="1"/>
  <c r="K37" i="1"/>
  <c r="R45" i="1"/>
  <c r="R42" i="1"/>
  <c r="Q32" i="1"/>
  <c r="M37" i="1"/>
  <c r="D13" i="2"/>
  <c r="D10" i="2"/>
  <c r="M27" i="1"/>
  <c r="M28" i="1" s="1"/>
  <c r="M19" i="1"/>
  <c r="J13" i="2"/>
  <c r="I13" i="2"/>
  <c r="P13" i="2"/>
  <c r="H13" i="2"/>
  <c r="F13" i="2"/>
  <c r="E13" i="2"/>
  <c r="R11" i="2"/>
  <c r="Q11" i="2"/>
  <c r="P11" i="2"/>
  <c r="O11" i="2"/>
  <c r="N11" i="2"/>
  <c r="M11" i="2"/>
  <c r="L11" i="2"/>
  <c r="K11" i="2"/>
  <c r="J10" i="2"/>
  <c r="I10" i="2"/>
  <c r="P10" i="2"/>
  <c r="H10" i="2"/>
  <c r="E10" i="2"/>
  <c r="R8" i="2"/>
  <c r="Q8" i="2"/>
  <c r="P8" i="2"/>
  <c r="O8" i="2"/>
  <c r="N8" i="2"/>
  <c r="M8" i="2"/>
  <c r="L8" i="2"/>
  <c r="K8" i="2"/>
  <c r="G8" i="2"/>
  <c r="G10" i="2"/>
  <c r="O7" i="2"/>
  <c r="N7" i="2"/>
  <c r="M7" i="2"/>
  <c r="L7" i="2"/>
  <c r="K7" i="2"/>
  <c r="G7" i="2"/>
  <c r="K28" i="1"/>
  <c r="R36" i="1"/>
  <c r="R27" i="1"/>
  <c r="D26" i="1"/>
  <c r="R25" i="1"/>
  <c r="M25" i="1"/>
  <c r="S24" i="1"/>
  <c r="L24" i="1"/>
  <c r="L29" i="1"/>
  <c r="J24" i="1"/>
  <c r="K13" i="4"/>
  <c r="I24" i="1"/>
  <c r="J13" i="4"/>
  <c r="O13" i="4" s="1"/>
  <c r="H24" i="1"/>
  <c r="I13" i="4"/>
  <c r="G24" i="1"/>
  <c r="E24" i="1"/>
  <c r="E26" i="1"/>
  <c r="O23" i="1"/>
  <c r="K23" i="1"/>
  <c r="R31" i="1"/>
  <c r="O22" i="1"/>
  <c r="K22" i="1"/>
  <c r="P22" i="1"/>
  <c r="K20" i="1"/>
  <c r="D20" i="1"/>
  <c r="D18" i="1"/>
  <c r="R17" i="1"/>
  <c r="M17" i="1"/>
  <c r="M20" i="1" s="1"/>
  <c r="S16" i="1"/>
  <c r="L16" i="1"/>
  <c r="L21" i="1"/>
  <c r="J16" i="1"/>
  <c r="K12" i="4"/>
  <c r="O12" i="4" s="1"/>
  <c r="V12" i="4" s="1"/>
  <c r="I16" i="1"/>
  <c r="J12" i="4"/>
  <c r="G16" i="1"/>
  <c r="E16" i="1"/>
  <c r="E18" i="1"/>
  <c r="D16" i="1"/>
  <c r="O15" i="1"/>
  <c r="K15" i="1"/>
  <c r="P15" i="1"/>
  <c r="O14" i="1"/>
  <c r="K14" i="1"/>
  <c r="P14" i="1"/>
  <c r="K12" i="1"/>
  <c r="D10" i="1"/>
  <c r="M9" i="1"/>
  <c r="J8" i="1"/>
  <c r="I8" i="1"/>
  <c r="H8" i="1"/>
  <c r="G8" i="1"/>
  <c r="E8" i="1"/>
  <c r="E10" i="1"/>
  <c r="O7" i="1"/>
  <c r="K7" i="1"/>
  <c r="P7" i="1"/>
  <c r="O6" i="1"/>
  <c r="K6" i="1"/>
  <c r="M6" i="1"/>
  <c r="P23" i="1"/>
  <c r="R12" i="4"/>
  <c r="R13" i="4"/>
  <c r="K11" i="4"/>
  <c r="M7" i="1"/>
  <c r="Q7" i="1"/>
  <c r="O8" i="1"/>
  <c r="H11" i="4"/>
  <c r="K8" i="1"/>
  <c r="O16" i="1"/>
  <c r="H12" i="4"/>
  <c r="I11" i="4"/>
  <c r="R14" i="1"/>
  <c r="P6" i="1"/>
  <c r="J11" i="4"/>
  <c r="R22" i="1"/>
  <c r="R30" i="1"/>
  <c r="M23" i="1"/>
  <c r="Q23" i="1"/>
  <c r="O24" i="1"/>
  <c r="H13" i="4"/>
  <c r="K16" i="1"/>
  <c r="K18" i="1"/>
  <c r="K21" i="1"/>
  <c r="Q6" i="1"/>
  <c r="K24" i="1"/>
  <c r="R32" i="1"/>
  <c r="R28" i="1"/>
  <c r="R23" i="1"/>
  <c r="M15" i="1"/>
  <c r="Q15" i="1"/>
  <c r="R15" i="1"/>
  <c r="R20" i="1"/>
  <c r="M22" i="1"/>
  <c r="Q22" i="1" s="1"/>
  <c r="M14" i="1"/>
  <c r="Q14" i="1" s="1"/>
  <c r="P16" i="1"/>
  <c r="N16" i="1"/>
  <c r="K10" i="1"/>
  <c r="K13" i="1"/>
  <c r="N8" i="1"/>
  <c r="Q8" i="1"/>
  <c r="R16" i="1"/>
  <c r="P8" i="1"/>
  <c r="U6" i="6" s="1"/>
  <c r="R18" i="1"/>
  <c r="P24" i="1"/>
  <c r="U8" i="6" s="1"/>
  <c r="R24" i="1"/>
  <c r="N24" i="1"/>
  <c r="K26" i="1"/>
  <c r="R26" i="1"/>
  <c r="R34" i="1"/>
  <c r="K29" i="1"/>
  <c r="R37" i="1"/>
  <c r="N37" i="1"/>
  <c r="R21" i="1"/>
  <c r="M21" i="1"/>
  <c r="Q16" i="1"/>
  <c r="R29" i="1"/>
  <c r="N45" i="1"/>
  <c r="N53" i="1"/>
  <c r="N61" i="1"/>
  <c r="P32" i="6" l="1"/>
  <c r="P37" i="6"/>
  <c r="S32" i="6"/>
  <c r="I35" i="6"/>
  <c r="M35" i="6" s="1"/>
  <c r="I36" i="6"/>
  <c r="N32" i="6"/>
  <c r="M6" i="6"/>
  <c r="C33" i="6"/>
  <c r="F33" i="6" s="1"/>
  <c r="P35" i="6"/>
  <c r="L37" i="6"/>
  <c r="P38" i="6"/>
  <c r="V38" i="6" s="1"/>
  <c r="N22" i="6"/>
  <c r="O22" i="6" s="1"/>
  <c r="G37" i="6"/>
  <c r="N24" i="6"/>
  <c r="O24" i="6" s="1"/>
  <c r="T21" i="6"/>
  <c r="S22" i="6"/>
  <c r="M7" i="6"/>
  <c r="G34" i="6"/>
  <c r="L36" i="6"/>
  <c r="N38" i="6"/>
  <c r="I34" i="6"/>
  <c r="J23" i="6"/>
  <c r="S24" i="6" s="1"/>
  <c r="P36" i="6"/>
  <c r="V36" i="6" s="1"/>
  <c r="V34" i="6"/>
  <c r="F11" i="6"/>
  <c r="N13" i="6"/>
  <c r="W14" i="6" s="1"/>
  <c r="F7" i="6"/>
  <c r="L32" i="6"/>
  <c r="C38" i="6"/>
  <c r="M12" i="6"/>
  <c r="N19" i="6"/>
  <c r="O19" i="6" s="1"/>
  <c r="N33" i="6"/>
  <c r="E21" i="6"/>
  <c r="N35" i="6"/>
  <c r="N36" i="6"/>
  <c r="E24" i="6"/>
  <c r="M13" i="6"/>
  <c r="G35" i="6"/>
  <c r="K13" i="5"/>
  <c r="R14" i="5" s="1"/>
  <c r="O13" i="5"/>
  <c r="R13" i="5"/>
  <c r="N25" i="6"/>
  <c r="O25" i="6" s="1"/>
  <c r="H25" i="6"/>
  <c r="J25" i="6" s="1"/>
  <c r="T13" i="5"/>
  <c r="R10" i="5"/>
  <c r="E26" i="6"/>
  <c r="N34" i="6"/>
  <c r="E35" i="6"/>
  <c r="T8" i="5"/>
  <c r="R11" i="5"/>
  <c r="T20" i="6"/>
  <c r="T24" i="6"/>
  <c r="I32" i="6"/>
  <c r="M32" i="6" s="1"/>
  <c r="G38" i="6"/>
  <c r="C39" i="6"/>
  <c r="F39" i="6" s="1"/>
  <c r="N39" i="6"/>
  <c r="R9" i="5"/>
  <c r="N26" i="6"/>
  <c r="O26" i="6" s="1"/>
  <c r="C32" i="6"/>
  <c r="F32" i="6" s="1"/>
  <c r="S35" i="6"/>
  <c r="I37" i="6"/>
  <c r="N37" i="6"/>
  <c r="E20" i="6"/>
  <c r="J20" i="6"/>
  <c r="R20" i="6" s="1"/>
  <c r="R21" i="6"/>
  <c r="O15" i="4"/>
  <c r="G17" i="4"/>
  <c r="G18" i="4"/>
  <c r="O16" i="4"/>
  <c r="Y17" i="4" s="1"/>
  <c r="G16" i="4"/>
  <c r="G15" i="4"/>
  <c r="V33" i="6"/>
  <c r="Q17" i="4"/>
  <c r="S17" i="4" s="1"/>
  <c r="V17" i="4"/>
  <c r="O11" i="4"/>
  <c r="V35" i="6"/>
  <c r="X17" i="4"/>
  <c r="V13" i="4"/>
  <c r="O14" i="4"/>
  <c r="V14" i="4" s="1"/>
  <c r="P18" i="4"/>
  <c r="R13" i="6"/>
  <c r="S13" i="6" s="1"/>
  <c r="R23" i="6"/>
  <c r="S23" i="6"/>
  <c r="V37" i="6"/>
  <c r="R26" i="6"/>
  <c r="R24" i="6"/>
  <c r="T22" i="6"/>
  <c r="M11" i="6"/>
  <c r="V11" i="6" s="1"/>
  <c r="F13" i="6"/>
  <c r="N7" i="6"/>
  <c r="P7" i="6" s="1"/>
  <c r="R7" i="6" s="1"/>
  <c r="S7" i="6" s="1"/>
  <c r="C37" i="6"/>
  <c r="F37" i="6" s="1"/>
  <c r="F12" i="6"/>
  <c r="N12" i="6"/>
  <c r="P12" i="6" s="1"/>
  <c r="R12" i="6" s="1"/>
  <c r="S12" i="6" s="1"/>
  <c r="M9" i="6"/>
  <c r="S38" i="6"/>
  <c r="F35" i="6"/>
  <c r="F9" i="6"/>
  <c r="G36" i="6"/>
  <c r="L34" i="6"/>
  <c r="S36" i="6"/>
  <c r="S37" i="6"/>
  <c r="E38" i="6"/>
  <c r="L39" i="6"/>
  <c r="M39" i="6" s="1"/>
  <c r="AB17" i="4"/>
  <c r="Q11" i="4"/>
  <c r="Y11" i="4"/>
  <c r="V11" i="4"/>
  <c r="Y12" i="4"/>
  <c r="T13" i="6"/>
  <c r="S39" i="6" s="1"/>
  <c r="X18" i="4"/>
  <c r="Y14" i="4"/>
  <c r="O18" i="4"/>
  <c r="Y19" i="4" s="1"/>
  <c r="Y13" i="4"/>
  <c r="Q12" i="4"/>
  <c r="S12" i="4" s="1"/>
  <c r="Q14" i="4"/>
  <c r="S14" i="4" s="1"/>
  <c r="M45" i="1"/>
  <c r="N9" i="6"/>
  <c r="N10" i="6"/>
  <c r="F6" i="6"/>
  <c r="K34" i="6"/>
  <c r="M8" i="6"/>
  <c r="J37" i="6"/>
  <c r="M37" i="6" s="1"/>
  <c r="N11" i="6"/>
  <c r="W12" i="6" s="1"/>
  <c r="V16" i="4"/>
  <c r="F10" i="6"/>
  <c r="E36" i="6"/>
  <c r="F36" i="6" s="1"/>
  <c r="Q15" i="4"/>
  <c r="S15" i="4" s="1"/>
  <c r="V15" i="4"/>
  <c r="X15" i="4"/>
  <c r="X16" i="4"/>
  <c r="M61" i="1"/>
  <c r="N6" i="6"/>
  <c r="M29" i="1"/>
  <c r="Q13" i="4"/>
  <c r="S13" i="4" s="1"/>
  <c r="G11" i="4"/>
  <c r="M33" i="6"/>
  <c r="E34" i="6"/>
  <c r="F34" i="6" s="1"/>
  <c r="F8" i="6"/>
  <c r="N8" i="6"/>
  <c r="K36" i="6"/>
  <c r="M10" i="6"/>
  <c r="V10" i="6" s="1"/>
  <c r="R78" i="1"/>
  <c r="T78" i="1"/>
  <c r="O35" i="6" l="1"/>
  <c r="Q35" i="6" s="1"/>
  <c r="R35" i="6" s="1"/>
  <c r="O39" i="6"/>
  <c r="U40" i="6" s="1"/>
  <c r="T40" i="6"/>
  <c r="M36" i="6"/>
  <c r="O36" i="6" s="1"/>
  <c r="V39" i="6"/>
  <c r="O37" i="6"/>
  <c r="W33" i="6"/>
  <c r="O33" i="6"/>
  <c r="S21" i="6"/>
  <c r="F38" i="6"/>
  <c r="S20" i="6"/>
  <c r="V13" i="6"/>
  <c r="W39" i="6"/>
  <c r="T25" i="6"/>
  <c r="T26" i="6"/>
  <c r="O32" i="6"/>
  <c r="Q32" i="6" s="1"/>
  <c r="R32" i="6" s="1"/>
  <c r="W32" i="6"/>
  <c r="S25" i="6"/>
  <c r="S26" i="6"/>
  <c r="R25" i="6"/>
  <c r="M34" i="6"/>
  <c r="I38" i="6"/>
  <c r="M38" i="6" s="1"/>
  <c r="O38" i="6" s="1"/>
  <c r="Q16" i="4"/>
  <c r="Y16" i="4"/>
  <c r="Y15" i="4"/>
  <c r="AB14" i="4"/>
  <c r="AB15" i="4"/>
  <c r="W13" i="6"/>
  <c r="X13" i="6"/>
  <c r="W35" i="6"/>
  <c r="V7" i="6"/>
  <c r="V12" i="6"/>
  <c r="P8" i="6"/>
  <c r="W8" i="6"/>
  <c r="W17" i="4"/>
  <c r="Z13" i="4"/>
  <c r="W13" i="4"/>
  <c r="V8" i="6"/>
  <c r="T36" i="6"/>
  <c r="S11" i="4"/>
  <c r="AB11" i="4"/>
  <c r="T39" i="6"/>
  <c r="W15" i="4"/>
  <c r="Z15" i="4"/>
  <c r="S16" i="4"/>
  <c r="AB16" i="4"/>
  <c r="T38" i="6"/>
  <c r="W10" i="6"/>
  <c r="P10" i="6"/>
  <c r="AB13" i="4"/>
  <c r="T33" i="6"/>
  <c r="P6" i="6"/>
  <c r="W7" i="6"/>
  <c r="T37" i="6"/>
  <c r="W37" i="6"/>
  <c r="W12" i="4"/>
  <c r="Q18" i="4"/>
  <c r="Y18" i="4"/>
  <c r="V18" i="4"/>
  <c r="U13" i="6" s="1"/>
  <c r="W36" i="6"/>
  <c r="P11" i="6"/>
  <c r="W11" i="6"/>
  <c r="W9" i="6"/>
  <c r="V9" i="6"/>
  <c r="P9" i="6"/>
  <c r="W14" i="4"/>
  <c r="Z14" i="4"/>
  <c r="V6" i="6"/>
  <c r="AB12" i="4"/>
  <c r="W34" i="6" l="1"/>
  <c r="O34" i="6"/>
  <c r="W38" i="6"/>
  <c r="U34" i="6"/>
  <c r="T34" i="6"/>
  <c r="T35" i="6"/>
  <c r="U37" i="6"/>
  <c r="Q37" i="6"/>
  <c r="R37" i="6" s="1"/>
  <c r="Z16" i="4"/>
  <c r="W16" i="4"/>
  <c r="Q39" i="6"/>
  <c r="R39" i="6" s="1"/>
  <c r="U39" i="6"/>
  <c r="U36" i="6"/>
  <c r="Q36" i="6"/>
  <c r="R36" i="6" s="1"/>
  <c r="Z11" i="4"/>
  <c r="W11" i="4"/>
  <c r="Z12" i="4"/>
  <c r="Q33" i="6"/>
  <c r="R33" i="6" s="1"/>
  <c r="U33" i="6"/>
  <c r="X9" i="6"/>
  <c r="R9" i="6"/>
  <c r="S9" i="6" s="1"/>
  <c r="X11" i="6"/>
  <c r="R11" i="6"/>
  <c r="S11" i="6" s="1"/>
  <c r="X12" i="6"/>
  <c r="S18" i="4"/>
  <c r="Z19" i="4" s="1"/>
  <c r="AB18" i="4"/>
  <c r="R6" i="6"/>
  <c r="S6" i="6" s="1"/>
  <c r="X7" i="6"/>
  <c r="X10" i="6"/>
  <c r="R10" i="6"/>
  <c r="S10" i="6" s="1"/>
  <c r="U38" i="6"/>
  <c r="Q38" i="6"/>
  <c r="R38" i="6" s="1"/>
  <c r="Z17" i="4"/>
  <c r="X8" i="6"/>
  <c r="R8" i="6"/>
  <c r="S8" i="6" s="1"/>
  <c r="Q34" i="6" l="1"/>
  <c r="R34" i="6" s="1"/>
  <c r="U35" i="6"/>
  <c r="W18" i="4"/>
  <c r="Z18" i="4"/>
</calcChain>
</file>

<file path=xl/sharedStrings.xml><?xml version="1.0" encoding="utf-8"?>
<sst xmlns="http://schemas.openxmlformats.org/spreadsheetml/2006/main" count="473" uniqueCount="132">
  <si>
    <t>Year</t>
  </si>
  <si>
    <t>Energy    Centres</t>
  </si>
  <si>
    <t>Available Service Capacity</t>
  </si>
  <si>
    <t>Safe Gen. Capacity</t>
  </si>
  <si>
    <t xml:space="preserve">Peak Demand </t>
  </si>
  <si>
    <t>HFO Consumed</t>
  </si>
  <si>
    <t>Energy Produced LFO</t>
  </si>
  <si>
    <t>Energy Production HFO</t>
  </si>
  <si>
    <t xml:space="preserve">Total Energy Production </t>
  </si>
  <si>
    <t>Station Use</t>
  </si>
  <si>
    <t>Energy Sent Out</t>
  </si>
  <si>
    <t>Load Factor</t>
  </si>
  <si>
    <t>Heat Rate</t>
  </si>
  <si>
    <t>Prod. Eff</t>
  </si>
  <si>
    <t>Station Usage</t>
  </si>
  <si>
    <t>Increase in kWh output</t>
  </si>
  <si>
    <t>Incease in Peak Load</t>
  </si>
  <si>
    <t>Remarks</t>
  </si>
  <si>
    <t>kW</t>
  </si>
  <si>
    <t>l</t>
  </si>
  <si>
    <t>kWh</t>
  </si>
  <si>
    <t>%</t>
  </si>
  <si>
    <t>kJ/kWh</t>
  </si>
  <si>
    <t>New Port</t>
  </si>
  <si>
    <t>Base Year</t>
  </si>
  <si>
    <t>Roche Caiman</t>
  </si>
  <si>
    <t>Total</t>
  </si>
  <si>
    <t>Wind Farm</t>
  </si>
  <si>
    <t>Total -PUC</t>
  </si>
  <si>
    <t>PV-Third Party</t>
  </si>
  <si>
    <t>Renewable Energy</t>
  </si>
  <si>
    <t>Total Energy Production</t>
  </si>
  <si>
    <t xml:space="preserve">New Port </t>
  </si>
  <si>
    <t xml:space="preserve">Roche Caiman </t>
  </si>
  <si>
    <t>Total PUC</t>
  </si>
  <si>
    <t>Energy Centres</t>
  </si>
  <si>
    <t>Rated Installed Capacity</t>
  </si>
  <si>
    <t>Light Fuel Oil Consumed</t>
  </si>
  <si>
    <t>Energy Production</t>
  </si>
  <si>
    <t>Efficiency</t>
  </si>
  <si>
    <t>Increase/Decrease  in</t>
  </si>
  <si>
    <t>Peak Demand</t>
  </si>
  <si>
    <t>litres</t>
  </si>
  <si>
    <t>BSA</t>
  </si>
  <si>
    <t>1x1000 kW -M6 -Cummins set added</t>
  </si>
  <si>
    <t>Lemuria on Line</t>
  </si>
  <si>
    <t>Solar PV</t>
  </si>
  <si>
    <t>Renewable energy 0.19% of the total energy produced</t>
  </si>
  <si>
    <t xml:space="preserve">Set 5P of 2,500 installed </t>
  </si>
  <si>
    <t>Renewable energy 0.55% of the total energy produced</t>
  </si>
  <si>
    <t>Diesel</t>
  </si>
  <si>
    <t>Wind</t>
  </si>
  <si>
    <t>Solar</t>
  </si>
  <si>
    <t>Available Capacity</t>
  </si>
  <si>
    <t>LFO</t>
  </si>
  <si>
    <t>HFO</t>
  </si>
  <si>
    <t>KW</t>
  </si>
  <si>
    <t>Litres</t>
  </si>
  <si>
    <t>Fuel Consumption</t>
  </si>
  <si>
    <t>Energy Sent out</t>
  </si>
  <si>
    <t>Increase /Decrease</t>
  </si>
  <si>
    <t>Energy Used</t>
  </si>
  <si>
    <t>Base</t>
  </si>
  <si>
    <t>Renewable energy 0.82% of the total energy produced</t>
  </si>
  <si>
    <t>Peak Load</t>
  </si>
  <si>
    <t>Energy Sold</t>
  </si>
  <si>
    <t>Increase / Decrease</t>
  </si>
  <si>
    <t>T&amp; D+ Commercial Losses</t>
  </si>
  <si>
    <r>
      <t xml:space="preserve">Plant </t>
    </r>
    <r>
      <rPr>
        <b/>
        <sz val="7"/>
        <rFont val="Maiandra GD"/>
        <family val="2"/>
      </rPr>
      <t>efficiency</t>
    </r>
  </si>
  <si>
    <t xml:space="preserve">Station </t>
  </si>
  <si>
    <t>To T &amp; D Network</t>
  </si>
  <si>
    <t>To Customers</t>
  </si>
  <si>
    <t xml:space="preserve"> Renewable Sources</t>
  </si>
  <si>
    <t>To T&amp; D network</t>
  </si>
  <si>
    <t>By Fossil Fuel</t>
  </si>
  <si>
    <t>Renewable energy 1,17% of the total energy produced</t>
  </si>
  <si>
    <t xml:space="preserve">Energy </t>
  </si>
  <si>
    <t xml:space="preserve"> Sent Out</t>
  </si>
  <si>
    <t>Renewable energy  production 2.21 % of total production</t>
  </si>
  <si>
    <t>Renewable energy  production 2.33 % of total production</t>
  </si>
  <si>
    <t>Renewable energy  production 2.43 % of total production</t>
  </si>
  <si>
    <t>Renewable energy  production 2.42 % of total production</t>
  </si>
  <si>
    <t>Renewable energy  production 2.74 % of total production</t>
  </si>
  <si>
    <t>Renewable energy 1,20% of the total energy produced</t>
  </si>
  <si>
    <t>Renewable energy 1,15% of the total energy produced</t>
  </si>
  <si>
    <t xml:space="preserve">Total </t>
  </si>
  <si>
    <t>Renewable energy  production 2.11 % of total production</t>
  </si>
  <si>
    <t>Total Energy Produced</t>
  </si>
  <si>
    <t>Share of Renewable Energy production</t>
  </si>
  <si>
    <t>Prod.</t>
  </si>
  <si>
    <t>Renewable</t>
  </si>
  <si>
    <t>T &amp; D + Com. Losses</t>
  </si>
  <si>
    <t>Energy Prod.</t>
  </si>
  <si>
    <t>Sold</t>
  </si>
  <si>
    <t>Technical + Non-Technical Losses</t>
  </si>
  <si>
    <t>Total Production</t>
  </si>
  <si>
    <t>Total Prod.</t>
  </si>
  <si>
    <t>LFO Cons.</t>
  </si>
  <si>
    <t>Renewable energy  production 2.78 % of total production</t>
  </si>
  <si>
    <t>Energy Sales</t>
  </si>
  <si>
    <t>Energy- Mahe 2011-2020</t>
  </si>
  <si>
    <t>La Digue</t>
  </si>
  <si>
    <t>Renewable energy 1,56% of the total energy produced</t>
  </si>
  <si>
    <t>Solar PV Prod.</t>
  </si>
  <si>
    <t>Energy- Praslin 2013-2020</t>
  </si>
  <si>
    <t>Share of Renewable Energy prod.</t>
  </si>
  <si>
    <r>
      <rPr>
        <b/>
        <sz val="7"/>
        <rFont val="Maiandra GD"/>
        <family val="2"/>
      </rPr>
      <t>Plant efficien</t>
    </r>
    <r>
      <rPr>
        <b/>
        <sz val="8"/>
        <rFont val="Maiandra GD"/>
        <family val="2"/>
      </rPr>
      <t>cy</t>
    </r>
  </si>
  <si>
    <t>Overall Peak Demand</t>
  </si>
  <si>
    <t>Increase/Decrease</t>
  </si>
  <si>
    <t>Renewable Energy Share</t>
  </si>
  <si>
    <t>SolarPV  La Digue</t>
  </si>
  <si>
    <t>Solar PV Praslin</t>
  </si>
  <si>
    <t>MJ</t>
  </si>
  <si>
    <t>g/MJ</t>
  </si>
  <si>
    <t>kG</t>
  </si>
  <si>
    <t>kG/kWh</t>
  </si>
  <si>
    <t>LFO-P</t>
  </si>
  <si>
    <t>LFO-M</t>
  </si>
  <si>
    <t>Solar Farm kWp</t>
  </si>
  <si>
    <t>Energy Production- Mahe 2013-2021</t>
  </si>
  <si>
    <t>Energy Production- Praslin 2013-2021</t>
  </si>
  <si>
    <t>Solar PV-PUC</t>
  </si>
  <si>
    <t>Solar PV-Pvt.</t>
  </si>
  <si>
    <t>Solar-PUC</t>
  </si>
  <si>
    <t>Solar Third Party</t>
  </si>
  <si>
    <t>Total Solar</t>
  </si>
  <si>
    <t>Renewable energy  production 4.45 % of total production</t>
  </si>
  <si>
    <t>Thermal Plant efficiency</t>
  </si>
  <si>
    <t>ENERGY SUMMARY- PUC 2013-2021</t>
  </si>
  <si>
    <t>ENERGY- PRASLIN 2013-2021</t>
  </si>
  <si>
    <t>ENERGY- MAHE 2013-2021</t>
  </si>
  <si>
    <t>Thermal Plant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</si>
</sst>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-* #,##0_-;\-* #,##0_-;_-* &quot;-&quot;??_-;_-@_-"/>
    <numFmt numFmtId="165" formatCode="#,##0_ ;\-#,##0\ "/>
    <numFmt numFmtId="166" formatCode="_(* #,##0_);_(* \(#,##0\);_(* &quot;-&quot;??_);_(@_)"/>
    <numFmt numFmtId="167" formatCode="#,##0.0"/>
  </numFmts>
  <fonts count="23" x14ac:knownFonts="1"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b/>
      <sz val="16"/>
      <name val="Maiandra GD"/>
      <family val="2"/>
    </font>
    <font>
      <sz val="8"/>
      <name val="Maiandra GD"/>
      <family val="2"/>
    </font>
    <font>
      <b/>
      <sz val="8"/>
      <name val="Maiandra GD"/>
      <family val="2"/>
    </font>
    <font>
      <b/>
      <sz val="7"/>
      <name val="Maiandra GD"/>
      <family val="2"/>
    </font>
    <font>
      <sz val="8"/>
      <color rgb="FFFF0000"/>
      <name val="Maiandra GD"/>
      <family val="2"/>
    </font>
    <font>
      <b/>
      <sz val="14"/>
      <name val="Maiandra GD"/>
      <family val="2"/>
    </font>
    <font>
      <sz val="14"/>
      <name val="Maiandra GD"/>
      <family val="2"/>
    </font>
    <font>
      <sz val="8"/>
      <color rgb="FF002060"/>
      <name val="Maiandra GD"/>
      <family val="2"/>
    </font>
    <font>
      <sz val="8"/>
      <color theme="1"/>
      <name val="Calibri"/>
      <family val="2"/>
      <scheme val="minor"/>
    </font>
    <font>
      <sz val="7"/>
      <name val="Maiandra GD"/>
      <family val="2"/>
    </font>
    <font>
      <sz val="10"/>
      <name val="Maiandra GD"/>
      <family val="2"/>
    </font>
    <font>
      <b/>
      <sz val="8"/>
      <color rgb="FFFF0000"/>
      <name val="Maiandra GD"/>
      <family val="2"/>
    </font>
    <font>
      <b/>
      <sz val="10"/>
      <name val="Maiandra GD"/>
      <family val="2"/>
    </font>
    <font>
      <b/>
      <sz val="7.5"/>
      <name val="Maiandra GD"/>
      <family val="2"/>
    </font>
    <font>
      <sz val="18"/>
      <name val="Maiandra GD"/>
      <family val="2"/>
    </font>
    <font>
      <b/>
      <sz val="8"/>
      <color indexed="8"/>
      <name val="Maiandra GD"/>
      <family val="2"/>
    </font>
    <font>
      <sz val="8"/>
      <color theme="1"/>
      <name val="Maiandra GD"/>
      <family val="2"/>
    </font>
    <font>
      <b/>
      <sz val="9"/>
      <name val="Maiandra GD"/>
      <family val="2"/>
    </font>
    <font>
      <b/>
      <sz val="9"/>
      <color rgb="FFFF0000"/>
      <name val="Maiandra G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52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0">
    <xf numFmtId="0" fontId="0" fillId="0" borderId="0" xfId="0"/>
    <xf numFmtId="0" fontId="5" fillId="0" borderId="0" xfId="0" applyFont="1"/>
    <xf numFmtId="3" fontId="5" fillId="0" borderId="0" xfId="0" applyNumberFormat="1" applyFont="1"/>
    <xf numFmtId="2" fontId="5" fillId="0" borderId="0" xfId="0" applyNumberFormat="1" applyFont="1"/>
    <xf numFmtId="0" fontId="6" fillId="0" borderId="8" xfId="0" applyFont="1" applyBorder="1"/>
    <xf numFmtId="3" fontId="6" fillId="0" borderId="26" xfId="0" applyNumberFormat="1" applyFont="1" applyBorder="1"/>
    <xf numFmtId="0" fontId="5" fillId="0" borderId="20" xfId="0" applyFont="1" applyBorder="1"/>
    <xf numFmtId="3" fontId="6" fillId="0" borderId="11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 wrapText="1"/>
    </xf>
    <xf numFmtId="2" fontId="6" fillId="0" borderId="11" xfId="0" applyNumberFormat="1" applyFont="1" applyBorder="1" applyAlignment="1">
      <alignment horizontal="center" wrapText="1"/>
    </xf>
    <xf numFmtId="0" fontId="5" fillId="0" borderId="21" xfId="0" applyFont="1" applyBorder="1"/>
    <xf numFmtId="3" fontId="6" fillId="0" borderId="12" xfId="0" applyNumberFormat="1" applyFont="1" applyBorder="1" applyAlignment="1">
      <alignment horizontal="center"/>
    </xf>
    <xf numFmtId="2" fontId="6" fillId="0" borderId="12" xfId="0" applyNumberFormat="1" applyFont="1" applyBorder="1" applyAlignment="1">
      <alignment horizontal="center"/>
    </xf>
    <xf numFmtId="2" fontId="6" fillId="0" borderId="33" xfId="0" applyNumberFormat="1" applyFont="1" applyBorder="1" applyAlignment="1">
      <alignment horizontal="center"/>
    </xf>
    <xf numFmtId="0" fontId="5" fillId="0" borderId="19" xfId="0" applyFont="1" applyBorder="1"/>
    <xf numFmtId="3" fontId="5" fillId="0" borderId="9" xfId="0" applyNumberFormat="1" applyFont="1" applyBorder="1" applyAlignment="1">
      <alignment horizontal="right"/>
    </xf>
    <xf numFmtId="3" fontId="5" fillId="0" borderId="9" xfId="0" applyNumberFormat="1" applyFont="1" applyBorder="1" applyAlignment="1">
      <alignment horizontal="center"/>
    </xf>
    <xf numFmtId="2" fontId="5" fillId="0" borderId="9" xfId="0" applyNumberFormat="1" applyFont="1" applyBorder="1" applyAlignment="1">
      <alignment horizontal="right"/>
    </xf>
    <xf numFmtId="2" fontId="5" fillId="0" borderId="9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right"/>
    </xf>
    <xf numFmtId="3" fontId="5" fillId="0" borderId="11" xfId="0" applyNumberFormat="1" applyFont="1" applyBorder="1" applyAlignment="1">
      <alignment horizontal="center"/>
    </xf>
    <xf numFmtId="2" fontId="5" fillId="0" borderId="11" xfId="0" applyNumberFormat="1" applyFont="1" applyBorder="1" applyAlignment="1">
      <alignment horizontal="right"/>
    </xf>
    <xf numFmtId="2" fontId="5" fillId="0" borderId="11" xfId="0" applyNumberFormat="1" applyFont="1" applyBorder="1"/>
    <xf numFmtId="2" fontId="5" fillId="0" borderId="28" xfId="0" applyNumberFormat="1" applyFont="1" applyBorder="1"/>
    <xf numFmtId="3" fontId="5" fillId="0" borderId="11" xfId="0" applyNumberFormat="1" applyFont="1" applyBorder="1"/>
    <xf numFmtId="3" fontId="5" fillId="0" borderId="12" xfId="0" applyNumberFormat="1" applyFont="1" applyBorder="1"/>
    <xf numFmtId="3" fontId="5" fillId="0" borderId="12" xfId="0" applyNumberFormat="1" applyFont="1" applyBorder="1" applyAlignment="1">
      <alignment horizontal="right"/>
    </xf>
    <xf numFmtId="2" fontId="5" fillId="0" borderId="12" xfId="0" applyNumberFormat="1" applyFont="1" applyBorder="1" applyAlignment="1">
      <alignment horizontal="right"/>
    </xf>
    <xf numFmtId="2" fontId="5" fillId="0" borderId="12" xfId="0" applyNumberFormat="1" applyFont="1" applyBorder="1"/>
    <xf numFmtId="2" fontId="5" fillId="0" borderId="33" xfId="0" applyNumberFormat="1" applyFont="1" applyBorder="1"/>
    <xf numFmtId="2" fontId="5" fillId="0" borderId="0" xfId="0" applyNumberFormat="1" applyFont="1" applyBorder="1"/>
    <xf numFmtId="3" fontId="6" fillId="0" borderId="26" xfId="0" applyNumberFormat="1" applyFont="1" applyBorder="1" applyAlignment="1">
      <alignment horizontal="right" wrapText="1"/>
    </xf>
    <xf numFmtId="3" fontId="6" fillId="0" borderId="9" xfId="0" applyNumberFormat="1" applyFont="1" applyBorder="1" applyAlignment="1">
      <alignment horizontal="right" wrapText="1"/>
    </xf>
    <xf numFmtId="3" fontId="6" fillId="0" borderId="11" xfId="0" applyNumberFormat="1" applyFont="1" applyBorder="1" applyAlignment="1">
      <alignment horizontal="left" wrapText="1"/>
    </xf>
    <xf numFmtId="3" fontId="6" fillId="0" borderId="23" xfId="0" applyNumberFormat="1" applyFont="1" applyBorder="1" applyAlignment="1">
      <alignment horizontal="left" wrapText="1"/>
    </xf>
    <xf numFmtId="2" fontId="6" fillId="0" borderId="11" xfId="0" applyNumberFormat="1" applyFont="1" applyBorder="1" applyAlignment="1">
      <alignment horizontal="left"/>
    </xf>
    <xf numFmtId="0" fontId="10" fillId="0" borderId="0" xfId="0" applyFont="1" applyAlignment="1"/>
    <xf numFmtId="0" fontId="6" fillId="0" borderId="8" xfId="0" applyFont="1" applyBorder="1" applyAlignment="1">
      <alignment vertical="center"/>
    </xf>
    <xf numFmtId="3" fontId="6" fillId="0" borderId="26" xfId="0" applyNumberFormat="1" applyFont="1" applyBorder="1" applyAlignment="1">
      <alignment horizontal="center" vertical="center" wrapText="1"/>
    </xf>
    <xf numFmtId="3" fontId="6" fillId="0" borderId="9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0" xfId="0" applyFont="1" applyBorder="1" applyAlignment="1">
      <alignment vertical="center"/>
    </xf>
    <xf numFmtId="3" fontId="6" fillId="0" borderId="11" xfId="0" applyNumberFormat="1" applyFont="1" applyBorder="1" applyAlignment="1">
      <alignment horizontal="center" vertical="center"/>
    </xf>
    <xf numFmtId="3" fontId="6" fillId="0" borderId="11" xfId="0" applyNumberFormat="1" applyFont="1" applyBorder="1" applyAlignment="1">
      <alignment horizontal="center" vertical="center" wrapText="1"/>
    </xf>
    <xf numFmtId="2" fontId="6" fillId="0" borderId="11" xfId="0" applyNumberFormat="1" applyFont="1" applyBorder="1" applyAlignment="1">
      <alignment horizontal="center" vertical="center" wrapText="1"/>
    </xf>
    <xf numFmtId="2" fontId="6" fillId="0" borderId="0" xfId="0" applyNumberFormat="1" applyFont="1" applyBorder="1" applyAlignment="1">
      <alignment vertical="center"/>
    </xf>
    <xf numFmtId="2" fontId="6" fillId="0" borderId="0" xfId="0" applyNumberFormat="1" applyFont="1" applyBorder="1" applyAlignment="1">
      <alignment vertical="center" wrapText="1"/>
    </xf>
    <xf numFmtId="3" fontId="6" fillId="0" borderId="16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4" fontId="5" fillId="0" borderId="12" xfId="0" applyNumberFormat="1" applyFont="1" applyBorder="1"/>
    <xf numFmtId="0" fontId="5" fillId="0" borderId="45" xfId="0" applyFont="1" applyBorder="1"/>
    <xf numFmtId="3" fontId="5" fillId="0" borderId="13" xfId="0" applyNumberFormat="1" applyFont="1" applyBorder="1"/>
    <xf numFmtId="2" fontId="5" fillId="0" borderId="13" xfId="0" applyNumberFormat="1" applyFont="1" applyBorder="1"/>
    <xf numFmtId="2" fontId="5" fillId="0" borderId="13" xfId="0" applyNumberFormat="1" applyFont="1" applyBorder="1" applyAlignment="1">
      <alignment horizontal="right"/>
    </xf>
    <xf numFmtId="2" fontId="5" fillId="0" borderId="22" xfId="0" applyNumberFormat="1" applyFont="1" applyBorder="1"/>
    <xf numFmtId="3" fontId="5" fillId="0" borderId="13" xfId="0" applyNumberFormat="1" applyFont="1" applyBorder="1" applyAlignment="1">
      <alignment horizontal="right"/>
    </xf>
    <xf numFmtId="3" fontId="5" fillId="0" borderId="11" xfId="0" applyNumberFormat="1" applyFont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4" fontId="5" fillId="0" borderId="13" xfId="0" applyNumberFormat="1" applyFont="1" applyBorder="1"/>
    <xf numFmtId="164" fontId="3" fillId="0" borderId="11" xfId="0" applyNumberFormat="1" applyFont="1" applyBorder="1"/>
    <xf numFmtId="4" fontId="5" fillId="0" borderId="11" xfId="0" applyNumberFormat="1" applyFont="1" applyBorder="1"/>
    <xf numFmtId="3" fontId="5" fillId="0" borderId="13" xfId="0" applyNumberFormat="1" applyFont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3" fontId="6" fillId="0" borderId="35" xfId="0" applyNumberFormat="1" applyFont="1" applyBorder="1" applyAlignment="1">
      <alignment horizontal="center" vertical="center" wrapText="1"/>
    </xf>
    <xf numFmtId="3" fontId="6" fillId="0" borderId="38" xfId="0" applyNumberFormat="1" applyFont="1" applyBorder="1" applyAlignment="1">
      <alignment horizontal="center" vertical="center"/>
    </xf>
    <xf numFmtId="3" fontId="6" fillId="0" borderId="16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165" fontId="12" fillId="0" borderId="47" xfId="1" applyNumberFormat="1" applyFont="1" applyBorder="1"/>
    <xf numFmtId="165" fontId="2" fillId="0" borderId="12" xfId="1" applyNumberFormat="1" applyFont="1" applyBorder="1"/>
    <xf numFmtId="3" fontId="5" fillId="0" borderId="26" xfId="0" applyNumberFormat="1" applyFont="1" applyBorder="1" applyAlignment="1">
      <alignment horizontal="right"/>
    </xf>
    <xf numFmtId="165" fontId="12" fillId="0" borderId="13" xfId="1" applyNumberFormat="1" applyFont="1" applyBorder="1"/>
    <xf numFmtId="2" fontId="8" fillId="0" borderId="13" xfId="0" applyNumberFormat="1" applyFont="1" applyBorder="1" applyAlignment="1">
      <alignment horizontal="right"/>
    </xf>
    <xf numFmtId="2" fontId="6" fillId="0" borderId="38" xfId="0" applyNumberFormat="1" applyFont="1" applyBorder="1" applyAlignment="1">
      <alignment horizontal="right" wrapText="1"/>
    </xf>
    <xf numFmtId="2" fontId="6" fillId="0" borderId="16" xfId="0" applyNumberFormat="1" applyFont="1" applyBorder="1" applyAlignment="1">
      <alignment horizontal="center"/>
    </xf>
    <xf numFmtId="2" fontId="5" fillId="0" borderId="35" xfId="0" applyNumberFormat="1" applyFont="1" applyBorder="1" applyAlignment="1">
      <alignment horizontal="center"/>
    </xf>
    <xf numFmtId="2" fontId="5" fillId="0" borderId="38" xfId="0" applyNumberFormat="1" applyFont="1" applyBorder="1"/>
    <xf numFmtId="2" fontId="5" fillId="0" borderId="24" xfId="0" applyNumberFormat="1" applyFont="1" applyBorder="1"/>
    <xf numFmtId="0" fontId="6" fillId="0" borderId="33" xfId="0" applyFont="1" applyBorder="1" applyAlignment="1">
      <alignment horizontal="center"/>
    </xf>
    <xf numFmtId="3" fontId="5" fillId="0" borderId="35" xfId="0" applyNumberFormat="1" applyFont="1" applyBorder="1" applyAlignment="1">
      <alignment horizontal="right"/>
    </xf>
    <xf numFmtId="0" fontId="5" fillId="0" borderId="37" xfId="0" applyFont="1" applyBorder="1"/>
    <xf numFmtId="164" fontId="3" fillId="0" borderId="13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3" fontId="7" fillId="0" borderId="2" xfId="0" applyNumberFormat="1" applyFont="1" applyBorder="1" applyAlignment="1">
      <alignment vertical="center" wrapText="1"/>
    </xf>
    <xf numFmtId="3" fontId="6" fillId="0" borderId="2" xfId="0" applyNumberFormat="1" applyFont="1" applyBorder="1" applyAlignment="1">
      <alignment horizontal="left" vertical="center" wrapText="1"/>
    </xf>
    <xf numFmtId="3" fontId="6" fillId="0" borderId="2" xfId="0" applyNumberFormat="1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wrapText="1"/>
    </xf>
    <xf numFmtId="2" fontId="6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3" fontId="5" fillId="2" borderId="9" xfId="0" applyNumberFormat="1" applyFont="1" applyFill="1" applyBorder="1" applyAlignment="1">
      <alignment horizontal="center" vertical="center"/>
    </xf>
    <xf numFmtId="3" fontId="5" fillId="2" borderId="9" xfId="0" applyNumberFormat="1" applyFont="1" applyFill="1" applyBorder="1" applyAlignment="1">
      <alignment vertical="center"/>
    </xf>
    <xf numFmtId="3" fontId="5" fillId="2" borderId="9" xfId="0" applyNumberFormat="1" applyFont="1" applyFill="1" applyBorder="1" applyAlignment="1">
      <alignment horizontal="right" vertical="center"/>
    </xf>
    <xf numFmtId="2" fontId="5" fillId="2" borderId="9" xfId="0" applyNumberFormat="1" applyFont="1" applyFill="1" applyBorder="1" applyAlignment="1">
      <alignment vertical="center"/>
    </xf>
    <xf numFmtId="2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vertical="center"/>
    </xf>
    <xf numFmtId="3" fontId="5" fillId="2" borderId="11" xfId="0" applyNumberFormat="1" applyFont="1" applyFill="1" applyBorder="1" applyAlignment="1">
      <alignment horizontal="right" vertical="center"/>
    </xf>
    <xf numFmtId="2" fontId="5" fillId="2" borderId="11" xfId="0" applyNumberFormat="1" applyFont="1" applyFill="1" applyBorder="1" applyAlignment="1">
      <alignment vertical="center"/>
    </xf>
    <xf numFmtId="2" fontId="5" fillId="0" borderId="11" xfId="0" applyNumberFormat="1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3" fontId="6" fillId="2" borderId="11" xfId="0" applyNumberFormat="1" applyFont="1" applyFill="1" applyBorder="1" applyAlignment="1">
      <alignment vertical="center"/>
    </xf>
    <xf numFmtId="3" fontId="6" fillId="2" borderId="11" xfId="0" applyNumberFormat="1" applyFont="1" applyFill="1" applyBorder="1" applyAlignment="1">
      <alignment horizontal="right" vertical="center"/>
    </xf>
    <xf numFmtId="2" fontId="5" fillId="2" borderId="11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/>
    </xf>
    <xf numFmtId="3" fontId="5" fillId="0" borderId="11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3" fontId="5" fillId="2" borderId="13" xfId="0" applyNumberFormat="1" applyFont="1" applyFill="1" applyBorder="1" applyAlignment="1">
      <alignment horizontal="center" vertical="center"/>
    </xf>
    <xf numFmtId="3" fontId="5" fillId="2" borderId="13" xfId="0" applyNumberFormat="1" applyFont="1" applyFill="1" applyBorder="1" applyAlignment="1">
      <alignment vertical="center"/>
    </xf>
    <xf numFmtId="3" fontId="5" fillId="2" borderId="13" xfId="0" applyNumberFormat="1" applyFont="1" applyFill="1" applyBorder="1" applyAlignment="1">
      <alignment horizontal="right" vertical="center"/>
    </xf>
    <xf numFmtId="3" fontId="6" fillId="2" borderId="13" xfId="0" applyNumberFormat="1" applyFont="1" applyFill="1" applyBorder="1" applyAlignment="1">
      <alignment vertical="center"/>
    </xf>
    <xf numFmtId="2" fontId="5" fillId="2" borderId="13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3" fontId="5" fillId="2" borderId="12" xfId="0" applyNumberFormat="1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vertical="center"/>
    </xf>
    <xf numFmtId="3" fontId="5" fillId="2" borderId="12" xfId="0" applyNumberFormat="1" applyFont="1" applyFill="1" applyBorder="1" applyAlignment="1">
      <alignment horizontal="right" vertical="center"/>
    </xf>
    <xf numFmtId="3" fontId="6" fillId="0" borderId="12" xfId="0" applyNumberFormat="1" applyFont="1" applyBorder="1" applyAlignment="1">
      <alignment vertical="center"/>
    </xf>
    <xf numFmtId="2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3" fontId="5" fillId="0" borderId="12" xfId="0" applyNumberFormat="1" applyFont="1" applyBorder="1" applyAlignment="1">
      <alignment horizontal="center" vertical="center"/>
    </xf>
    <xf numFmtId="2" fontId="5" fillId="0" borderId="12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" fontId="5" fillId="2" borderId="6" xfId="0" applyNumberFormat="1" applyFont="1" applyFill="1" applyBorder="1" applyAlignment="1">
      <alignment vertical="center"/>
    </xf>
    <xf numFmtId="3" fontId="5" fillId="2" borderId="6" xfId="0" applyNumberFormat="1" applyFont="1" applyFill="1" applyBorder="1" applyAlignment="1">
      <alignment horizontal="right" vertical="center"/>
    </xf>
    <xf numFmtId="3" fontId="5" fillId="2" borderId="6" xfId="0" applyNumberFormat="1" applyFont="1" applyFill="1" applyBorder="1" applyAlignment="1">
      <alignment horizontal="center" vertical="center"/>
    </xf>
    <xf numFmtId="3" fontId="6" fillId="0" borderId="6" xfId="0" applyNumberFormat="1" applyFont="1" applyBorder="1" applyAlignment="1">
      <alignment vertical="center"/>
    </xf>
    <xf numFmtId="3" fontId="6" fillId="2" borderId="6" xfId="0" applyNumberFormat="1" applyFont="1" applyFill="1" applyBorder="1" applyAlignment="1">
      <alignment vertical="center"/>
    </xf>
    <xf numFmtId="2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3" fontId="5" fillId="0" borderId="6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14" fillId="0" borderId="3" xfId="0" applyNumberFormat="1" applyFont="1" applyBorder="1" applyAlignment="1">
      <alignment horizontal="center"/>
    </xf>
    <xf numFmtId="2" fontId="5" fillId="2" borderId="9" xfId="0" applyNumberFormat="1" applyFont="1" applyFill="1" applyBorder="1" applyAlignment="1">
      <alignment horizontal="center" vertical="center"/>
    </xf>
    <xf numFmtId="2" fontId="8" fillId="0" borderId="9" xfId="0" applyNumberFormat="1" applyFont="1" applyBorder="1" applyAlignment="1">
      <alignment horizontal="center" vertical="center"/>
    </xf>
    <xf numFmtId="3" fontId="5" fillId="0" borderId="11" xfId="0" applyNumberFormat="1" applyFont="1" applyBorder="1" applyAlignment="1">
      <alignment horizontal="left" vertical="center"/>
    </xf>
    <xf numFmtId="2" fontId="5" fillId="0" borderId="11" xfId="0" applyNumberFormat="1" applyFont="1" applyBorder="1" applyAlignment="1">
      <alignment vertical="center"/>
    </xf>
    <xf numFmtId="3" fontId="5" fillId="0" borderId="11" xfId="0" applyNumberFormat="1" applyFont="1" applyBorder="1" applyAlignment="1">
      <alignment vertical="center"/>
    </xf>
    <xf numFmtId="3" fontId="6" fillId="0" borderId="11" xfId="0" applyNumberFormat="1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13" fillId="0" borderId="13" xfId="0" applyFont="1" applyBorder="1" applyAlignment="1">
      <alignment horizontal="left" vertical="center"/>
    </xf>
    <xf numFmtId="3" fontId="5" fillId="0" borderId="13" xfId="0" applyNumberFormat="1" applyFont="1" applyBorder="1" applyAlignment="1">
      <alignment vertical="center"/>
    </xf>
    <xf numFmtId="3" fontId="6" fillId="0" borderId="13" xfId="0" applyNumberFormat="1" applyFont="1" applyBorder="1" applyAlignment="1">
      <alignment vertical="center"/>
    </xf>
    <xf numFmtId="2" fontId="5" fillId="0" borderId="13" xfId="0" applyNumberFormat="1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3" fontId="5" fillId="0" borderId="2" xfId="0" applyNumberFormat="1" applyFont="1" applyBorder="1" applyAlignment="1">
      <alignment vertical="center"/>
    </xf>
    <xf numFmtId="3" fontId="5" fillId="0" borderId="2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vertical="center"/>
    </xf>
    <xf numFmtId="2" fontId="5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2" fontId="5" fillId="0" borderId="2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left" vertical="center"/>
    </xf>
    <xf numFmtId="3" fontId="5" fillId="2" borderId="23" xfId="0" applyNumberFormat="1" applyFont="1" applyFill="1" applyBorder="1" applyAlignment="1">
      <alignment horizontal="center" vertical="center"/>
    </xf>
    <xf numFmtId="3" fontId="5" fillId="2" borderId="23" xfId="0" applyNumberFormat="1" applyFont="1" applyFill="1" applyBorder="1" applyAlignment="1">
      <alignment vertical="center"/>
    </xf>
    <xf numFmtId="3" fontId="5" fillId="2" borderId="23" xfId="0" applyNumberFormat="1" applyFont="1" applyFill="1" applyBorder="1" applyAlignment="1">
      <alignment horizontal="right" vertical="center"/>
    </xf>
    <xf numFmtId="2" fontId="5" fillId="2" borderId="23" xfId="0" applyNumberFormat="1" applyFont="1" applyFill="1" applyBorder="1" applyAlignment="1">
      <alignment vertical="center"/>
    </xf>
    <xf numFmtId="2" fontId="5" fillId="0" borderId="23" xfId="0" applyNumberFormat="1" applyFont="1" applyBorder="1" applyAlignment="1">
      <alignment horizontal="center" vertical="center"/>
    </xf>
    <xf numFmtId="2" fontId="8" fillId="0" borderId="23" xfId="0" applyNumberFormat="1" applyFont="1" applyBorder="1" applyAlignment="1">
      <alignment horizontal="center" vertical="center"/>
    </xf>
    <xf numFmtId="2" fontId="5" fillId="0" borderId="23" xfId="0" applyNumberFormat="1" applyFont="1" applyBorder="1" applyAlignment="1">
      <alignment vertical="center"/>
    </xf>
    <xf numFmtId="2" fontId="6" fillId="0" borderId="11" xfId="0" applyNumberFormat="1" applyFont="1" applyBorder="1" applyAlignment="1">
      <alignment vertical="center"/>
    </xf>
    <xf numFmtId="2" fontId="8" fillId="0" borderId="11" xfId="0" applyNumberFormat="1" applyFont="1" applyBorder="1" applyAlignment="1">
      <alignment horizontal="center" vertical="center"/>
    </xf>
    <xf numFmtId="3" fontId="5" fillId="0" borderId="24" xfId="0" applyNumberFormat="1" applyFont="1" applyBorder="1" applyAlignment="1">
      <alignment vertical="center"/>
    </xf>
    <xf numFmtId="3" fontId="5" fillId="0" borderId="25" xfId="0" applyNumberFormat="1" applyFont="1" applyBorder="1" applyAlignment="1">
      <alignment vertical="center"/>
    </xf>
    <xf numFmtId="3" fontId="5" fillId="0" borderId="25" xfId="0" applyNumberFormat="1" applyFont="1" applyBorder="1" applyAlignment="1">
      <alignment horizontal="center" vertical="center"/>
    </xf>
    <xf numFmtId="0" fontId="14" fillId="0" borderId="1" xfId="0" applyFont="1" applyBorder="1"/>
    <xf numFmtId="3" fontId="14" fillId="0" borderId="2" xfId="0" applyNumberFormat="1" applyFont="1" applyBorder="1"/>
    <xf numFmtId="0" fontId="14" fillId="0" borderId="2" xfId="0" applyFont="1" applyBorder="1"/>
    <xf numFmtId="3" fontId="6" fillId="0" borderId="2" xfId="0" applyNumberFormat="1" applyFont="1" applyBorder="1"/>
    <xf numFmtId="2" fontId="14" fillId="0" borderId="2" xfId="0" applyNumberFormat="1" applyFont="1" applyBorder="1"/>
    <xf numFmtId="0" fontId="14" fillId="0" borderId="2" xfId="0" applyFont="1" applyBorder="1" applyAlignment="1">
      <alignment horizontal="center"/>
    </xf>
    <xf numFmtId="2" fontId="5" fillId="0" borderId="26" xfId="0" applyNumberFormat="1" applyFont="1" applyBorder="1" applyAlignment="1">
      <alignment horizontal="center" vertical="center"/>
    </xf>
    <xf numFmtId="2" fontId="6" fillId="0" borderId="23" xfId="0" applyNumberFormat="1" applyFont="1" applyBorder="1" applyAlignment="1">
      <alignment horizontal="center" vertical="center"/>
    </xf>
    <xf numFmtId="2" fontId="15" fillId="0" borderId="11" xfId="0" applyNumberFormat="1" applyFont="1" applyBorder="1" applyAlignment="1">
      <alignment horizontal="center" vertical="center"/>
    </xf>
    <xf numFmtId="2" fontId="15" fillId="0" borderId="23" xfId="0" applyNumberFormat="1" applyFont="1" applyBorder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2" fontId="16" fillId="0" borderId="3" xfId="0" applyNumberFormat="1" applyFont="1" applyBorder="1" applyAlignment="1">
      <alignment horizontal="center"/>
    </xf>
    <xf numFmtId="3" fontId="6" fillId="2" borderId="23" xfId="0" applyNumberFormat="1" applyFont="1" applyFill="1" applyBorder="1" applyAlignment="1">
      <alignment vertical="center"/>
    </xf>
    <xf numFmtId="2" fontId="15" fillId="0" borderId="13" xfId="0" applyNumberFormat="1" applyFont="1" applyBorder="1" applyAlignment="1">
      <alignment horizontal="center" vertical="center"/>
    </xf>
    <xf numFmtId="2" fontId="5" fillId="0" borderId="2" xfId="0" applyNumberFormat="1" applyFont="1" applyBorder="1"/>
    <xf numFmtId="166" fontId="5" fillId="2" borderId="6" xfId="1" applyNumberFormat="1" applyFont="1" applyFill="1" applyBorder="1" applyAlignment="1">
      <alignment vertical="center"/>
    </xf>
    <xf numFmtId="3" fontId="17" fillId="2" borderId="11" xfId="0" applyNumberFormat="1" applyFont="1" applyFill="1" applyBorder="1" applyAlignment="1">
      <alignment vertical="center"/>
    </xf>
    <xf numFmtId="2" fontId="7" fillId="0" borderId="2" xfId="0" applyNumberFormat="1" applyFont="1" applyBorder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3" fontId="14" fillId="0" borderId="0" xfId="0" applyNumberFormat="1" applyFont="1"/>
    <xf numFmtId="2" fontId="14" fillId="0" borderId="0" xfId="0" applyNumberFormat="1" applyFont="1"/>
    <xf numFmtId="0" fontId="14" fillId="0" borderId="0" xfId="0" applyFont="1" applyAlignment="1">
      <alignment horizontal="center"/>
    </xf>
    <xf numFmtId="2" fontId="6" fillId="0" borderId="48" xfId="0" applyNumberFormat="1" applyFont="1" applyBorder="1" applyAlignment="1">
      <alignment horizontal="right" wrapText="1"/>
    </xf>
    <xf numFmtId="2" fontId="5" fillId="0" borderId="48" xfId="0" applyNumberFormat="1" applyFont="1" applyBorder="1" applyAlignment="1">
      <alignment horizontal="center"/>
    </xf>
    <xf numFmtId="165" fontId="2" fillId="0" borderId="13" xfId="1" applyNumberFormat="1" applyFont="1" applyBorder="1"/>
    <xf numFmtId="0" fontId="14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3" fontId="14" fillId="0" borderId="0" xfId="0" applyNumberFormat="1" applyFont="1" applyAlignment="1">
      <alignment vertical="center"/>
    </xf>
    <xf numFmtId="3" fontId="14" fillId="0" borderId="0" xfId="0" applyNumberFormat="1" applyFont="1" applyAlignment="1">
      <alignment horizontal="center" vertical="center"/>
    </xf>
    <xf numFmtId="4" fontId="14" fillId="0" borderId="0" xfId="0" applyNumberFormat="1" applyFont="1" applyAlignment="1">
      <alignment vertical="center"/>
    </xf>
    <xf numFmtId="2" fontId="14" fillId="0" borderId="0" xfId="0" applyNumberFormat="1" applyFont="1" applyAlignment="1">
      <alignment horizontal="center" vertical="center"/>
    </xf>
    <xf numFmtId="2" fontId="14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8" fillId="0" borderId="0" xfId="0" applyFont="1" applyAlignment="1"/>
    <xf numFmtId="0" fontId="16" fillId="0" borderId="0" xfId="0" applyFont="1" applyAlignment="1">
      <alignment vertical="center"/>
    </xf>
    <xf numFmtId="3" fontId="16" fillId="0" borderId="0" xfId="0" applyNumberFormat="1" applyFont="1" applyAlignment="1">
      <alignment horizontal="right" vertical="center"/>
    </xf>
    <xf numFmtId="0" fontId="16" fillId="0" borderId="0" xfId="0" applyFont="1" applyAlignment="1">
      <alignment horizontal="center" vertical="center"/>
    </xf>
    <xf numFmtId="4" fontId="16" fillId="0" borderId="0" xfId="0" applyNumberFormat="1" applyFont="1" applyAlignment="1">
      <alignment vertical="center"/>
    </xf>
    <xf numFmtId="2" fontId="6" fillId="0" borderId="25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4" fontId="5" fillId="0" borderId="11" xfId="0" applyNumberFormat="1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3" fontId="5" fillId="0" borderId="30" xfId="0" applyNumberFormat="1" applyFont="1" applyBorder="1" applyAlignment="1">
      <alignment horizontal="right" vertical="center"/>
    </xf>
    <xf numFmtId="3" fontId="5" fillId="2" borderId="30" xfId="0" applyNumberFormat="1" applyFont="1" applyFill="1" applyBorder="1" applyAlignment="1">
      <alignment horizontal="right" vertical="center"/>
    </xf>
    <xf numFmtId="3" fontId="5" fillId="2" borderId="30" xfId="0" applyNumberFormat="1" applyFont="1" applyFill="1" applyBorder="1" applyAlignment="1">
      <alignment vertical="center"/>
    </xf>
    <xf numFmtId="3" fontId="5" fillId="0" borderId="30" xfId="0" applyNumberFormat="1" applyFont="1" applyBorder="1" applyAlignment="1">
      <alignment horizontal="center" vertical="center"/>
    </xf>
    <xf numFmtId="4" fontId="5" fillId="0" borderId="30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vertical="center"/>
    </xf>
    <xf numFmtId="0" fontId="5" fillId="0" borderId="33" xfId="0" applyFont="1" applyBorder="1" applyAlignment="1">
      <alignment vertical="center" wrapText="1"/>
    </xf>
    <xf numFmtId="0" fontId="5" fillId="0" borderId="23" xfId="0" applyFont="1" applyBorder="1" applyAlignment="1">
      <alignment horizontal="center" vertical="center"/>
    </xf>
    <xf numFmtId="3" fontId="5" fillId="0" borderId="23" xfId="0" applyNumberFormat="1" applyFont="1" applyBorder="1" applyAlignment="1">
      <alignment horizontal="right" vertical="center"/>
    </xf>
    <xf numFmtId="3" fontId="5" fillId="0" borderId="23" xfId="0" applyNumberFormat="1" applyFont="1" applyBorder="1" applyAlignment="1">
      <alignment vertical="center"/>
    </xf>
    <xf numFmtId="3" fontId="5" fillId="0" borderId="23" xfId="0" applyNumberFormat="1" applyFont="1" applyBorder="1" applyAlignment="1">
      <alignment horizontal="center" vertical="center"/>
    </xf>
    <xf numFmtId="4" fontId="5" fillId="0" borderId="23" xfId="0" applyNumberFormat="1" applyFont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3" fontId="5" fillId="0" borderId="11" xfId="0" applyNumberFormat="1" applyFont="1" applyBorder="1" applyAlignment="1">
      <alignment horizontal="right" vertical="center"/>
    </xf>
    <xf numFmtId="0" fontId="5" fillId="0" borderId="12" xfId="0" applyFont="1" applyBorder="1" applyAlignment="1">
      <alignment horizontal="center" vertical="center"/>
    </xf>
    <xf numFmtId="3" fontId="5" fillId="0" borderId="12" xfId="0" applyNumberFormat="1" applyFont="1" applyBorder="1" applyAlignment="1">
      <alignment horizontal="right" vertical="center"/>
    </xf>
    <xf numFmtId="3" fontId="5" fillId="0" borderId="12" xfId="0" applyNumberFormat="1" applyFont="1" applyBorder="1" applyAlignment="1">
      <alignment vertical="center"/>
    </xf>
    <xf numFmtId="4" fontId="5" fillId="0" borderId="12" xfId="0" applyNumberFormat="1" applyFont="1" applyBorder="1" applyAlignment="1">
      <alignment horizontal="center" vertical="center"/>
    </xf>
    <xf numFmtId="2" fontId="5" fillId="0" borderId="12" xfId="0" applyNumberFormat="1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3" fontId="5" fillId="0" borderId="9" xfId="0" applyNumberFormat="1" applyFont="1" applyBorder="1" applyAlignment="1">
      <alignment horizontal="right" vertical="center"/>
    </xf>
    <xf numFmtId="3" fontId="5" fillId="0" borderId="9" xfId="0" applyNumberFormat="1" applyFont="1" applyBorder="1" applyAlignment="1">
      <alignment vertical="center"/>
    </xf>
    <xf numFmtId="3" fontId="5" fillId="0" borderId="9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vertical="center"/>
    </xf>
    <xf numFmtId="2" fontId="5" fillId="0" borderId="9" xfId="0" applyNumberFormat="1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4" fontId="5" fillId="0" borderId="11" xfId="0" applyNumberFormat="1" applyFont="1" applyBorder="1" applyAlignment="1">
      <alignment vertical="center"/>
    </xf>
    <xf numFmtId="4" fontId="5" fillId="0" borderId="12" xfId="0" applyNumberFormat="1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3" xfId="0" applyNumberFormat="1" applyFont="1" applyBorder="1" applyAlignment="1">
      <alignment vertical="center"/>
    </xf>
    <xf numFmtId="2" fontId="15" fillId="0" borderId="9" xfId="0" applyNumberFormat="1" applyFont="1" applyBorder="1" applyAlignment="1">
      <alignment horizontal="center" vertical="center"/>
    </xf>
    <xf numFmtId="2" fontId="15" fillId="0" borderId="12" xfId="0" applyNumberFormat="1" applyFont="1" applyBorder="1" applyAlignment="1">
      <alignment horizontal="center" vertical="center"/>
    </xf>
    <xf numFmtId="3" fontId="5" fillId="0" borderId="6" xfId="0" applyNumberFormat="1" applyFont="1" applyBorder="1" applyAlignment="1">
      <alignment vertical="center"/>
    </xf>
    <xf numFmtId="4" fontId="5" fillId="0" borderId="6" xfId="0" applyNumberFormat="1" applyFont="1" applyBorder="1" applyAlignment="1">
      <alignment vertical="center"/>
    </xf>
    <xf numFmtId="2" fontId="5" fillId="0" borderId="6" xfId="0" applyNumberFormat="1" applyFont="1" applyBorder="1" applyAlignment="1">
      <alignment vertical="center"/>
    </xf>
    <xf numFmtId="4" fontId="11" fillId="0" borderId="13" xfId="0" applyNumberFormat="1" applyFont="1" applyBorder="1"/>
    <xf numFmtId="2" fontId="11" fillId="0" borderId="13" xfId="0" applyNumberFormat="1" applyFont="1" applyBorder="1"/>
    <xf numFmtId="3" fontId="5" fillId="0" borderId="50" xfId="0" applyNumberFormat="1" applyFont="1" applyBorder="1" applyAlignment="1">
      <alignment horizontal="right"/>
    </xf>
    <xf numFmtId="0" fontId="5" fillId="0" borderId="6" xfId="0" applyFont="1" applyBorder="1" applyAlignment="1">
      <alignment horizontal="center" vertical="center"/>
    </xf>
    <xf numFmtId="3" fontId="5" fillId="0" borderId="6" xfId="0" applyNumberFormat="1" applyFont="1" applyBorder="1" applyAlignment="1">
      <alignment horizontal="right" vertical="center"/>
    </xf>
    <xf numFmtId="4" fontId="15" fillId="0" borderId="23" xfId="0" applyNumberFormat="1" applyFont="1" applyBorder="1" applyAlignment="1">
      <alignment horizontal="center" vertical="center"/>
    </xf>
    <xf numFmtId="2" fontId="15" fillId="0" borderId="12" xfId="0" applyNumberFormat="1" applyFont="1" applyBorder="1" applyAlignment="1">
      <alignment horizontal="right"/>
    </xf>
    <xf numFmtId="4" fontId="15" fillId="0" borderId="12" xfId="0" applyNumberFormat="1" applyFont="1" applyBorder="1"/>
    <xf numFmtId="2" fontId="15" fillId="0" borderId="12" xfId="0" applyNumberFormat="1" applyFont="1" applyBorder="1"/>
    <xf numFmtId="4" fontId="15" fillId="0" borderId="13" xfId="0" applyNumberFormat="1" applyFont="1" applyBorder="1"/>
    <xf numFmtId="2" fontId="15" fillId="0" borderId="0" xfId="0" applyNumberFormat="1" applyFont="1" applyBorder="1"/>
    <xf numFmtId="2" fontId="15" fillId="0" borderId="11" xfId="0" applyNumberFormat="1" applyFont="1" applyBorder="1" applyAlignment="1">
      <alignment horizontal="right"/>
    </xf>
    <xf numFmtId="2" fontId="15" fillId="0" borderId="38" xfId="0" applyNumberFormat="1" applyFont="1" applyBorder="1"/>
    <xf numFmtId="2" fontId="7" fillId="0" borderId="11" xfId="0" applyNumberFormat="1" applyFont="1" applyBorder="1" applyAlignment="1">
      <alignment horizontal="right" wrapText="1"/>
    </xf>
    <xf numFmtId="2" fontId="7" fillId="0" borderId="28" xfId="0" applyNumberFormat="1" applyFont="1" applyBorder="1" applyAlignment="1">
      <alignment horizontal="left" wrapText="1"/>
    </xf>
    <xf numFmtId="0" fontId="5" fillId="0" borderId="1" xfId="0" applyFont="1" applyBorder="1"/>
    <xf numFmtId="3" fontId="5" fillId="0" borderId="2" xfId="0" applyNumberFormat="1" applyFont="1" applyBorder="1" applyAlignment="1">
      <alignment horizontal="right"/>
    </xf>
    <xf numFmtId="4" fontId="5" fillId="0" borderId="2" xfId="0" applyNumberFormat="1" applyFont="1" applyBorder="1" applyAlignment="1">
      <alignment horizontal="right"/>
    </xf>
    <xf numFmtId="2" fontId="5" fillId="0" borderId="2" xfId="0" applyNumberFormat="1" applyFont="1" applyBorder="1" applyAlignment="1">
      <alignment horizontal="right"/>
    </xf>
    <xf numFmtId="2" fontId="5" fillId="0" borderId="3" xfId="0" applyNumberFormat="1" applyFont="1" applyBorder="1" applyAlignment="1">
      <alignment horizontal="right"/>
    </xf>
    <xf numFmtId="3" fontId="5" fillId="0" borderId="2" xfId="0" applyNumberFormat="1" applyFont="1" applyBorder="1"/>
    <xf numFmtId="2" fontId="5" fillId="0" borderId="3" xfId="0" applyNumberFormat="1" applyFont="1" applyBorder="1"/>
    <xf numFmtId="0" fontId="5" fillId="0" borderId="8" xfId="0" applyFont="1" applyBorder="1"/>
    <xf numFmtId="3" fontId="5" fillId="0" borderId="26" xfId="0" applyNumberFormat="1" applyFont="1" applyBorder="1"/>
    <xf numFmtId="4" fontId="5" fillId="0" borderId="26" xfId="0" applyNumberFormat="1" applyFont="1" applyBorder="1" applyAlignment="1">
      <alignment horizontal="right"/>
    </xf>
    <xf numFmtId="2" fontId="5" fillId="0" borderId="26" xfId="0" applyNumberFormat="1" applyFont="1" applyBorder="1"/>
    <xf numFmtId="2" fontId="5" fillId="0" borderId="26" xfId="0" applyNumberFormat="1" applyFont="1" applyBorder="1" applyAlignment="1">
      <alignment horizontal="right"/>
    </xf>
    <xf numFmtId="2" fontId="5" fillId="0" borderId="10" xfId="0" applyNumberFormat="1" applyFont="1" applyBorder="1"/>
    <xf numFmtId="4" fontId="5" fillId="0" borderId="12" xfId="0" applyNumberFormat="1" applyFont="1" applyBorder="1" applyAlignment="1">
      <alignment horizontal="right"/>
    </xf>
    <xf numFmtId="0" fontId="6" fillId="0" borderId="37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2" fontId="6" fillId="0" borderId="38" xfId="0" applyNumberFormat="1" applyFont="1" applyBorder="1" applyAlignment="1">
      <alignment horizontal="center" wrapText="1"/>
    </xf>
    <xf numFmtId="2" fontId="6" fillId="0" borderId="37" xfId="0" applyNumberFormat="1" applyFont="1" applyBorder="1" applyAlignment="1">
      <alignment wrapText="1"/>
    </xf>
    <xf numFmtId="2" fontId="6" fillId="0" borderId="0" xfId="0" applyNumberFormat="1" applyFont="1" applyBorder="1" applyAlignment="1">
      <alignment wrapText="1"/>
    </xf>
    <xf numFmtId="2" fontId="6" fillId="0" borderId="0" xfId="0" applyNumberFormat="1" applyFont="1" applyBorder="1"/>
    <xf numFmtId="2" fontId="6" fillId="0" borderId="37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26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right"/>
    </xf>
    <xf numFmtId="1" fontId="5" fillId="0" borderId="26" xfId="0" applyNumberFormat="1" applyFont="1" applyBorder="1" applyAlignment="1">
      <alignment horizontal="right"/>
    </xf>
    <xf numFmtId="2" fontId="5" fillId="0" borderId="42" xfId="0" applyNumberFormat="1" applyFont="1" applyBorder="1" applyAlignment="1">
      <alignment horizontal="right"/>
    </xf>
    <xf numFmtId="3" fontId="5" fillId="0" borderId="10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center"/>
    </xf>
    <xf numFmtId="1" fontId="5" fillId="0" borderId="2" xfId="0" applyNumberFormat="1" applyFont="1" applyBorder="1"/>
    <xf numFmtId="4" fontId="5" fillId="0" borderId="2" xfId="0" applyNumberFormat="1" applyFont="1" applyBorder="1"/>
    <xf numFmtId="2" fontId="5" fillId="0" borderId="39" xfId="0" applyNumberFormat="1" applyFont="1" applyBorder="1"/>
    <xf numFmtId="2" fontId="5" fillId="0" borderId="37" xfId="0" applyNumberFormat="1" applyFont="1" applyBorder="1"/>
    <xf numFmtId="0" fontId="5" fillId="0" borderId="14" xfId="0" applyFont="1" applyBorder="1"/>
    <xf numFmtId="3" fontId="5" fillId="0" borderId="30" xfId="0" applyNumberFormat="1" applyFont="1" applyBorder="1"/>
    <xf numFmtId="3" fontId="5" fillId="0" borderId="30" xfId="0" applyNumberFormat="1" applyFont="1" applyBorder="1" applyAlignment="1">
      <alignment horizontal="center"/>
    </xf>
    <xf numFmtId="1" fontId="5" fillId="0" borderId="30" xfId="0" applyNumberFormat="1" applyFont="1" applyBorder="1"/>
    <xf numFmtId="4" fontId="5" fillId="0" borderId="30" xfId="0" applyNumberFormat="1" applyFont="1" applyBorder="1"/>
    <xf numFmtId="2" fontId="5" fillId="0" borderId="15" xfId="0" applyNumberFormat="1" applyFont="1" applyBorder="1"/>
    <xf numFmtId="1" fontId="20" fillId="0" borderId="2" xfId="0" applyNumberFormat="1" applyFont="1" applyBorder="1"/>
    <xf numFmtId="1" fontId="5" fillId="0" borderId="26" xfId="0" applyNumberFormat="1" applyFont="1" applyBorder="1"/>
    <xf numFmtId="4" fontId="5" fillId="0" borderId="26" xfId="0" applyNumberFormat="1" applyFont="1" applyBorder="1"/>
    <xf numFmtId="2" fontId="5" fillId="0" borderId="42" xfId="0" applyNumberFormat="1" applyFont="1" applyBorder="1"/>
    <xf numFmtId="3" fontId="5" fillId="0" borderId="26" xfId="0" quotePrefix="1" applyNumberFormat="1" applyFont="1" applyBorder="1" applyAlignment="1">
      <alignment horizontal="right"/>
    </xf>
    <xf numFmtId="2" fontId="5" fillId="0" borderId="37" xfId="0" applyNumberFormat="1" applyFont="1" applyBorder="1" applyAlignment="1">
      <alignment horizontal="right"/>
    </xf>
    <xf numFmtId="3" fontId="5" fillId="0" borderId="30" xfId="0" applyNumberFormat="1" applyFont="1" applyBorder="1" applyAlignment="1">
      <alignment horizontal="right"/>
    </xf>
    <xf numFmtId="3" fontId="5" fillId="0" borderId="6" xfId="0" applyNumberFormat="1" applyFont="1" applyBorder="1"/>
    <xf numFmtId="0" fontId="5" fillId="0" borderId="0" xfId="0" applyFont="1" applyBorder="1"/>
    <xf numFmtId="3" fontId="5" fillId="0" borderId="13" xfId="0" applyNumberFormat="1" applyFont="1" applyBorder="1" applyAlignment="1">
      <alignment horizontal="right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67" fontId="14" fillId="0" borderId="0" xfId="0" applyNumberFormat="1" applyFont="1"/>
    <xf numFmtId="2" fontId="5" fillId="0" borderId="11" xfId="0" applyNumberFormat="1" applyFont="1" applyBorder="1" applyAlignment="1">
      <alignment horizontal="center" vertical="center"/>
    </xf>
    <xf numFmtId="3" fontId="5" fillId="0" borderId="12" xfId="0" applyNumberFormat="1" applyFont="1" applyBorder="1" applyAlignment="1">
      <alignment horizontal="center"/>
    </xf>
    <xf numFmtId="0" fontId="6" fillId="0" borderId="20" xfId="0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3" fontId="6" fillId="0" borderId="11" xfId="0" applyNumberFormat="1" applyFont="1" applyBorder="1" applyAlignment="1">
      <alignment horizontal="right" vertical="center" wrapText="1"/>
    </xf>
    <xf numFmtId="4" fontId="6" fillId="0" borderId="11" xfId="0" applyNumberFormat="1" applyFont="1" applyBorder="1" applyAlignment="1">
      <alignment horizontal="center" vertical="center"/>
    </xf>
    <xf numFmtId="0" fontId="6" fillId="0" borderId="28" xfId="0" applyFont="1" applyBorder="1" applyAlignment="1">
      <alignment vertical="center"/>
    </xf>
    <xf numFmtId="2" fontId="6" fillId="0" borderId="9" xfId="0" applyNumberFormat="1" applyFont="1" applyBorder="1" applyAlignment="1">
      <alignment horizontal="center" vertical="center"/>
    </xf>
    <xf numFmtId="2" fontId="6" fillId="0" borderId="12" xfId="0" applyNumberFormat="1" applyFont="1" applyBorder="1" applyAlignment="1">
      <alignment horizontal="center" vertical="center"/>
    </xf>
    <xf numFmtId="4" fontId="6" fillId="0" borderId="9" xfId="0" applyNumberFormat="1" applyFont="1" applyBorder="1" applyAlignment="1">
      <alignment horizontal="center" vertical="center"/>
    </xf>
    <xf numFmtId="2" fontId="8" fillId="0" borderId="12" xfId="0" applyNumberFormat="1" applyFont="1" applyBorder="1" applyAlignment="1">
      <alignment horizontal="right"/>
    </xf>
    <xf numFmtId="2" fontId="8" fillId="0" borderId="12" xfId="0" applyNumberFormat="1" applyFont="1" applyBorder="1"/>
    <xf numFmtId="3" fontId="5" fillId="0" borderId="12" xfId="0" applyNumberFormat="1" applyFont="1" applyBorder="1" applyAlignment="1">
      <alignment horizontal="center"/>
    </xf>
    <xf numFmtId="0" fontId="14" fillId="0" borderId="41" xfId="0" applyFont="1" applyBorder="1" applyAlignment="1">
      <alignment horizontal="center"/>
    </xf>
    <xf numFmtId="2" fontId="6" fillId="2" borderId="2" xfId="0" applyNumberFormat="1" applyFont="1" applyFill="1" applyBorder="1" applyAlignment="1">
      <alignment horizontal="center" vertical="center"/>
    </xf>
    <xf numFmtId="3" fontId="6" fillId="2" borderId="2" xfId="0" applyNumberFormat="1" applyFont="1" applyFill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6" fillId="0" borderId="26" xfId="0" applyNumberFormat="1" applyFont="1" applyBorder="1" applyAlignment="1">
      <alignment horizontal="center"/>
    </xf>
    <xf numFmtId="2" fontId="7" fillId="0" borderId="26" xfId="0" applyNumberFormat="1" applyFont="1" applyBorder="1" applyAlignment="1">
      <alignment horizontal="center" wrapText="1"/>
    </xf>
    <xf numFmtId="2" fontId="7" fillId="0" borderId="23" xfId="0" applyNumberFormat="1" applyFont="1" applyBorder="1" applyAlignment="1">
      <alignment horizontal="center" wrapText="1"/>
    </xf>
    <xf numFmtId="3" fontId="5" fillId="0" borderId="31" xfId="0" applyNumberFormat="1" applyFont="1" applyBorder="1" applyAlignment="1">
      <alignment horizontal="center"/>
    </xf>
    <xf numFmtId="3" fontId="5" fillId="0" borderId="29" xfId="0" applyNumberFormat="1" applyFont="1" applyBorder="1" applyAlignment="1">
      <alignment horizontal="center"/>
    </xf>
    <xf numFmtId="3" fontId="6" fillId="0" borderId="35" xfId="0" applyNumberFormat="1" applyFont="1" applyBorder="1" applyAlignment="1">
      <alignment horizontal="center"/>
    </xf>
    <xf numFmtId="3" fontId="6" fillId="0" borderId="36" xfId="0" applyNumberFormat="1" applyFont="1" applyBorder="1" applyAlignment="1">
      <alignment horizontal="center"/>
    </xf>
    <xf numFmtId="3" fontId="6" fillId="0" borderId="27" xfId="0" applyNumberFormat="1" applyFont="1" applyBorder="1" applyAlignment="1">
      <alignment horizontal="center"/>
    </xf>
    <xf numFmtId="2" fontId="6" fillId="0" borderId="26" xfId="0" applyNumberFormat="1" applyFont="1" applyBorder="1" applyAlignment="1">
      <alignment horizontal="center" wrapText="1"/>
    </xf>
    <xf numFmtId="2" fontId="6" fillId="0" borderId="23" xfId="0" applyNumberFormat="1" applyFont="1" applyBorder="1" applyAlignment="1">
      <alignment horizontal="center" wrapText="1"/>
    </xf>
    <xf numFmtId="3" fontId="5" fillId="0" borderId="42" xfId="0" applyNumberFormat="1" applyFont="1" applyBorder="1" applyAlignment="1">
      <alignment horizontal="center"/>
    </xf>
    <xf numFmtId="3" fontId="5" fillId="0" borderId="46" xfId="0" applyNumberFormat="1" applyFont="1" applyBorder="1" applyAlignment="1">
      <alignment horizontal="center"/>
    </xf>
    <xf numFmtId="3" fontId="5" fillId="0" borderId="39" xfId="0" applyNumberFormat="1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0" fontId="7" fillId="0" borderId="37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7" fillId="0" borderId="10" xfId="0" applyNumberFormat="1" applyFont="1" applyBorder="1" applyAlignment="1">
      <alignment horizontal="center" vertical="center" wrapText="1"/>
    </xf>
    <xf numFmtId="2" fontId="7" fillId="0" borderId="7" xfId="0" applyNumberFormat="1" applyFont="1" applyBorder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18" fillId="0" borderId="0" xfId="0" applyFont="1" applyAlignment="1">
      <alignment horizontal="center"/>
    </xf>
    <xf numFmtId="0" fontId="5" fillId="0" borderId="14" xfId="0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4" fontId="6" fillId="0" borderId="26" xfId="0" applyNumberFormat="1" applyFont="1" applyBorder="1" applyAlignment="1">
      <alignment horizontal="center" vertical="center" wrapText="1"/>
    </xf>
    <xf numFmtId="4" fontId="6" fillId="0" borderId="6" xfId="0" applyNumberFormat="1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2" fontId="5" fillId="0" borderId="31" xfId="0" applyNumberFormat="1" applyFont="1" applyBorder="1" applyAlignment="1">
      <alignment horizontal="center" vertical="center"/>
    </xf>
    <xf numFmtId="2" fontId="5" fillId="0" borderId="32" xfId="0" applyNumberFormat="1" applyFont="1" applyBorder="1" applyAlignment="1">
      <alignment horizontal="center" vertical="center"/>
    </xf>
    <xf numFmtId="2" fontId="5" fillId="0" borderId="29" xfId="0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2" fontId="6" fillId="0" borderId="26" xfId="0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3" fontId="19" fillId="0" borderId="26" xfId="0" applyNumberFormat="1" applyFont="1" applyBorder="1" applyAlignment="1">
      <alignment horizontal="right" vertical="center" wrapText="1"/>
    </xf>
    <xf numFmtId="3" fontId="19" fillId="0" borderId="6" xfId="0" applyNumberFormat="1" applyFont="1" applyBorder="1" applyAlignment="1">
      <alignment horizontal="right" vertical="center" wrapText="1"/>
    </xf>
    <xf numFmtId="3" fontId="6" fillId="0" borderId="26" xfId="0" applyNumberFormat="1" applyFont="1" applyBorder="1" applyAlignment="1">
      <alignment horizontal="right" vertical="center" wrapText="1"/>
    </xf>
    <xf numFmtId="3" fontId="6" fillId="0" borderId="6" xfId="0" applyNumberFormat="1" applyFont="1" applyBorder="1" applyAlignment="1">
      <alignment horizontal="right" vertical="center" wrapText="1"/>
    </xf>
    <xf numFmtId="3" fontId="6" fillId="0" borderId="26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top" wrapText="1"/>
    </xf>
    <xf numFmtId="0" fontId="6" fillId="0" borderId="34" xfId="0" applyFont="1" applyBorder="1" applyAlignment="1">
      <alignment horizontal="center" vertical="top" wrapText="1"/>
    </xf>
    <xf numFmtId="3" fontId="6" fillId="0" borderId="23" xfId="0" applyNumberFormat="1" applyFont="1" applyBorder="1" applyAlignment="1">
      <alignment horizontal="center" vertical="center" wrapText="1"/>
    </xf>
    <xf numFmtId="2" fontId="6" fillId="0" borderId="26" xfId="0" applyNumberFormat="1" applyFont="1" applyBorder="1" applyAlignment="1">
      <alignment horizontal="center" vertical="center" wrapText="1"/>
    </xf>
    <xf numFmtId="2" fontId="6" fillId="0" borderId="23" xfId="0" applyNumberFormat="1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0" borderId="46" xfId="0" applyFont="1" applyBorder="1" applyAlignment="1">
      <alignment horizontal="center"/>
    </xf>
    <xf numFmtId="0" fontId="7" fillId="0" borderId="10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3" fontId="6" fillId="0" borderId="35" xfId="0" applyNumberFormat="1" applyFont="1" applyBorder="1" applyAlignment="1">
      <alignment horizontal="center" vertical="center"/>
    </xf>
    <xf numFmtId="3" fontId="6" fillId="0" borderId="36" xfId="0" applyNumberFormat="1" applyFont="1" applyBorder="1" applyAlignment="1">
      <alignment horizontal="center" vertical="center"/>
    </xf>
    <xf numFmtId="3" fontId="6" fillId="0" borderId="27" xfId="0" applyNumberFormat="1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/>
    </xf>
    <xf numFmtId="0" fontId="9" fillId="3" borderId="32" xfId="0" applyFont="1" applyFill="1" applyBorder="1" applyAlignment="1">
      <alignment horizontal="center"/>
    </xf>
    <xf numFmtId="0" fontId="9" fillId="0" borderId="0" xfId="0" applyFont="1" applyAlignment="1"/>
    <xf numFmtId="0" fontId="9" fillId="3" borderId="51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3" fontId="16" fillId="0" borderId="26" xfId="0" applyNumberFormat="1" applyFont="1" applyBorder="1" applyAlignment="1">
      <alignment horizontal="center"/>
    </xf>
    <xf numFmtId="3" fontId="21" fillId="0" borderId="35" xfId="0" applyNumberFormat="1" applyFont="1" applyBorder="1" applyAlignment="1">
      <alignment horizontal="center" wrapText="1"/>
    </xf>
    <xf numFmtId="3" fontId="21" fillId="0" borderId="27" xfId="0" applyNumberFormat="1" applyFont="1" applyBorder="1" applyAlignment="1">
      <alignment horizontal="center" wrapText="1"/>
    </xf>
    <xf numFmtId="3" fontId="16" fillId="0" borderId="35" xfId="0" applyNumberFormat="1" applyFont="1" applyBorder="1" applyAlignment="1">
      <alignment horizontal="center" wrapText="1"/>
    </xf>
    <xf numFmtId="3" fontId="16" fillId="0" borderId="36" xfId="0" applyNumberFormat="1" applyFont="1" applyBorder="1" applyAlignment="1">
      <alignment horizontal="center" wrapText="1"/>
    </xf>
    <xf numFmtId="3" fontId="16" fillId="0" borderId="27" xfId="0" applyNumberFormat="1" applyFont="1" applyBorder="1" applyAlignment="1">
      <alignment horizontal="center" wrapText="1"/>
    </xf>
    <xf numFmtId="3" fontId="16" fillId="0" borderId="35" xfId="0" applyNumberFormat="1" applyFont="1" applyBorder="1" applyAlignment="1">
      <alignment horizontal="center"/>
    </xf>
    <xf numFmtId="3" fontId="16" fillId="0" borderId="27" xfId="0" applyNumberFormat="1" applyFont="1" applyBorder="1" applyAlignment="1">
      <alignment horizontal="center"/>
    </xf>
    <xf numFmtId="3" fontId="16" fillId="0" borderId="42" xfId="0" applyNumberFormat="1" applyFont="1" applyBorder="1" applyAlignment="1">
      <alignment horizontal="center" wrapText="1"/>
    </xf>
    <xf numFmtId="3" fontId="16" fillId="0" borderId="46" xfId="0" applyNumberFormat="1" applyFont="1" applyBorder="1" applyAlignment="1">
      <alignment horizontal="center" wrapText="1"/>
    </xf>
    <xf numFmtId="3" fontId="16" fillId="0" borderId="48" xfId="0" applyNumberFormat="1" applyFont="1" applyBorder="1" applyAlignment="1">
      <alignment horizontal="center" wrapText="1"/>
    </xf>
    <xf numFmtId="3" fontId="16" fillId="0" borderId="49" xfId="0" applyNumberFormat="1" applyFont="1" applyBorder="1" applyAlignment="1">
      <alignment horizontal="center" wrapText="1"/>
    </xf>
    <xf numFmtId="3" fontId="16" fillId="0" borderId="26" xfId="0" applyNumberFormat="1" applyFont="1" applyBorder="1" applyAlignment="1">
      <alignment horizontal="center" wrapText="1"/>
    </xf>
    <xf numFmtId="3" fontId="16" fillId="0" borderId="23" xfId="0" applyNumberFormat="1" applyFont="1" applyBorder="1" applyAlignment="1">
      <alignment horizontal="center" wrapText="1"/>
    </xf>
    <xf numFmtId="3" fontId="21" fillId="0" borderId="26" xfId="0" applyNumberFormat="1" applyFont="1" applyBorder="1" applyAlignment="1">
      <alignment horizontal="center" wrapText="1"/>
    </xf>
    <xf numFmtId="3" fontId="21" fillId="0" borderId="23" xfId="0" applyNumberFormat="1" applyFont="1" applyBorder="1" applyAlignment="1">
      <alignment horizontal="center" wrapText="1"/>
    </xf>
    <xf numFmtId="0" fontId="16" fillId="0" borderId="35" xfId="0" applyFont="1" applyBorder="1" applyAlignment="1">
      <alignment horizontal="center" wrapText="1"/>
    </xf>
    <xf numFmtId="0" fontId="16" fillId="0" borderId="43" xfId="0" applyFont="1" applyBorder="1" applyAlignment="1">
      <alignment horizontal="center" wrapText="1"/>
    </xf>
    <xf numFmtId="0" fontId="16" fillId="0" borderId="8" xfId="0" applyFont="1" applyBorder="1"/>
    <xf numFmtId="3" fontId="16" fillId="0" borderId="36" xfId="0" applyNumberFormat="1" applyFont="1" applyBorder="1" applyAlignment="1">
      <alignment horizontal="center"/>
    </xf>
    <xf numFmtId="2" fontId="21" fillId="0" borderId="26" xfId="0" applyNumberFormat="1" applyFont="1" applyBorder="1" applyAlignment="1">
      <alignment horizontal="center" wrapText="1"/>
    </xf>
    <xf numFmtId="2" fontId="21" fillId="0" borderId="23" xfId="0" applyNumberFormat="1" applyFont="1" applyBorder="1" applyAlignment="1">
      <alignment horizontal="center" wrapText="1"/>
    </xf>
    <xf numFmtId="2" fontId="21" fillId="0" borderId="11" xfId="0" applyNumberFormat="1" applyFont="1" applyBorder="1" applyAlignment="1">
      <alignment horizontal="center" wrapText="1"/>
    </xf>
    <xf numFmtId="0" fontId="14" fillId="0" borderId="21" xfId="0" applyFont="1" applyBorder="1"/>
    <xf numFmtId="3" fontId="16" fillId="0" borderId="12" xfId="0" applyNumberFormat="1" applyFont="1" applyBorder="1" applyAlignment="1">
      <alignment horizontal="center"/>
    </xf>
    <xf numFmtId="3" fontId="14" fillId="0" borderId="12" xfId="0" applyNumberFormat="1" applyFont="1" applyBorder="1" applyAlignment="1">
      <alignment horizontal="center"/>
    </xf>
    <xf numFmtId="2" fontId="16" fillId="0" borderId="12" xfId="0" applyNumberFormat="1" applyFont="1" applyBorder="1" applyAlignment="1">
      <alignment horizontal="center"/>
    </xf>
    <xf numFmtId="2" fontId="16" fillId="0" borderId="33" xfId="0" applyNumberFormat="1" applyFont="1" applyBorder="1" applyAlignment="1">
      <alignment horizontal="center"/>
    </xf>
    <xf numFmtId="3" fontId="21" fillId="0" borderId="11" xfId="0" applyNumberFormat="1" applyFont="1" applyBorder="1" applyAlignment="1">
      <alignment horizontal="left" wrapText="1"/>
    </xf>
    <xf numFmtId="3" fontId="21" fillId="0" borderId="11" xfId="0" applyNumberFormat="1" applyFont="1" applyBorder="1" applyAlignment="1">
      <alignment horizontal="right"/>
    </xf>
    <xf numFmtId="3" fontId="16" fillId="0" borderId="11" xfId="0" applyNumberFormat="1" applyFont="1" applyBorder="1" applyAlignment="1">
      <alignment horizontal="right"/>
    </xf>
    <xf numFmtId="3" fontId="21" fillId="0" borderId="11" xfId="0" applyNumberFormat="1" applyFont="1" applyBorder="1" applyAlignment="1">
      <alignment horizontal="right" wrapText="1"/>
    </xf>
    <xf numFmtId="3" fontId="16" fillId="0" borderId="11" xfId="0" applyNumberFormat="1" applyFont="1" applyBorder="1" applyAlignment="1">
      <alignment horizontal="right" wrapText="1"/>
    </xf>
    <xf numFmtId="3" fontId="16" fillId="0" borderId="16" xfId="0" applyNumberFormat="1" applyFont="1" applyBorder="1" applyAlignment="1">
      <alignment horizontal="center"/>
    </xf>
    <xf numFmtId="3" fontId="16" fillId="0" borderId="18" xfId="0" applyNumberFormat="1" applyFont="1" applyBorder="1" applyAlignment="1">
      <alignment horizontal="center"/>
    </xf>
    <xf numFmtId="3" fontId="16" fillId="0" borderId="16" xfId="0" applyNumberFormat="1" applyFont="1" applyBorder="1" applyAlignment="1">
      <alignment horizontal="center"/>
    </xf>
    <xf numFmtId="2" fontId="16" fillId="0" borderId="37" xfId="0" applyNumberFormat="1" applyFont="1" applyBorder="1" applyAlignment="1">
      <alignment horizontal="center"/>
    </xf>
    <xf numFmtId="2" fontId="16" fillId="0" borderId="0" xfId="0" applyNumberFormat="1" applyFont="1" applyBorder="1" applyAlignment="1">
      <alignment horizontal="center"/>
    </xf>
    <xf numFmtId="3" fontId="21" fillId="0" borderId="11" xfId="0" applyNumberFormat="1" applyFont="1" applyBorder="1" applyAlignment="1">
      <alignment horizontal="center"/>
    </xf>
    <xf numFmtId="3" fontId="21" fillId="0" borderId="11" xfId="0" applyNumberFormat="1" applyFont="1" applyBorder="1" applyAlignment="1">
      <alignment horizontal="center" wrapText="1"/>
    </xf>
    <xf numFmtId="3" fontId="21" fillId="0" borderId="38" xfId="0" applyNumberFormat="1" applyFont="1" applyBorder="1" applyAlignment="1">
      <alignment horizontal="center"/>
    </xf>
    <xf numFmtId="3" fontId="21" fillId="0" borderId="40" xfId="0" applyNumberFormat="1" applyFont="1" applyBorder="1" applyAlignment="1">
      <alignment horizontal="center"/>
    </xf>
    <xf numFmtId="0" fontId="16" fillId="0" borderId="12" xfId="0" applyFont="1" applyBorder="1" applyAlignment="1">
      <alignment horizontal="center" wrapText="1"/>
    </xf>
    <xf numFmtId="0" fontId="16" fillId="0" borderId="19" xfId="0" applyFont="1" applyBorder="1"/>
    <xf numFmtId="3" fontId="16" fillId="0" borderId="9" xfId="0" applyNumberFormat="1" applyFont="1" applyBorder="1" applyAlignment="1">
      <alignment horizontal="center"/>
    </xf>
    <xf numFmtId="3" fontId="16" fillId="0" borderId="9" xfId="0" applyNumberFormat="1" applyFont="1" applyBorder="1"/>
    <xf numFmtId="3" fontId="16" fillId="0" borderId="9" xfId="0" applyNumberFormat="1" applyFont="1" applyBorder="1" applyAlignment="1">
      <alignment horizontal="center" wrapText="1"/>
    </xf>
    <xf numFmtId="3" fontId="6" fillId="0" borderId="9" xfId="0" applyNumberFormat="1" applyFont="1" applyBorder="1" applyAlignment="1">
      <alignment horizontal="center" wrapText="1"/>
    </xf>
    <xf numFmtId="0" fontId="6" fillId="0" borderId="50" xfId="0" applyFont="1" applyBorder="1" applyAlignment="1">
      <alignment horizontal="center" vertical="center" wrapText="1"/>
    </xf>
    <xf numFmtId="3" fontId="16" fillId="0" borderId="11" xfId="0" applyNumberFormat="1" applyFont="1" applyBorder="1" applyAlignment="1">
      <alignment horizontal="center" wrapText="1"/>
    </xf>
    <xf numFmtId="3" fontId="6" fillId="0" borderId="11" xfId="0" applyNumberFormat="1" applyFont="1" applyBorder="1" applyAlignment="1">
      <alignment horizontal="center" wrapText="1"/>
    </xf>
    <xf numFmtId="0" fontId="6" fillId="0" borderId="11" xfId="0" applyFont="1" applyBorder="1" applyAlignment="1">
      <alignment vertical="center" wrapText="1"/>
    </xf>
    <xf numFmtId="0" fontId="16" fillId="0" borderId="11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3" fontId="15" fillId="0" borderId="2" xfId="0" applyNumberFormat="1" applyFont="1" applyBorder="1"/>
    <xf numFmtId="4" fontId="15" fillId="0" borderId="2" xfId="0" applyNumberFormat="1" applyFont="1" applyBorder="1"/>
    <xf numFmtId="2" fontId="22" fillId="0" borderId="2" xfId="0" applyNumberFormat="1" applyFont="1" applyBorder="1"/>
    <xf numFmtId="2" fontId="22" fillId="0" borderId="3" xfId="0" applyNumberFormat="1" applyFont="1" applyBorder="1"/>
    <xf numFmtId="2" fontId="22" fillId="0" borderId="12" xfId="0" applyNumberFormat="1" applyFont="1" applyBorder="1"/>
    <xf numFmtId="2" fontId="22" fillId="0" borderId="33" xfId="0" applyNumberFormat="1" applyFont="1" applyBorder="1"/>
    <xf numFmtId="4" fontId="22" fillId="0" borderId="2" xfId="0" applyNumberFormat="1" applyFont="1" applyBorder="1" applyAlignment="1">
      <alignment horizontal="right"/>
    </xf>
    <xf numFmtId="2" fontId="22" fillId="0" borderId="39" xfId="0" applyNumberFormat="1" applyFont="1" applyBorder="1"/>
    <xf numFmtId="2" fontId="22" fillId="0" borderId="15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1"/>
  <sheetViews>
    <sheetView tabSelected="1" topLeftCell="A19" zoomScale="120" zoomScaleNormal="120" zoomScaleSheetLayoutView="120" workbookViewId="0">
      <selection activeCell="Z39" sqref="Z39"/>
    </sheetView>
  </sheetViews>
  <sheetFormatPr defaultRowHeight="11.25" x14ac:dyDescent="0.2"/>
  <cols>
    <col min="1" max="1" width="1.7109375" style="1" customWidth="1"/>
    <col min="2" max="2" width="4.7109375" style="1" customWidth="1"/>
    <col min="3" max="3" width="6.7109375" style="2" customWidth="1"/>
    <col min="4" max="5" width="5.7109375" style="2" customWidth="1"/>
    <col min="6" max="6" width="6.7109375" style="2" customWidth="1"/>
    <col min="7" max="7" width="8.7109375" style="2" customWidth="1"/>
    <col min="8" max="8" width="9.7109375" style="2" customWidth="1"/>
    <col min="9" max="9" width="8.7109375" style="2" customWidth="1"/>
    <col min="10" max="10" width="9.7109375" style="2" customWidth="1"/>
    <col min="11" max="12" width="8.7109375" style="2" customWidth="1"/>
    <col min="13" max="17" width="9.7109375" style="2" customWidth="1"/>
    <col min="18" max="18" width="8.7109375" style="2" customWidth="1"/>
    <col min="19" max="20" width="7.7109375" style="2" customWidth="1"/>
    <col min="21" max="21" width="7.7109375" style="3" customWidth="1"/>
    <col min="22" max="22" width="7.85546875" style="3" bestFit="1" customWidth="1"/>
    <col min="23" max="23" width="9.7109375" style="3" customWidth="1"/>
    <col min="24" max="24" width="6.7109375" style="3" customWidth="1"/>
    <col min="25" max="25" width="6.7109375" style="1" customWidth="1"/>
    <col min="26" max="26" width="9.140625" style="1"/>
    <col min="27" max="27" width="9.5703125" style="1" bestFit="1" customWidth="1"/>
    <col min="28" max="16384" width="9.140625" style="1"/>
  </cols>
  <sheetData>
    <row r="2" spans="2:24" ht="24.95" customHeight="1" thickBot="1" x14ac:dyDescent="0.3">
      <c r="B2" s="426" t="s">
        <v>130</v>
      </c>
      <c r="C2" s="426"/>
      <c r="D2" s="426"/>
      <c r="E2" s="426"/>
      <c r="F2" s="426"/>
      <c r="G2" s="426"/>
      <c r="H2" s="426"/>
      <c r="I2" s="426"/>
      <c r="J2" s="426"/>
      <c r="K2" s="426"/>
      <c r="L2" s="426"/>
      <c r="M2" s="426"/>
      <c r="N2" s="426"/>
      <c r="O2" s="426"/>
      <c r="P2" s="426"/>
      <c r="Q2" s="426"/>
      <c r="R2" s="426"/>
      <c r="S2" s="426"/>
      <c r="T2" s="426"/>
      <c r="U2" s="426"/>
      <c r="V2" s="426"/>
      <c r="W2" s="426"/>
      <c r="X2" s="426"/>
    </row>
    <row r="3" spans="2:24" ht="21.95" customHeight="1" thickTop="1" x14ac:dyDescent="0.2">
      <c r="B3" s="4" t="s">
        <v>0</v>
      </c>
      <c r="C3" s="427" t="s">
        <v>53</v>
      </c>
      <c r="D3" s="427"/>
      <c r="E3" s="427"/>
      <c r="F3" s="427"/>
      <c r="G3" s="433" t="s">
        <v>58</v>
      </c>
      <c r="H3" s="434"/>
      <c r="I3" s="427" t="s">
        <v>38</v>
      </c>
      <c r="J3" s="427"/>
      <c r="K3" s="427"/>
      <c r="L3" s="427"/>
      <c r="M3" s="427"/>
      <c r="N3" s="427"/>
      <c r="O3" s="430" t="s">
        <v>76</v>
      </c>
      <c r="P3" s="431"/>
      <c r="Q3" s="432"/>
      <c r="R3" s="435" t="s">
        <v>94</v>
      </c>
      <c r="S3" s="436"/>
      <c r="T3" s="441" t="s">
        <v>41</v>
      </c>
      <c r="U3" s="351" t="s">
        <v>127</v>
      </c>
      <c r="V3" s="351" t="s">
        <v>30</v>
      </c>
      <c r="W3" s="443" t="s">
        <v>66</v>
      </c>
      <c r="X3" s="444"/>
    </row>
    <row r="4" spans="2:24" ht="21.95" customHeight="1" x14ac:dyDescent="0.2">
      <c r="B4" s="6"/>
      <c r="C4" s="456" t="s">
        <v>50</v>
      </c>
      <c r="D4" s="456" t="s">
        <v>51</v>
      </c>
      <c r="E4" s="455" t="s">
        <v>46</v>
      </c>
      <c r="F4" s="457" t="s">
        <v>26</v>
      </c>
      <c r="G4" s="457" t="s">
        <v>54</v>
      </c>
      <c r="H4" s="457" t="s">
        <v>55</v>
      </c>
      <c r="I4" s="457" t="s">
        <v>54</v>
      </c>
      <c r="J4" s="457" t="s">
        <v>55</v>
      </c>
      <c r="K4" s="457" t="s">
        <v>51</v>
      </c>
      <c r="L4" s="457" t="s">
        <v>52</v>
      </c>
      <c r="M4" s="7" t="s">
        <v>90</v>
      </c>
      <c r="N4" s="457" t="s">
        <v>26</v>
      </c>
      <c r="O4" s="458" t="s">
        <v>14</v>
      </c>
      <c r="P4" s="459" t="s">
        <v>77</v>
      </c>
      <c r="Q4" s="459" t="s">
        <v>93</v>
      </c>
      <c r="R4" s="437"/>
      <c r="S4" s="438"/>
      <c r="T4" s="442"/>
      <c r="U4" s="352"/>
      <c r="V4" s="352"/>
      <c r="W4" s="275" t="s">
        <v>95</v>
      </c>
      <c r="X4" s="276" t="s">
        <v>59</v>
      </c>
    </row>
    <row r="5" spans="2:24" s="200" customFormat="1" ht="15.95" customHeight="1" thickBot="1" x14ac:dyDescent="0.25">
      <c r="B5" s="450"/>
      <c r="C5" s="451" t="s">
        <v>18</v>
      </c>
      <c r="D5" s="451" t="s">
        <v>18</v>
      </c>
      <c r="E5" s="451" t="s">
        <v>18</v>
      </c>
      <c r="F5" s="451" t="s">
        <v>18</v>
      </c>
      <c r="G5" s="451" t="s">
        <v>57</v>
      </c>
      <c r="H5" s="451" t="s">
        <v>57</v>
      </c>
      <c r="I5" s="451" t="s">
        <v>20</v>
      </c>
      <c r="J5" s="451" t="s">
        <v>20</v>
      </c>
      <c r="K5" s="451" t="s">
        <v>20</v>
      </c>
      <c r="L5" s="451" t="s">
        <v>20</v>
      </c>
      <c r="M5" s="451"/>
      <c r="N5" s="451" t="s">
        <v>20</v>
      </c>
      <c r="O5" s="451" t="s">
        <v>20</v>
      </c>
      <c r="P5" s="451" t="s">
        <v>20</v>
      </c>
      <c r="Q5" s="451" t="s">
        <v>20</v>
      </c>
      <c r="R5" s="451" t="s">
        <v>20</v>
      </c>
      <c r="S5" s="452" t="s">
        <v>21</v>
      </c>
      <c r="T5" s="451" t="s">
        <v>18</v>
      </c>
      <c r="U5" s="453" t="s">
        <v>21</v>
      </c>
      <c r="V5" s="453" t="s">
        <v>21</v>
      </c>
      <c r="W5" s="453" t="s">
        <v>21</v>
      </c>
      <c r="X5" s="454" t="s">
        <v>21</v>
      </c>
    </row>
    <row r="6" spans="2:24" ht="20.100000000000001" customHeight="1" thickTop="1" thickBot="1" x14ac:dyDescent="0.25">
      <c r="B6" s="277">
        <v>2013</v>
      </c>
      <c r="C6" s="278">
        <f>+'Energy-Mahe-2021'!D8</f>
        <v>69500</v>
      </c>
      <c r="D6" s="278">
        <f>+'Energy-Mahe-2021'!D9</f>
        <v>6000</v>
      </c>
      <c r="E6" s="278">
        <f>+'Energy-Mahe-2021'!D11</f>
        <v>0</v>
      </c>
      <c r="F6" s="278">
        <f>C6+D6</f>
        <v>75500</v>
      </c>
      <c r="G6" s="278">
        <f>+'Energy-Mahe-2021'!G8</f>
        <v>417390</v>
      </c>
      <c r="H6" s="278">
        <f>+'Energy-Mahe-2021'!H8</f>
        <v>71011498</v>
      </c>
      <c r="I6" s="278">
        <f>+'Energy-Mahe-2021'!I8</f>
        <v>1383094</v>
      </c>
      <c r="J6" s="278">
        <f>+'Energy-Mahe-2021'!J8</f>
        <v>306345004</v>
      </c>
      <c r="K6" s="278">
        <f>+'Energy-Mahe-2021'!K9</f>
        <v>6951050</v>
      </c>
      <c r="L6" s="278">
        <f>+'Energy-Mahe-2021'!K11</f>
        <v>0</v>
      </c>
      <c r="M6" s="278">
        <f>K6+L6</f>
        <v>6951050</v>
      </c>
      <c r="N6" s="278">
        <f t="shared" ref="N6:N13" si="0">SUM(I6:L6)</f>
        <v>314679148</v>
      </c>
      <c r="O6" s="278">
        <f>+'Energy-Mahe-2021'!L8</f>
        <v>9931845</v>
      </c>
      <c r="P6" s="278">
        <f t="shared" ref="P6:P12" si="1">N6-O6</f>
        <v>304747303</v>
      </c>
      <c r="Q6" s="278">
        <f>+'Statistics- Mahe-2011-2021'!T11</f>
        <v>273038833</v>
      </c>
      <c r="R6" s="278">
        <f>P6-Q6</f>
        <v>31708470</v>
      </c>
      <c r="S6" s="279">
        <f>100*R6/P6</f>
        <v>10.404840235780528</v>
      </c>
      <c r="T6" s="278">
        <f>+'Energy-Mahe-2021'!F8</f>
        <v>49900</v>
      </c>
      <c r="U6" s="280">
        <f>+'Energy-Mahe-2021'!P8</f>
        <v>41.23420090199528</v>
      </c>
      <c r="V6" s="280">
        <f>100*M6/N6</f>
        <v>2.2089325092490717</v>
      </c>
      <c r="W6" s="280" t="s">
        <v>62</v>
      </c>
      <c r="X6" s="281" t="s">
        <v>62</v>
      </c>
    </row>
    <row r="7" spans="2:24" ht="20.100000000000001" customHeight="1" thickTop="1" thickBot="1" x14ac:dyDescent="0.25">
      <c r="B7" s="277">
        <v>2014</v>
      </c>
      <c r="C7" s="282">
        <f>+'Energy-Mahe-2021'!D8</f>
        <v>69500</v>
      </c>
      <c r="D7" s="282">
        <f>+'Energy-Mahe-2021'!D17</f>
        <v>6000</v>
      </c>
      <c r="E7" s="282">
        <f>+'Energy-Mahe-2021'!D19</f>
        <v>645</v>
      </c>
      <c r="F7" s="282">
        <f t="shared" ref="F7:F13" si="2">SUM(C7:E7)</f>
        <v>76145</v>
      </c>
      <c r="G7" s="282">
        <f>+'Energy-Mahe-2021'!G16</f>
        <v>181265</v>
      </c>
      <c r="H7" s="282">
        <f>+'Energy-Mahe-2021'!H16</f>
        <v>72099648</v>
      </c>
      <c r="I7" s="282">
        <f>+'Energy-Mahe-2021'!I16</f>
        <v>610498</v>
      </c>
      <c r="J7" s="282">
        <f>+'Energy-Mahe-2021'!J16</f>
        <v>313464712</v>
      </c>
      <c r="K7" s="282">
        <f>+'Energy-Mahe-2021'!K17</f>
        <v>7090810</v>
      </c>
      <c r="L7" s="282">
        <f>+'Energy-Mahe-2021'!K19</f>
        <v>393398</v>
      </c>
      <c r="M7" s="278">
        <f t="shared" ref="M7:M13" si="3">K7+L7</f>
        <v>7484208</v>
      </c>
      <c r="N7" s="282">
        <f t="shared" si="0"/>
        <v>321559418</v>
      </c>
      <c r="O7" s="282">
        <f>+'Energy-Mahe-2021'!L21</f>
        <v>10573404</v>
      </c>
      <c r="P7" s="282">
        <f t="shared" si="1"/>
        <v>310986014</v>
      </c>
      <c r="Q7" s="282">
        <f>+'Statistics- Mahe-2011-2021'!T12</f>
        <v>278843458</v>
      </c>
      <c r="R7" s="278">
        <f t="shared" ref="R7:R13" si="4">P7-Q7</f>
        <v>32142556</v>
      </c>
      <c r="S7" s="279">
        <f>100*R7/P7</f>
        <v>10.33569181667443</v>
      </c>
      <c r="T7" s="282">
        <v>50900</v>
      </c>
      <c r="U7" s="196">
        <f>+'Energy-Mahe-2021'!P16</f>
        <v>41.579655162171626</v>
      </c>
      <c r="V7" s="280">
        <f t="shared" ref="V7:V13" si="5">100*M7/N7</f>
        <v>2.3274728031756795</v>
      </c>
      <c r="W7" s="196">
        <f>100*(N7-N6)/N6</f>
        <v>2.1864397573619971</v>
      </c>
      <c r="X7" s="283">
        <f>100*(P7-P6)/P6</f>
        <v>2.04717513119386</v>
      </c>
    </row>
    <row r="8" spans="2:24" ht="20.100000000000001" customHeight="1" thickTop="1" thickBot="1" x14ac:dyDescent="0.25">
      <c r="B8" s="277">
        <v>2015</v>
      </c>
      <c r="C8" s="282">
        <f>+'Energy-Mahe-2021'!D24</f>
        <v>69500</v>
      </c>
      <c r="D8" s="282">
        <f>+'Energy-Mahe-2021'!D25</f>
        <v>6000</v>
      </c>
      <c r="E8" s="282">
        <f>+'Energy-Mahe-2021'!D27</f>
        <v>1115</v>
      </c>
      <c r="F8" s="282">
        <f t="shared" si="2"/>
        <v>76615</v>
      </c>
      <c r="G8" s="282">
        <f>+'Energy-Mahe-2021'!G24</f>
        <v>306818</v>
      </c>
      <c r="H8" s="282">
        <f>+'Energy-Mahe-2021'!H24</f>
        <v>74509574</v>
      </c>
      <c r="I8" s="282">
        <f>+'Energy-Mahe-2021'!I24</f>
        <v>1012450</v>
      </c>
      <c r="J8" s="282">
        <f>+'Energy-Mahe-2021'!J24</f>
        <v>323871385</v>
      </c>
      <c r="K8" s="282">
        <f>+'Energy-Mahe-2021'!K25</f>
        <v>6795420</v>
      </c>
      <c r="L8" s="282">
        <f>+'Energy-Mahe-2021'!K27</f>
        <v>1295909</v>
      </c>
      <c r="M8" s="278">
        <f t="shared" si="3"/>
        <v>8091329</v>
      </c>
      <c r="N8" s="282">
        <f t="shared" si="0"/>
        <v>332975164</v>
      </c>
      <c r="O8" s="282">
        <f>+'Energy-Mahe-2021'!L29</f>
        <v>10856743</v>
      </c>
      <c r="P8" s="282">
        <f t="shared" si="1"/>
        <v>322118421</v>
      </c>
      <c r="Q8" s="282">
        <f>+'Statistics- Mahe-2011-2021'!T13</f>
        <v>287251462</v>
      </c>
      <c r="R8" s="278">
        <f t="shared" si="4"/>
        <v>34866959</v>
      </c>
      <c r="S8" s="279">
        <f t="shared" ref="S8:S13" si="6">100*R8/P8</f>
        <v>10.824267327449739</v>
      </c>
      <c r="T8" s="282">
        <v>53200</v>
      </c>
      <c r="U8" s="196">
        <f>+'Energy-Mahe-2021'!P24</f>
        <v>41.557253199216262</v>
      </c>
      <c r="V8" s="280">
        <f t="shared" si="5"/>
        <v>2.4300097649324979</v>
      </c>
      <c r="W8" s="196">
        <f t="shared" ref="W8:W13" si="7">100*(N8-N7)/N7</f>
        <v>3.5501202455839747</v>
      </c>
      <c r="X8" s="283">
        <f t="shared" ref="X8:X13" si="8">100*(P8-P7)/P7</f>
        <v>3.57971307352748</v>
      </c>
    </row>
    <row r="9" spans="2:24" ht="20.100000000000001" customHeight="1" thickTop="1" thickBot="1" x14ac:dyDescent="0.25">
      <c r="B9" s="277">
        <v>2016</v>
      </c>
      <c r="C9" s="282">
        <f>+'Energy-Mahe-2021'!D32</f>
        <v>85500</v>
      </c>
      <c r="D9" s="282">
        <f>+'Energy-Mahe-2021'!D25</f>
        <v>6000</v>
      </c>
      <c r="E9" s="282">
        <f>+'Energy-Mahe-2021'!D35</f>
        <v>1710</v>
      </c>
      <c r="F9" s="282">
        <f t="shared" si="2"/>
        <v>93210</v>
      </c>
      <c r="G9" s="282">
        <f>+'Energy-Mahe-2021'!G32</f>
        <v>179434</v>
      </c>
      <c r="H9" s="282">
        <f>+'Energy-Mahe-2021'!H32</f>
        <v>80704838</v>
      </c>
      <c r="I9" s="282">
        <f>+'Energy-Mahe-2021'!I32</f>
        <v>561600</v>
      </c>
      <c r="J9" s="282">
        <f>+'Energy-Mahe-2021'!J32</f>
        <v>351586215</v>
      </c>
      <c r="K9" s="282">
        <f>+'Energy-Mahe-2021'!K33</f>
        <v>6856893</v>
      </c>
      <c r="L9" s="282">
        <f>+'Energy-Mahe-2021'!K35</f>
        <v>1904530</v>
      </c>
      <c r="M9" s="278">
        <f t="shared" si="3"/>
        <v>8761423</v>
      </c>
      <c r="N9" s="282">
        <f t="shared" si="0"/>
        <v>360909238</v>
      </c>
      <c r="O9" s="282">
        <f>+'Energy-Mahe-2021'!L34</f>
        <v>10838316</v>
      </c>
      <c r="P9" s="282">
        <f t="shared" si="1"/>
        <v>350070922</v>
      </c>
      <c r="Q9" s="282">
        <f>+'Statistics- Mahe-2011-2021'!T14</f>
        <v>324147578</v>
      </c>
      <c r="R9" s="278">
        <f t="shared" si="4"/>
        <v>25923344</v>
      </c>
      <c r="S9" s="279">
        <f t="shared" si="6"/>
        <v>7.4051691731197256</v>
      </c>
      <c r="T9" s="282">
        <f>+'Energy-Mahe-2021'!F32</f>
        <v>56900</v>
      </c>
      <c r="U9" s="196">
        <f>+'Energy-Mahe-2021'!P32</f>
        <v>41.660421876669304</v>
      </c>
      <c r="V9" s="280">
        <f t="shared" si="5"/>
        <v>2.4275973229590759</v>
      </c>
      <c r="W9" s="196">
        <f t="shared" si="7"/>
        <v>8.3892365017350059</v>
      </c>
      <c r="X9" s="283">
        <f t="shared" si="8"/>
        <v>8.677709555766139</v>
      </c>
    </row>
    <row r="10" spans="2:24" ht="20.100000000000001" customHeight="1" thickTop="1" thickBot="1" x14ac:dyDescent="0.25">
      <c r="B10" s="277">
        <v>2017</v>
      </c>
      <c r="C10" s="282">
        <f>+'Energy-Mahe-2021'!D40</f>
        <v>85500</v>
      </c>
      <c r="D10" s="282">
        <f>+'Energy-Mahe-2021'!D41</f>
        <v>6000</v>
      </c>
      <c r="E10" s="282">
        <f>+'Energy-Mahe-2021'!D43</f>
        <v>2106</v>
      </c>
      <c r="F10" s="282">
        <f t="shared" si="2"/>
        <v>93606</v>
      </c>
      <c r="G10" s="282">
        <f>+'Energy-Mahe-2021'!G40</f>
        <v>122282</v>
      </c>
      <c r="H10" s="282">
        <f>+'Energy-Mahe-2021'!H40</f>
        <v>82515694</v>
      </c>
      <c r="I10" s="282">
        <f>+'Energy-Mahe-2021'!I40</f>
        <v>383627</v>
      </c>
      <c r="J10" s="282">
        <f>+'Energy-Mahe-2021'!J40</f>
        <v>362943269</v>
      </c>
      <c r="K10" s="282">
        <f>+'Energy-Mahe-2021'!K41</f>
        <v>6616620</v>
      </c>
      <c r="L10" s="282">
        <f>+'Energy-Mahe-2021'!K43</f>
        <v>2378554</v>
      </c>
      <c r="M10" s="278">
        <f t="shared" si="3"/>
        <v>8995174</v>
      </c>
      <c r="N10" s="282">
        <f t="shared" si="0"/>
        <v>372322070</v>
      </c>
      <c r="O10" s="282">
        <f>+'Energy-Mahe-2021'!L42</f>
        <v>10844995</v>
      </c>
      <c r="P10" s="282">
        <f t="shared" si="1"/>
        <v>361477075</v>
      </c>
      <c r="Q10" s="282">
        <f>+'Statistics- Mahe-2011-2021'!T15</f>
        <v>336471769.63</v>
      </c>
      <c r="R10" s="278">
        <f t="shared" si="4"/>
        <v>25005305.370000005</v>
      </c>
      <c r="S10" s="279">
        <f t="shared" si="6"/>
        <v>6.9175356058195403</v>
      </c>
      <c r="T10" s="282">
        <f>+'Energy-Mahe-2021'!F40</f>
        <v>58900</v>
      </c>
      <c r="U10" s="196">
        <f>+'Energy-Mahe-2021'!P40</f>
        <v>39.794850974582253</v>
      </c>
      <c r="V10" s="280">
        <f t="shared" si="5"/>
        <v>2.4159658330219318</v>
      </c>
      <c r="W10" s="196">
        <f t="shared" si="7"/>
        <v>3.1622443535235858</v>
      </c>
      <c r="X10" s="283">
        <f t="shared" si="8"/>
        <v>3.2582406258809464</v>
      </c>
    </row>
    <row r="11" spans="2:24" ht="20.100000000000001" customHeight="1" thickTop="1" thickBot="1" x14ac:dyDescent="0.25">
      <c r="B11" s="277">
        <v>2018</v>
      </c>
      <c r="C11" s="282">
        <f>+'Energy-Mahe-2021'!D48</f>
        <v>85500</v>
      </c>
      <c r="D11" s="282">
        <f>+'Energy-Mahe-2021'!D49</f>
        <v>6000</v>
      </c>
      <c r="E11" s="282">
        <f>+'Energy-Mahe-2021'!D51</f>
        <v>3290</v>
      </c>
      <c r="F11" s="282">
        <f t="shared" si="2"/>
        <v>94790</v>
      </c>
      <c r="G11" s="282">
        <f>+'Energy-Mahe-2021'!G48</f>
        <v>157857</v>
      </c>
      <c r="H11" s="282">
        <f>+'Energy-Mahe-2021'!H48</f>
        <v>84100068</v>
      </c>
      <c r="I11" s="282">
        <f>+'Energy-Mahe-2021'!I48</f>
        <v>551974</v>
      </c>
      <c r="J11" s="282">
        <f>+'Energy-Mahe-2021'!J48</f>
        <v>365606600</v>
      </c>
      <c r="K11" s="282">
        <f>+'Energy-Mahe-2021'!K49</f>
        <v>7392410</v>
      </c>
      <c r="L11" s="282">
        <f>+'Energy-Mahe-2021'!K51</f>
        <v>2919796</v>
      </c>
      <c r="M11" s="278">
        <f t="shared" si="3"/>
        <v>10312206</v>
      </c>
      <c r="N11" s="282">
        <f t="shared" si="0"/>
        <v>376470780</v>
      </c>
      <c r="O11" s="282">
        <f>+'Energy-Mahe-2021'!L50</f>
        <v>10806383</v>
      </c>
      <c r="P11" s="282">
        <f t="shared" si="1"/>
        <v>365664397</v>
      </c>
      <c r="Q11" s="282">
        <f>+'Statistics- Mahe-2011-2021'!T16</f>
        <v>341674601</v>
      </c>
      <c r="R11" s="278">
        <f t="shared" si="4"/>
        <v>23989796</v>
      </c>
      <c r="S11" s="279">
        <f t="shared" si="6"/>
        <v>6.5606048050666521</v>
      </c>
      <c r="T11" s="282">
        <f>+'Energy-Mahe-2021'!F48</f>
        <v>58400</v>
      </c>
      <c r="U11" s="196">
        <f>+'Energy-Mahe-2021'!P48</f>
        <v>39.335658539888172</v>
      </c>
      <c r="V11" s="280">
        <f t="shared" si="5"/>
        <v>2.7391783234810414</v>
      </c>
      <c r="W11" s="196">
        <f t="shared" si="7"/>
        <v>1.1142799028808579</v>
      </c>
      <c r="X11" s="283">
        <f t="shared" si="8"/>
        <v>1.158392133166398</v>
      </c>
    </row>
    <row r="12" spans="2:24" ht="20.100000000000001" customHeight="1" thickTop="1" x14ac:dyDescent="0.2">
      <c r="B12" s="284">
        <v>2019</v>
      </c>
      <c r="C12" s="285">
        <f>+'Energy-Mahe-2021'!D56</f>
        <v>85500</v>
      </c>
      <c r="D12" s="285">
        <f>+'Energy-Mahe-2021'!D57</f>
        <v>6000</v>
      </c>
      <c r="E12" s="285">
        <f>+'Energy-Mahe-2021'!D59</f>
        <v>3640</v>
      </c>
      <c r="F12" s="285">
        <f t="shared" si="2"/>
        <v>95140</v>
      </c>
      <c r="G12" s="285">
        <f>+'Energy-Mahe-2021'!G56</f>
        <v>162997</v>
      </c>
      <c r="H12" s="285">
        <f>+'Energy-Mahe-2021'!H56</f>
        <v>88191028</v>
      </c>
      <c r="I12" s="285">
        <f>+'Energy-Mahe-2021'!I56</f>
        <v>532750</v>
      </c>
      <c r="J12" s="285">
        <f>+'Energy-Mahe-2021'!J56</f>
        <v>384215952</v>
      </c>
      <c r="K12" s="285">
        <f>+'Energy-Mahe-2021'!K57</f>
        <v>4884428</v>
      </c>
      <c r="L12" s="285">
        <f>+'Energy-Mahe-2021'!K59</f>
        <v>3409690</v>
      </c>
      <c r="M12" s="72">
        <f t="shared" si="3"/>
        <v>8294118</v>
      </c>
      <c r="N12" s="285">
        <f t="shared" si="0"/>
        <v>393042820</v>
      </c>
      <c r="O12" s="285">
        <f>+'Energy-Mahe-2021'!L61</f>
        <v>11766192</v>
      </c>
      <c r="P12" s="285">
        <f t="shared" si="1"/>
        <v>381276628</v>
      </c>
      <c r="Q12" s="285">
        <f>+'Statistics- Mahe-2011-2021'!T17</f>
        <v>354283272</v>
      </c>
      <c r="R12" s="72">
        <f t="shared" si="4"/>
        <v>26993356</v>
      </c>
      <c r="S12" s="286">
        <f t="shared" si="6"/>
        <v>7.0797300483889085</v>
      </c>
      <c r="T12" s="285">
        <f>+'Energy-Mahe-2021'!F56</f>
        <v>60000</v>
      </c>
      <c r="U12" s="287">
        <f>+'Energy-Mahe-2021'!P56</f>
        <v>39.416442038917268</v>
      </c>
      <c r="V12" s="288">
        <f t="shared" si="5"/>
        <v>2.1102326713410005</v>
      </c>
      <c r="W12" s="287">
        <f t="shared" si="7"/>
        <v>4.4019458827588158</v>
      </c>
      <c r="X12" s="289">
        <f t="shared" si="8"/>
        <v>4.269551842642203</v>
      </c>
    </row>
    <row r="13" spans="2:24" ht="20.100000000000001" customHeight="1" thickBot="1" x14ac:dyDescent="0.25">
      <c r="B13" s="10">
        <v>2020</v>
      </c>
      <c r="C13" s="25">
        <f>+'Energy-Mahe-2021'!D56</f>
        <v>85500</v>
      </c>
      <c r="D13" s="25">
        <f>+'Energy-Mahe-2021'!D65</f>
        <v>6000</v>
      </c>
      <c r="E13" s="25">
        <f>+'Energy-Mahe-2021'!D67</f>
        <v>4860</v>
      </c>
      <c r="F13" s="25">
        <f t="shared" si="2"/>
        <v>96360</v>
      </c>
      <c r="G13" s="25">
        <f>+'Energy-Mahe-2021'!G64</f>
        <v>114888</v>
      </c>
      <c r="H13" s="25">
        <f>+'Energy-Mahe-2021'!H64</f>
        <v>88436223</v>
      </c>
      <c r="I13" s="25">
        <f>+'Energy-Mahe-2021'!I64</f>
        <v>396599</v>
      </c>
      <c r="J13" s="25">
        <f>+'Energy-Mahe-2021'!J64</f>
        <v>384036200</v>
      </c>
      <c r="K13" s="25">
        <f>+'Energy-Mahe-2021'!K65</f>
        <v>5985764</v>
      </c>
      <c r="L13" s="25">
        <f>+'Energy-Mahe-2021'!K67</f>
        <v>4992858</v>
      </c>
      <c r="M13" s="26">
        <f t="shared" si="3"/>
        <v>10978622</v>
      </c>
      <c r="N13" s="25">
        <f t="shared" si="0"/>
        <v>395411421</v>
      </c>
      <c r="O13" s="25">
        <f>+'Energy-Mahe-2021'!L69</f>
        <v>12178693</v>
      </c>
      <c r="P13" s="25">
        <f>+'Energy-Mahe-2021'!M69</f>
        <v>383232728</v>
      </c>
      <c r="Q13" s="25">
        <f>+'Statistics- Mahe-2011-2021'!T18</f>
        <v>360991086</v>
      </c>
      <c r="R13" s="26">
        <f t="shared" si="4"/>
        <v>22241642</v>
      </c>
      <c r="S13" s="290">
        <f t="shared" si="6"/>
        <v>5.8036906493017479</v>
      </c>
      <c r="T13" s="25">
        <f>+'Statistics- Mahe-2011-2021'!U18</f>
        <v>61500</v>
      </c>
      <c r="U13" s="28">
        <f>+'Statistics- Mahe-2011-2021'!V18</f>
        <v>39.29398220083025</v>
      </c>
      <c r="V13" s="27">
        <f t="shared" si="5"/>
        <v>2.7765060433092548</v>
      </c>
      <c r="W13" s="28">
        <f t="shared" si="7"/>
        <v>0.60263179467316053</v>
      </c>
      <c r="X13" s="29">
        <f t="shared" si="8"/>
        <v>0.51303957713348225</v>
      </c>
    </row>
    <row r="14" spans="2:24" ht="20.100000000000001" customHeight="1" thickTop="1" thickBot="1" x14ac:dyDescent="0.25">
      <c r="B14" s="10">
        <v>2021</v>
      </c>
      <c r="C14" s="25">
        <f>+'Energy-Mahe-2021'!D72</f>
        <v>85500</v>
      </c>
      <c r="D14" s="25">
        <f>+'Energy-Mahe-2021'!D73</f>
        <v>6000</v>
      </c>
      <c r="E14" s="25">
        <f>'Energy-Mahe-2021'!D74+'Energy-Mahe-2021'!D76</f>
        <v>11400</v>
      </c>
      <c r="F14" s="25">
        <f t="shared" ref="F14" si="9">SUM(C14:E14)</f>
        <v>102900</v>
      </c>
      <c r="G14" s="25">
        <f>+'Energy-Mahe-2021'!G78</f>
        <v>129600</v>
      </c>
      <c r="H14" s="25">
        <f>+'Energy-Mahe-2021'!H78</f>
        <v>87102737</v>
      </c>
      <c r="I14" s="25">
        <f>+'Energy-Mahe-2021'!I78</f>
        <v>441733</v>
      </c>
      <c r="J14" s="25">
        <f>+'Energy-Mahe-2021'!J78</f>
        <v>378887853</v>
      </c>
      <c r="K14" s="25">
        <f>+'Energy-Mahe-2021'!K73</f>
        <v>5078618</v>
      </c>
      <c r="L14" s="25">
        <f>'Energy-Mahe-2021'!K74+'Energy-Mahe-2021'!K76</f>
        <v>12572219</v>
      </c>
      <c r="M14" s="26">
        <f t="shared" ref="M14" si="10">K14+L14</f>
        <v>17650837</v>
      </c>
      <c r="N14" s="25">
        <f t="shared" ref="N14" si="11">SUM(I14:L14)</f>
        <v>396980423</v>
      </c>
      <c r="O14" s="25">
        <f>+'Energy-Mahe-2021'!L78</f>
        <v>12000107</v>
      </c>
      <c r="P14" s="25">
        <f>+'Energy-Mahe-2021'!M78</f>
        <v>384980316</v>
      </c>
      <c r="Q14" s="25">
        <f>+'Statistics- Mahe-2011-2021'!T19</f>
        <v>363267008</v>
      </c>
      <c r="R14" s="26">
        <f t="shared" ref="R14" si="12">P14-Q14</f>
        <v>21713308</v>
      </c>
      <c r="S14" s="290">
        <f t="shared" ref="S14" si="13">100*R14/P14</f>
        <v>5.6401086231120452</v>
      </c>
      <c r="T14" s="25">
        <f>+'Statistics- Mahe-2011-2021'!U19</f>
        <v>59500</v>
      </c>
      <c r="U14" s="28">
        <f>+'Energy-Mahe-2021'!P72</f>
        <v>39.359402978887417</v>
      </c>
      <c r="V14" s="27">
        <f t="shared" ref="V14" si="14">100*M14/N14</f>
        <v>4.4462739161321316</v>
      </c>
      <c r="W14" s="28">
        <f t="shared" ref="W14" si="15">100*(N14-N13)/N13</f>
        <v>0.3968023978750983</v>
      </c>
      <c r="X14" s="29">
        <f t="shared" ref="X14" si="16">100*(P14-P13)/P13</f>
        <v>0.4560122015466278</v>
      </c>
    </row>
    <row r="15" spans="2:24" ht="24.95" customHeight="1" thickTop="1" thickBot="1" x14ac:dyDescent="0.3">
      <c r="B15" s="425" t="s">
        <v>129</v>
      </c>
      <c r="C15" s="425"/>
      <c r="D15" s="425"/>
      <c r="E15" s="425"/>
      <c r="F15" s="425"/>
      <c r="G15" s="425"/>
      <c r="H15" s="425"/>
      <c r="I15" s="425"/>
      <c r="J15" s="425"/>
      <c r="K15" s="425"/>
      <c r="L15" s="425"/>
      <c r="M15" s="425"/>
      <c r="N15" s="425"/>
      <c r="O15" s="425"/>
      <c r="P15" s="425"/>
      <c r="Q15" s="425"/>
      <c r="R15" s="425"/>
      <c r="S15" s="425"/>
      <c r="T15" s="425"/>
      <c r="U15" s="424"/>
      <c r="V15" s="424"/>
      <c r="W15" s="424"/>
      <c r="X15" s="424"/>
    </row>
    <row r="16" spans="2:24" ht="21.95" customHeight="1" thickTop="1" x14ac:dyDescent="0.2">
      <c r="B16" s="445" t="s">
        <v>0</v>
      </c>
      <c r="C16" s="433" t="s">
        <v>53</v>
      </c>
      <c r="D16" s="446"/>
      <c r="E16" s="434"/>
      <c r="F16" s="428" t="s">
        <v>58</v>
      </c>
      <c r="G16" s="429"/>
      <c r="H16" s="433" t="s">
        <v>38</v>
      </c>
      <c r="I16" s="446"/>
      <c r="J16" s="446"/>
      <c r="K16" s="430" t="s">
        <v>76</v>
      </c>
      <c r="L16" s="431"/>
      <c r="M16" s="432"/>
      <c r="N16" s="435" t="s">
        <v>94</v>
      </c>
      <c r="O16" s="436"/>
      <c r="P16" s="439" t="s">
        <v>41</v>
      </c>
      <c r="Q16" s="447" t="s">
        <v>131</v>
      </c>
      <c r="R16" s="351" t="s">
        <v>30</v>
      </c>
      <c r="S16" s="443" t="s">
        <v>60</v>
      </c>
      <c r="T16" s="444"/>
      <c r="U16" s="291"/>
      <c r="V16" s="292"/>
      <c r="W16" s="293"/>
      <c r="X16" s="293"/>
    </row>
    <row r="17" spans="2:27" ht="21.95" customHeight="1" x14ac:dyDescent="0.2">
      <c r="B17" s="6"/>
      <c r="C17" s="465" t="s">
        <v>50</v>
      </c>
      <c r="D17" s="466" t="s">
        <v>46</v>
      </c>
      <c r="E17" s="465" t="s">
        <v>26</v>
      </c>
      <c r="F17" s="467" t="s">
        <v>54</v>
      </c>
      <c r="G17" s="468"/>
      <c r="H17" s="465" t="s">
        <v>54</v>
      </c>
      <c r="I17" s="465" t="s">
        <v>46</v>
      </c>
      <c r="J17" s="465" t="s">
        <v>26</v>
      </c>
      <c r="K17" s="466" t="s">
        <v>9</v>
      </c>
      <c r="L17" s="466" t="s">
        <v>77</v>
      </c>
      <c r="M17" s="466" t="s">
        <v>93</v>
      </c>
      <c r="N17" s="437"/>
      <c r="O17" s="438"/>
      <c r="P17" s="440"/>
      <c r="Q17" s="448"/>
      <c r="R17" s="352"/>
      <c r="S17" s="449" t="s">
        <v>96</v>
      </c>
      <c r="T17" s="294" t="s">
        <v>59</v>
      </c>
      <c r="U17" s="295"/>
      <c r="V17" s="296"/>
      <c r="W17" s="297"/>
      <c r="X17" s="296"/>
    </row>
    <row r="18" spans="2:27" s="200" customFormat="1" ht="15.95" customHeight="1" thickBot="1" x14ac:dyDescent="0.25">
      <c r="B18" s="450"/>
      <c r="C18" s="451" t="s">
        <v>18</v>
      </c>
      <c r="D18" s="451" t="s">
        <v>56</v>
      </c>
      <c r="E18" s="451" t="s">
        <v>56</v>
      </c>
      <c r="F18" s="460" t="s">
        <v>57</v>
      </c>
      <c r="G18" s="461"/>
      <c r="H18" s="451" t="s">
        <v>20</v>
      </c>
      <c r="I18" s="451" t="s">
        <v>20</v>
      </c>
      <c r="J18" s="451" t="s">
        <v>20</v>
      </c>
      <c r="K18" s="451" t="s">
        <v>20</v>
      </c>
      <c r="L18" s="451" t="s">
        <v>20</v>
      </c>
      <c r="M18" s="451" t="s">
        <v>20</v>
      </c>
      <c r="N18" s="451" t="s">
        <v>20</v>
      </c>
      <c r="O18" s="453" t="s">
        <v>21</v>
      </c>
      <c r="P18" s="451" t="s">
        <v>18</v>
      </c>
      <c r="Q18" s="453" t="s">
        <v>21</v>
      </c>
      <c r="R18" s="453" t="s">
        <v>21</v>
      </c>
      <c r="S18" s="453" t="s">
        <v>21</v>
      </c>
      <c r="T18" s="462" t="s">
        <v>18</v>
      </c>
      <c r="U18" s="463"/>
      <c r="V18" s="464"/>
      <c r="W18" s="464"/>
      <c r="X18" s="464"/>
    </row>
    <row r="19" spans="2:27" ht="20.100000000000001" customHeight="1" thickTop="1" thickBot="1" x14ac:dyDescent="0.25">
      <c r="B19" s="284">
        <v>2013</v>
      </c>
      <c r="C19" s="72">
        <f>+'Energy-Praslin-2021 '!D7</f>
        <v>12800</v>
      </c>
      <c r="D19" s="72">
        <v>0</v>
      </c>
      <c r="E19" s="299">
        <f t="shared" ref="E19:E27" si="17">SUM(C19:D19)</f>
        <v>12800</v>
      </c>
      <c r="F19" s="360">
        <f>+'Energy-Praslin-2021 '!H7</f>
        <v>10796541</v>
      </c>
      <c r="G19" s="361"/>
      <c r="H19" s="300">
        <f>+'Energy-Praslin-2021 '!I7</f>
        <v>39545503</v>
      </c>
      <c r="I19" s="300">
        <v>0</v>
      </c>
      <c r="J19" s="301">
        <f t="shared" ref="J19:J27" si="18">SUM(H19:I19)</f>
        <v>39545503</v>
      </c>
      <c r="K19" s="72">
        <f>+'Energy-Praslin-2021 '!J7</f>
        <v>929315</v>
      </c>
      <c r="L19" s="72">
        <f>+'Energy-Praslin-2021 '!K7</f>
        <v>38616188</v>
      </c>
      <c r="M19" s="72">
        <f>+'Statistics- Praslin-2013-2021'!L7</f>
        <v>33780444</v>
      </c>
      <c r="N19" s="72">
        <f>L19-M19</f>
        <v>4835744</v>
      </c>
      <c r="O19" s="288">
        <f t="shared" ref="O19:O27" si="19">100*N19/L19</f>
        <v>12.522582498303562</v>
      </c>
      <c r="P19" s="302">
        <f>+'Statistics- Praslin-2013-2021'!M7</f>
        <v>7250</v>
      </c>
      <c r="Q19" s="286">
        <f>+'Statistics- Praslin-2013-2021'!N7</f>
        <v>37.460177881199954</v>
      </c>
      <c r="R19" s="303">
        <f>100*I19/J19</f>
        <v>0</v>
      </c>
      <c r="S19" s="303" t="s">
        <v>62</v>
      </c>
      <c r="T19" s="304" t="s">
        <v>62</v>
      </c>
      <c r="U19" s="298"/>
      <c r="V19" s="49"/>
      <c r="W19" s="49"/>
      <c r="X19" s="49"/>
    </row>
    <row r="20" spans="2:27" ht="20.100000000000001" customHeight="1" thickTop="1" thickBot="1" x14ac:dyDescent="0.25">
      <c r="B20" s="277">
        <v>2014</v>
      </c>
      <c r="C20" s="282">
        <f>+'Energy-Praslin-2021 '!D8</f>
        <v>13800</v>
      </c>
      <c r="D20" s="282">
        <f>+'Energy-Praslin-2021 '!D9</f>
        <v>120</v>
      </c>
      <c r="E20" s="305">
        <f t="shared" si="17"/>
        <v>13920</v>
      </c>
      <c r="F20" s="362">
        <f>+'Energy-Praslin-2021 '!H10</f>
        <v>11204306</v>
      </c>
      <c r="G20" s="363"/>
      <c r="H20" s="282">
        <f>+'Energy-Praslin-2021 '!I8</f>
        <v>40806376</v>
      </c>
      <c r="I20" s="282">
        <f>+'Energy-Praslin-2021 '!I9</f>
        <v>77805</v>
      </c>
      <c r="J20" s="305">
        <f t="shared" si="18"/>
        <v>40884181</v>
      </c>
      <c r="K20" s="282">
        <f>+'Energy-Praslin-2021 '!J10</f>
        <v>932578</v>
      </c>
      <c r="L20" s="282">
        <f>+'Energy-Praslin-2021 '!K8</f>
        <v>39873798</v>
      </c>
      <c r="M20" s="282">
        <f>+'Statistics- Praslin-2013-2021'!L8</f>
        <v>33737751</v>
      </c>
      <c r="N20" s="72">
        <f t="shared" ref="N20:N27" si="20">L20-M20</f>
        <v>6136047</v>
      </c>
      <c r="O20" s="288">
        <f t="shared" si="19"/>
        <v>15.388669521774675</v>
      </c>
      <c r="P20" s="306">
        <f>+'Statistics- Praslin-2013-2021'!M8</f>
        <v>8060</v>
      </c>
      <c r="Q20" s="307">
        <f>+'Statistics- Praslin-2013-2021'!N8</f>
        <v>37.24778358774158</v>
      </c>
      <c r="R20" s="303">
        <f t="shared" ref="R20:R26" si="21">100*I20/J20</f>
        <v>0.19030587894129516</v>
      </c>
      <c r="S20" s="308">
        <f>100*(J20-J19)/J19</f>
        <v>3.3851586108286447</v>
      </c>
      <c r="T20" s="283">
        <f t="shared" ref="T20:T27" si="22">100*(L20-L19)/L19</f>
        <v>3.2566912093964322</v>
      </c>
      <c r="U20" s="309"/>
      <c r="V20" s="30"/>
      <c r="W20" s="30"/>
      <c r="X20" s="30"/>
      <c r="AA20" s="2"/>
    </row>
    <row r="21" spans="2:27" ht="20.100000000000001" customHeight="1" thickTop="1" thickBot="1" x14ac:dyDescent="0.25">
      <c r="B21" s="277">
        <v>2015</v>
      </c>
      <c r="C21" s="282">
        <f>+'Energy-Praslin-2021 '!D11</f>
        <v>16300</v>
      </c>
      <c r="D21" s="282">
        <f>+'Energy-Praslin-2021 '!D12</f>
        <v>239</v>
      </c>
      <c r="E21" s="305">
        <f t="shared" si="17"/>
        <v>16539</v>
      </c>
      <c r="F21" s="362">
        <f>+'Energy-Praslin-2021 '!H13</f>
        <v>12269651</v>
      </c>
      <c r="G21" s="363"/>
      <c r="H21" s="282">
        <f>+'Energy-Praslin-2021 '!I11</f>
        <v>44411393</v>
      </c>
      <c r="I21" s="282">
        <f>+'Energy-Praslin-2021 '!I12</f>
        <v>245295</v>
      </c>
      <c r="J21" s="305">
        <f t="shared" si="18"/>
        <v>44656688</v>
      </c>
      <c r="K21" s="282">
        <f>+'Energy-Praslin-2021 '!J13</f>
        <v>1493907</v>
      </c>
      <c r="L21" s="282">
        <f>+'Energy-Praslin-2021 '!K11</f>
        <v>42917486</v>
      </c>
      <c r="M21" s="282">
        <f>+'Statistics- Praslin-2013-2021'!L9</f>
        <v>36969996</v>
      </c>
      <c r="N21" s="72">
        <f t="shared" si="20"/>
        <v>5947490</v>
      </c>
      <c r="O21" s="288">
        <f t="shared" si="19"/>
        <v>13.857964560179504</v>
      </c>
      <c r="P21" s="306">
        <f>+'Statistics- Praslin-2013-2021'!M9</f>
        <v>7700</v>
      </c>
      <c r="Q21" s="307">
        <f>+'Statistics- Praslin-2013-2021'!N9</f>
        <v>37.01856293220802</v>
      </c>
      <c r="R21" s="303">
        <f t="shared" si="21"/>
        <v>0.54929062361274983</v>
      </c>
      <c r="S21" s="308">
        <f t="shared" ref="S21:S27" si="23">100*(J21-J20)/J20</f>
        <v>9.2273023642078087</v>
      </c>
      <c r="T21" s="283">
        <f t="shared" si="22"/>
        <v>7.6333034540627409</v>
      </c>
      <c r="U21" s="309"/>
      <c r="V21" s="30"/>
      <c r="W21" s="30"/>
      <c r="X21" s="30"/>
      <c r="AA21" s="2"/>
    </row>
    <row r="22" spans="2:27" ht="20.100000000000001" customHeight="1" thickTop="1" thickBot="1" x14ac:dyDescent="0.25">
      <c r="B22" s="310">
        <v>2016</v>
      </c>
      <c r="C22" s="311">
        <f>+'Energy-Praslin-2021 '!D14</f>
        <v>16300</v>
      </c>
      <c r="D22" s="311">
        <f>+'Energy-Praslin-2021 '!D15</f>
        <v>347</v>
      </c>
      <c r="E22" s="312">
        <f t="shared" si="17"/>
        <v>16647</v>
      </c>
      <c r="F22" s="353">
        <f>+'Energy-Praslin-2021 '!H16</f>
        <v>12893104</v>
      </c>
      <c r="G22" s="354"/>
      <c r="H22" s="311">
        <f>+'Energy-Praslin-2021 '!I16</f>
        <v>48366687</v>
      </c>
      <c r="I22" s="311">
        <v>394510</v>
      </c>
      <c r="J22" s="312">
        <f t="shared" si="18"/>
        <v>48761197</v>
      </c>
      <c r="K22" s="311">
        <f>+'Energy-Praslin-2021 '!J16</f>
        <v>1107807</v>
      </c>
      <c r="L22" s="311">
        <f>+'Energy-Praslin-2021 '!K14</f>
        <v>46864370</v>
      </c>
      <c r="M22" s="311">
        <f>+'Statistics- Praslin-2013-2021'!L10</f>
        <v>41736760</v>
      </c>
      <c r="N22" s="72">
        <f t="shared" si="20"/>
        <v>5127610</v>
      </c>
      <c r="O22" s="288">
        <f t="shared" si="19"/>
        <v>10.941382547124819</v>
      </c>
      <c r="P22" s="313">
        <f>+'Statistics- Praslin-2013-2021'!M10</f>
        <v>8200</v>
      </c>
      <c r="Q22" s="314">
        <f>+'Statistics- Praslin-2013-2021'!N10</f>
        <v>38.053035938934578</v>
      </c>
      <c r="R22" s="303">
        <f t="shared" si="21"/>
        <v>0.80906545423813114</v>
      </c>
      <c r="S22" s="308">
        <f t="shared" si="23"/>
        <v>9.1912526070003224</v>
      </c>
      <c r="T22" s="315">
        <f t="shared" si="22"/>
        <v>9.1964473408344567</v>
      </c>
      <c r="AA22" s="2"/>
    </row>
    <row r="23" spans="2:27" ht="20.100000000000001" customHeight="1" thickTop="1" thickBot="1" x14ac:dyDescent="0.25">
      <c r="B23" s="310">
        <v>2017</v>
      </c>
      <c r="C23" s="311">
        <f>+'Energy-Praslin-2021 '!D17</f>
        <v>16300</v>
      </c>
      <c r="D23" s="311">
        <f>+'Energy-Praslin-2021 '!D18</f>
        <v>523</v>
      </c>
      <c r="E23" s="312">
        <f t="shared" si="17"/>
        <v>16823</v>
      </c>
      <c r="F23" s="353">
        <f>+'Energy-Praslin-2021 '!H19</f>
        <v>13677902</v>
      </c>
      <c r="G23" s="354"/>
      <c r="H23" s="311">
        <f>+'Energy-Praslin-2021 '!I17</f>
        <v>50902992</v>
      </c>
      <c r="I23" s="311">
        <f>+'Energy-Praslin-2021 '!I18</f>
        <v>603211</v>
      </c>
      <c r="J23" s="312">
        <f t="shared" si="18"/>
        <v>51506203</v>
      </c>
      <c r="K23" s="311">
        <f>+'Energy-Praslin-2021 '!J19</f>
        <v>1178606</v>
      </c>
      <c r="L23" s="311">
        <f>+'Energy-Praslin-2021 '!K19</f>
        <v>50327597</v>
      </c>
      <c r="M23" s="311">
        <f>+'Statistics- Praslin-2013-2021'!L11</f>
        <v>45023696.719999999</v>
      </c>
      <c r="N23" s="72">
        <f t="shared" si="20"/>
        <v>5303900.2800000012</v>
      </c>
      <c r="O23" s="288">
        <f t="shared" si="19"/>
        <v>10.53875129384779</v>
      </c>
      <c r="P23" s="313">
        <f>+'Statistics- Praslin-2013-2021'!M11</f>
        <v>8680</v>
      </c>
      <c r="Q23" s="314">
        <f>+'Statistics- Praslin-2013-2021'!N11</f>
        <v>38.059035445749458</v>
      </c>
      <c r="R23" s="303">
        <f t="shared" si="21"/>
        <v>1.1711424350189432</v>
      </c>
      <c r="S23" s="308">
        <f t="shared" si="23"/>
        <v>5.6294885459846276</v>
      </c>
      <c r="T23" s="315">
        <f t="shared" si="22"/>
        <v>7.3898934307662731</v>
      </c>
      <c r="AA23" s="2"/>
    </row>
    <row r="24" spans="2:27" ht="20.100000000000001" customHeight="1" thickTop="1" thickBot="1" x14ac:dyDescent="0.25">
      <c r="B24" s="277">
        <v>2018</v>
      </c>
      <c r="C24" s="282">
        <f>+'Energy-Praslin-2021 '!D20</f>
        <v>16300</v>
      </c>
      <c r="D24" s="282">
        <f>+'Energy-Praslin-2021 '!D21</f>
        <v>604</v>
      </c>
      <c r="E24" s="312">
        <f t="shared" si="17"/>
        <v>16904</v>
      </c>
      <c r="F24" s="362">
        <f>+'Energy-Praslin-2021 '!H22</f>
        <v>13685281</v>
      </c>
      <c r="G24" s="363"/>
      <c r="H24" s="282">
        <f>+'Energy-Praslin-2021 '!I20</f>
        <v>50737907</v>
      </c>
      <c r="I24" s="282">
        <f>+'Energy-Praslin-2021 '!I21</f>
        <v>615017</v>
      </c>
      <c r="J24" s="312">
        <f t="shared" si="18"/>
        <v>51352924</v>
      </c>
      <c r="K24" s="282">
        <f>+'Energy-Praslin-2021 '!J22</f>
        <v>1347084</v>
      </c>
      <c r="L24" s="282">
        <f>+'Energy-Praslin-2021 '!K22</f>
        <v>50005840</v>
      </c>
      <c r="M24" s="282">
        <f>+'Statistics- Praslin-2013-2021'!L12</f>
        <v>44358770</v>
      </c>
      <c r="N24" s="72">
        <f t="shared" si="20"/>
        <v>5647070</v>
      </c>
      <c r="O24" s="288">
        <f t="shared" si="19"/>
        <v>11.292820998507374</v>
      </c>
      <c r="P24" s="316">
        <f>+'Statistics- Praslin-2013-2021'!M12</f>
        <v>9050</v>
      </c>
      <c r="Q24" s="307">
        <f>+'Statistics- Praslin-2013-2021'!N12</f>
        <v>37.925314238537041</v>
      </c>
      <c r="R24" s="303">
        <f t="shared" si="21"/>
        <v>1.1976280065376608</v>
      </c>
      <c r="S24" s="488">
        <f t="shared" si="23"/>
        <v>-0.29759328211400093</v>
      </c>
      <c r="T24" s="489">
        <f t="shared" si="22"/>
        <v>-0.63932517978158188</v>
      </c>
      <c r="AA24" s="2"/>
    </row>
    <row r="25" spans="2:27" ht="20.100000000000001" customHeight="1" thickTop="1" thickBot="1" x14ac:dyDescent="0.25">
      <c r="B25" s="284">
        <v>2019</v>
      </c>
      <c r="C25" s="285">
        <f>+'Energy-Praslin-2021 '!D23</f>
        <v>16300</v>
      </c>
      <c r="D25" s="285">
        <f>+'Statistics- Praslin-2013-2021'!D13</f>
        <v>738</v>
      </c>
      <c r="E25" s="300">
        <f t="shared" si="17"/>
        <v>17038</v>
      </c>
      <c r="F25" s="360">
        <f>+'Energy-Praslin-2021 '!H25</f>
        <v>14684368</v>
      </c>
      <c r="G25" s="361"/>
      <c r="H25" s="285">
        <f>+'Statistics- Praslin-2013-2021'!I13</f>
        <v>54262320</v>
      </c>
      <c r="I25" s="285">
        <f>+'Statistics- Praslin-2013-2021'!H13</f>
        <v>623149</v>
      </c>
      <c r="J25" s="300">
        <f t="shared" si="18"/>
        <v>54885469</v>
      </c>
      <c r="K25" s="285">
        <f>+'Energy-Praslin-2021 '!J25</f>
        <v>1280308</v>
      </c>
      <c r="L25" s="52">
        <f>+'Energy-Praslin-2021 '!K25</f>
        <v>52358863</v>
      </c>
      <c r="M25" s="285">
        <f>+'Statistics- Praslin-2013-2021'!L13</f>
        <v>46056670</v>
      </c>
      <c r="N25" s="72">
        <f t="shared" si="20"/>
        <v>6302193</v>
      </c>
      <c r="O25" s="288">
        <f t="shared" si="19"/>
        <v>12.036535247146219</v>
      </c>
      <c r="P25" s="317">
        <f>+'Statistics- Praslin-2013-2021'!M13</f>
        <v>9880</v>
      </c>
      <c r="Q25" s="318">
        <f>+'Statistics- Praslin-2013-2021'!N13</f>
        <v>36.918540823441738</v>
      </c>
      <c r="R25" s="303">
        <f t="shared" si="21"/>
        <v>1.1353624399201181</v>
      </c>
      <c r="S25" s="319">
        <f t="shared" si="23"/>
        <v>6.8789559091124</v>
      </c>
      <c r="T25" s="289">
        <f t="shared" si="22"/>
        <v>4.7054963980207116</v>
      </c>
      <c r="AA25" s="2"/>
    </row>
    <row r="26" spans="2:27" ht="20.100000000000001" customHeight="1" thickTop="1" thickBot="1" x14ac:dyDescent="0.25">
      <c r="B26" s="277">
        <v>2020</v>
      </c>
      <c r="C26" s="282">
        <f>+'Energy-Praslin-2021 '!D28</f>
        <v>16300</v>
      </c>
      <c r="D26" s="282">
        <f>+'Statistics- Praslin-2013-2021'!D14</f>
        <v>794</v>
      </c>
      <c r="E26" s="305">
        <f t="shared" si="17"/>
        <v>17094</v>
      </c>
      <c r="F26" s="422">
        <f>+'Statistics- Praslin-2013-2021'!F14</f>
        <v>12513446</v>
      </c>
      <c r="G26" s="422"/>
      <c r="H26" s="282">
        <f>+'Statistics- Praslin-2013-2021'!G14</f>
        <v>45696625</v>
      </c>
      <c r="I26" s="282">
        <f>+'Statistics- Praslin-2013-2021'!H14</f>
        <v>726338</v>
      </c>
      <c r="J26" s="305">
        <f t="shared" si="18"/>
        <v>46422963</v>
      </c>
      <c r="K26" s="282">
        <f>+'Statistics- Praslin-2013-2021'!J14</f>
        <v>952293</v>
      </c>
      <c r="L26" s="282">
        <f>+'Statistics- Praslin-2013-2021'!K14</f>
        <v>44744332</v>
      </c>
      <c r="M26" s="282">
        <f>+'Statistics- Praslin-2013-2021'!L14</f>
        <v>41030104</v>
      </c>
      <c r="N26" s="278">
        <f t="shared" si="20"/>
        <v>3714228</v>
      </c>
      <c r="O26" s="280">
        <f t="shared" si="19"/>
        <v>8.3010022364396896</v>
      </c>
      <c r="P26" s="481">
        <f>+'Statistics- Praslin-2013-2021'!M14</f>
        <v>9470</v>
      </c>
      <c r="Q26" s="482">
        <f>+'Statistics- Praslin-2013-2021'!N14</f>
        <v>37.495026303480806</v>
      </c>
      <c r="R26" s="280">
        <f t="shared" si="21"/>
        <v>1.5646093076824932</v>
      </c>
      <c r="S26" s="483">
        <f t="shared" si="23"/>
        <v>-15.418481711434405</v>
      </c>
      <c r="T26" s="484">
        <f t="shared" si="22"/>
        <v>-14.542964769880507</v>
      </c>
      <c r="AA26" s="2"/>
    </row>
    <row r="27" spans="2:27" ht="20.100000000000001" customHeight="1" thickTop="1" thickBot="1" x14ac:dyDescent="0.25">
      <c r="B27" s="277">
        <v>2021</v>
      </c>
      <c r="C27" s="282">
        <f>+'Energy-Praslin-2021 '!D34</f>
        <v>19300</v>
      </c>
      <c r="D27" s="282">
        <f>+'Energy-Praslin-2021 '!D37</f>
        <v>1013</v>
      </c>
      <c r="E27" s="344">
        <f t="shared" si="17"/>
        <v>20313</v>
      </c>
      <c r="F27" s="362">
        <f>+'Energy-Praslin-2021 '!H38</f>
        <v>12318190</v>
      </c>
      <c r="G27" s="363"/>
      <c r="H27" s="282">
        <f>+'Energy-Praslin-2021 '!I34</f>
        <v>44789357</v>
      </c>
      <c r="I27" s="282">
        <f>+'Energy-Praslin-2021 '!I37</f>
        <v>970701</v>
      </c>
      <c r="J27" s="344">
        <f t="shared" si="18"/>
        <v>45760058</v>
      </c>
      <c r="K27" s="282">
        <f>+'Energy-Praslin-2021 '!J38</f>
        <v>960089</v>
      </c>
      <c r="L27" s="25">
        <f>+'Statistics- Praslin-2013-2021'!K15</f>
        <v>44620118</v>
      </c>
      <c r="M27" s="282">
        <f>+'Statistics- Praslin-2013-2021'!L15</f>
        <v>38390814</v>
      </c>
      <c r="N27" s="26">
        <f t="shared" si="20"/>
        <v>6229304</v>
      </c>
      <c r="O27" s="27">
        <f t="shared" si="19"/>
        <v>13.960751963945949</v>
      </c>
      <c r="P27" s="481">
        <f>+'Energy-Praslin-2021 '!F38</f>
        <v>8690</v>
      </c>
      <c r="Q27" s="482">
        <f>+'Statistics- Praslin-2013-2021'!N15</f>
        <v>36.752108857594834</v>
      </c>
      <c r="R27" s="280">
        <f>+'Statistics- Praslin-2013-2021'!T15</f>
        <v>2.0852461137814968</v>
      </c>
      <c r="S27" s="485">
        <f t="shared" si="23"/>
        <v>-1.4279678787413892</v>
      </c>
      <c r="T27" s="486">
        <f t="shared" si="22"/>
        <v>-0.27760834601352413</v>
      </c>
      <c r="AA27" s="2"/>
    </row>
    <row r="28" spans="2:27" ht="24.95" customHeight="1" thickTop="1" thickBot="1" x14ac:dyDescent="0.3">
      <c r="B28" s="423" t="s">
        <v>128</v>
      </c>
      <c r="C28" s="423"/>
      <c r="D28" s="423"/>
      <c r="E28" s="423"/>
      <c r="F28" s="423"/>
      <c r="G28" s="423"/>
      <c r="H28" s="423"/>
      <c r="I28" s="423"/>
      <c r="J28" s="423"/>
      <c r="K28" s="423"/>
      <c r="L28" s="423"/>
      <c r="M28" s="423"/>
      <c r="N28" s="423"/>
      <c r="O28" s="423"/>
      <c r="P28" s="423"/>
      <c r="Q28" s="423"/>
      <c r="R28" s="423"/>
      <c r="S28" s="423"/>
      <c r="T28" s="423"/>
      <c r="U28" s="423"/>
      <c r="V28" s="423"/>
      <c r="W28" s="423"/>
      <c r="X28" s="292"/>
    </row>
    <row r="29" spans="2:27" s="200" customFormat="1" ht="21.95" customHeight="1" thickTop="1" x14ac:dyDescent="0.2">
      <c r="B29" s="470" t="s">
        <v>0</v>
      </c>
      <c r="C29" s="471" t="s">
        <v>53</v>
      </c>
      <c r="D29" s="471"/>
      <c r="E29" s="471"/>
      <c r="F29" s="471"/>
      <c r="G29" s="472" t="s">
        <v>58</v>
      </c>
      <c r="H29" s="472"/>
      <c r="I29" s="471" t="s">
        <v>38</v>
      </c>
      <c r="J29" s="471"/>
      <c r="K29" s="471"/>
      <c r="L29" s="471"/>
      <c r="M29" s="471"/>
      <c r="N29" s="471"/>
      <c r="O29" s="473" t="s">
        <v>76</v>
      </c>
      <c r="P29" s="473"/>
      <c r="Q29" s="473"/>
      <c r="R29" s="473"/>
      <c r="S29" s="474" t="s">
        <v>107</v>
      </c>
      <c r="T29" s="473" t="s">
        <v>108</v>
      </c>
      <c r="U29" s="473"/>
      <c r="V29" s="473"/>
      <c r="W29" s="475" t="s">
        <v>109</v>
      </c>
      <c r="X29" s="364"/>
    </row>
    <row r="30" spans="2:27" ht="23.1" customHeight="1" x14ac:dyDescent="0.2">
      <c r="B30" s="6"/>
      <c r="C30" s="457" t="s">
        <v>50</v>
      </c>
      <c r="D30" s="457" t="s">
        <v>51</v>
      </c>
      <c r="E30" s="459" t="s">
        <v>46</v>
      </c>
      <c r="F30" s="457" t="s">
        <v>26</v>
      </c>
      <c r="G30" s="457" t="s">
        <v>54</v>
      </c>
      <c r="H30" s="457" t="s">
        <v>55</v>
      </c>
      <c r="I30" s="457" t="s">
        <v>54</v>
      </c>
      <c r="J30" s="457" t="s">
        <v>55</v>
      </c>
      <c r="K30" s="457" t="s">
        <v>51</v>
      </c>
      <c r="L30" s="459" t="s">
        <v>46</v>
      </c>
      <c r="M30" s="457" t="s">
        <v>26</v>
      </c>
      <c r="N30" s="459" t="s">
        <v>9</v>
      </c>
      <c r="O30" s="459" t="s">
        <v>77</v>
      </c>
      <c r="P30" s="459" t="s">
        <v>93</v>
      </c>
      <c r="Q30" s="476" t="s">
        <v>94</v>
      </c>
      <c r="R30" s="476"/>
      <c r="S30" s="477"/>
      <c r="T30" s="449" t="s">
        <v>96</v>
      </c>
      <c r="U30" s="478" t="s">
        <v>59</v>
      </c>
      <c r="V30" s="479" t="s">
        <v>65</v>
      </c>
      <c r="W30" s="480"/>
      <c r="X30" s="364"/>
    </row>
    <row r="31" spans="2:27" s="200" customFormat="1" ht="15.95" customHeight="1" thickBot="1" x14ac:dyDescent="0.25">
      <c r="B31" s="450"/>
      <c r="C31" s="451" t="s">
        <v>18</v>
      </c>
      <c r="D31" s="451" t="s">
        <v>18</v>
      </c>
      <c r="E31" s="451" t="s">
        <v>18</v>
      </c>
      <c r="F31" s="451" t="s">
        <v>18</v>
      </c>
      <c r="G31" s="451" t="s">
        <v>57</v>
      </c>
      <c r="H31" s="451" t="s">
        <v>57</v>
      </c>
      <c r="I31" s="451" t="s">
        <v>20</v>
      </c>
      <c r="J31" s="451" t="s">
        <v>20</v>
      </c>
      <c r="K31" s="451" t="s">
        <v>20</v>
      </c>
      <c r="L31" s="451" t="s">
        <v>20</v>
      </c>
      <c r="M31" s="451" t="s">
        <v>20</v>
      </c>
      <c r="N31" s="451" t="s">
        <v>20</v>
      </c>
      <c r="O31" s="451" t="s">
        <v>20</v>
      </c>
      <c r="P31" s="451" t="s">
        <v>20</v>
      </c>
      <c r="Q31" s="451" t="s">
        <v>20</v>
      </c>
      <c r="R31" s="451" t="s">
        <v>21</v>
      </c>
      <c r="S31" s="451" t="s">
        <v>18</v>
      </c>
      <c r="T31" s="451" t="s">
        <v>21</v>
      </c>
      <c r="U31" s="469" t="s">
        <v>21</v>
      </c>
      <c r="V31" s="469" t="s">
        <v>21</v>
      </c>
      <c r="W31" s="454" t="s">
        <v>21</v>
      </c>
      <c r="X31" s="463"/>
    </row>
    <row r="32" spans="2:27" ht="20.100000000000001" customHeight="1" thickTop="1" thickBot="1" x14ac:dyDescent="0.25">
      <c r="B32" s="284">
        <v>2013</v>
      </c>
      <c r="C32" s="72">
        <f>C6+C19</f>
        <v>82300</v>
      </c>
      <c r="D32" s="285">
        <v>6000</v>
      </c>
      <c r="E32" s="72">
        <f>E6+D19</f>
        <v>0</v>
      </c>
      <c r="F32" s="72">
        <f t="shared" ref="F32:F39" si="24">SUM(C32:E32)</f>
        <v>88300</v>
      </c>
      <c r="G32" s="72">
        <f>G6+F19</f>
        <v>11213931</v>
      </c>
      <c r="H32" s="72">
        <f>+H6</f>
        <v>71011498</v>
      </c>
      <c r="I32" s="72">
        <f>I6+H19</f>
        <v>40928597</v>
      </c>
      <c r="J32" s="72">
        <f>+J6</f>
        <v>306345004</v>
      </c>
      <c r="K32" s="320">
        <f>+K6</f>
        <v>6951050</v>
      </c>
      <c r="L32" s="72">
        <f>L6+I19</f>
        <v>0</v>
      </c>
      <c r="M32" s="72">
        <f>SUM(I32:L32)</f>
        <v>354224651</v>
      </c>
      <c r="N32" s="72">
        <f>O6+K19</f>
        <v>10861160</v>
      </c>
      <c r="O32" s="72">
        <f>M32-N32</f>
        <v>343363491</v>
      </c>
      <c r="P32" s="72">
        <f>Q6+M19</f>
        <v>306819277</v>
      </c>
      <c r="Q32" s="72">
        <f>O32-P32</f>
        <v>36544214</v>
      </c>
      <c r="R32" s="286">
        <f>100*Q32/O32</f>
        <v>10.643010965892119</v>
      </c>
      <c r="S32" s="72">
        <f>T6+P19</f>
        <v>57150</v>
      </c>
      <c r="T32" s="72" t="s">
        <v>62</v>
      </c>
      <c r="U32" s="287" t="s">
        <v>62</v>
      </c>
      <c r="V32" s="287" t="s">
        <v>62</v>
      </c>
      <c r="W32" s="281">
        <f>100*(K32+L32)/M32</f>
        <v>1.9623281384784257</v>
      </c>
      <c r="X32" s="321"/>
      <c r="AA32" s="2"/>
    </row>
    <row r="33" spans="2:27" ht="20.100000000000001" customHeight="1" thickTop="1" thickBot="1" x14ac:dyDescent="0.25">
      <c r="B33" s="284">
        <v>2014</v>
      </c>
      <c r="C33" s="72">
        <f>C7+C20</f>
        <v>83300</v>
      </c>
      <c r="D33" s="285">
        <v>6000</v>
      </c>
      <c r="E33" s="72">
        <f>E7+D20</f>
        <v>765</v>
      </c>
      <c r="F33" s="285">
        <f t="shared" si="24"/>
        <v>90065</v>
      </c>
      <c r="G33" s="72">
        <f>G7+F20</f>
        <v>11385571</v>
      </c>
      <c r="H33" s="285">
        <f>+H7</f>
        <v>72099648</v>
      </c>
      <c r="I33" s="72">
        <f>I7+H20</f>
        <v>41416874</v>
      </c>
      <c r="J33" s="285">
        <f>+J7</f>
        <v>313464712</v>
      </c>
      <c r="K33" s="285">
        <f>+K7</f>
        <v>7090810</v>
      </c>
      <c r="L33" s="72">
        <f>L7+I20</f>
        <v>471203</v>
      </c>
      <c r="M33" s="72">
        <f t="shared" ref="M33:M39" si="25">SUM(I33:L33)</f>
        <v>362443599</v>
      </c>
      <c r="N33" s="72">
        <f>O7+K20</f>
        <v>11505982</v>
      </c>
      <c r="O33" s="72">
        <f t="shared" ref="O33:O40" si="26">M33-N33</f>
        <v>350937617</v>
      </c>
      <c r="P33" s="72">
        <f>Q7+M20</f>
        <v>312581209</v>
      </c>
      <c r="Q33" s="72">
        <f t="shared" ref="Q33:Q39" si="27">O33-P33</f>
        <v>38356408</v>
      </c>
      <c r="R33" s="286">
        <f>100*Q33/O33</f>
        <v>10.929694094321043</v>
      </c>
      <c r="S33" s="72">
        <f>T7+P20</f>
        <v>58960</v>
      </c>
      <c r="T33" s="286">
        <f>100*(M33-M32)/M32</f>
        <v>2.3202642664188833</v>
      </c>
      <c r="U33" s="287">
        <f>100*(O33-O32)/O32</f>
        <v>2.2058623582668551</v>
      </c>
      <c r="V33" s="287">
        <f>100*(P33-P32)/P32</f>
        <v>1.8779563188919188</v>
      </c>
      <c r="W33" s="281">
        <f t="shared" ref="W33:W39" si="28">100*(K33+L33)/M33</f>
        <v>2.0863971721018033</v>
      </c>
      <c r="X33" s="309"/>
    </row>
    <row r="34" spans="2:27" ht="20.100000000000001" customHeight="1" thickTop="1" thickBot="1" x14ac:dyDescent="0.25">
      <c r="B34" s="277">
        <v>2015</v>
      </c>
      <c r="C34" s="278">
        <f>C8+C21</f>
        <v>85800</v>
      </c>
      <c r="D34" s="282">
        <v>6000</v>
      </c>
      <c r="E34" s="278">
        <f>E8+D21</f>
        <v>1354</v>
      </c>
      <c r="F34" s="282">
        <f t="shared" si="24"/>
        <v>93154</v>
      </c>
      <c r="G34" s="278">
        <f>G8+F21</f>
        <v>12576469</v>
      </c>
      <c r="H34" s="282">
        <f>+H8</f>
        <v>74509574</v>
      </c>
      <c r="I34" s="278">
        <f>I8+H21</f>
        <v>45423843</v>
      </c>
      <c r="J34" s="282">
        <f>+J8</f>
        <v>323871385</v>
      </c>
      <c r="K34" s="282">
        <f>+K8</f>
        <v>6795420</v>
      </c>
      <c r="L34" s="278">
        <f>L8+I21</f>
        <v>1541204</v>
      </c>
      <c r="M34" s="72">
        <f t="shared" si="25"/>
        <v>377631852</v>
      </c>
      <c r="N34" s="72">
        <f>O8+K21</f>
        <v>12350650</v>
      </c>
      <c r="O34" s="72">
        <f t="shared" si="26"/>
        <v>365281202</v>
      </c>
      <c r="P34" s="72">
        <f>Q8+M21</f>
        <v>324221458</v>
      </c>
      <c r="Q34" s="72">
        <f t="shared" si="27"/>
        <v>41059744</v>
      </c>
      <c r="R34" s="286">
        <f t="shared" ref="R34:R39" si="29">100*Q34/O34</f>
        <v>11.240585000046075</v>
      </c>
      <c r="S34" s="72">
        <f>T8+P21</f>
        <v>60900</v>
      </c>
      <c r="T34" s="286">
        <f t="shared" ref="T34:T39" si="30">100*(M34-M33)/M33</f>
        <v>4.1905148944291328</v>
      </c>
      <c r="U34" s="287">
        <f t="shared" ref="U34:U39" si="31">100*(O34-O33)/O33</f>
        <v>4.087217871545529</v>
      </c>
      <c r="V34" s="287">
        <f t="shared" ref="V34:V39" si="32">100*(P34-P33)/P33</f>
        <v>3.7239119514698658</v>
      </c>
      <c r="W34" s="281">
        <f t="shared" si="28"/>
        <v>2.2076061528835234</v>
      </c>
      <c r="X34" s="309"/>
    </row>
    <row r="35" spans="2:27" ht="20.100000000000001" customHeight="1" thickTop="1" thickBot="1" x14ac:dyDescent="0.25">
      <c r="B35" s="310">
        <v>2016</v>
      </c>
      <c r="C35" s="322">
        <f>C9+C22</f>
        <v>101800</v>
      </c>
      <c r="D35" s="311">
        <v>6000</v>
      </c>
      <c r="E35" s="322">
        <f>E9+D22</f>
        <v>2057</v>
      </c>
      <c r="F35" s="311">
        <f t="shared" si="24"/>
        <v>109857</v>
      </c>
      <c r="G35" s="322">
        <f>G9+F22</f>
        <v>13072538</v>
      </c>
      <c r="H35" s="311">
        <f>+H9</f>
        <v>80704838</v>
      </c>
      <c r="I35" s="322">
        <f>I9+H22</f>
        <v>48928287</v>
      </c>
      <c r="J35" s="311">
        <f>+J9</f>
        <v>351586215</v>
      </c>
      <c r="K35" s="311">
        <f>+K9</f>
        <v>6856893</v>
      </c>
      <c r="L35" s="322">
        <f>L9+I22</f>
        <v>2299040</v>
      </c>
      <c r="M35" s="72">
        <f t="shared" si="25"/>
        <v>409670435</v>
      </c>
      <c r="N35" s="72">
        <f>O9+K22</f>
        <v>11946123</v>
      </c>
      <c r="O35" s="72">
        <f t="shared" si="26"/>
        <v>397724312</v>
      </c>
      <c r="P35" s="72">
        <f>Q9+M22</f>
        <v>365884338</v>
      </c>
      <c r="Q35" s="72">
        <f t="shared" si="27"/>
        <v>31839974</v>
      </c>
      <c r="R35" s="286">
        <f t="shared" si="29"/>
        <v>8.0055387712883892</v>
      </c>
      <c r="S35" s="72">
        <f>T9+P22</f>
        <v>65100</v>
      </c>
      <c r="T35" s="286">
        <f t="shared" si="30"/>
        <v>8.4840785623136465</v>
      </c>
      <c r="U35" s="287">
        <f t="shared" si="31"/>
        <v>8.8816806948636788</v>
      </c>
      <c r="V35" s="287">
        <f t="shared" si="32"/>
        <v>12.850130357503975</v>
      </c>
      <c r="W35" s="281">
        <f t="shared" si="28"/>
        <v>2.2349508819204882</v>
      </c>
      <c r="X35" s="309"/>
    </row>
    <row r="36" spans="2:27" ht="20.100000000000001" customHeight="1" thickTop="1" thickBot="1" x14ac:dyDescent="0.25">
      <c r="B36" s="310">
        <v>2017</v>
      </c>
      <c r="C36" s="322">
        <f>C10+C23</f>
        <v>101800</v>
      </c>
      <c r="D36" s="311">
        <v>6000</v>
      </c>
      <c r="E36" s="322">
        <f>E10+D23</f>
        <v>2629</v>
      </c>
      <c r="F36" s="311">
        <f t="shared" si="24"/>
        <v>110429</v>
      </c>
      <c r="G36" s="322">
        <f>G10+F23</f>
        <v>13800184</v>
      </c>
      <c r="H36" s="311">
        <f>+H10</f>
        <v>82515694</v>
      </c>
      <c r="I36" s="322">
        <f>I10+H23</f>
        <v>51286619</v>
      </c>
      <c r="J36" s="311">
        <f>+J10</f>
        <v>362943269</v>
      </c>
      <c r="K36" s="311">
        <f>+K10</f>
        <v>6616620</v>
      </c>
      <c r="L36" s="322">
        <f>L10+I23</f>
        <v>2981765</v>
      </c>
      <c r="M36" s="72">
        <f t="shared" si="25"/>
        <v>423828273</v>
      </c>
      <c r="N36" s="72">
        <f>O10+K23</f>
        <v>12023601</v>
      </c>
      <c r="O36" s="72">
        <f t="shared" si="26"/>
        <v>411804672</v>
      </c>
      <c r="P36" s="72">
        <f>Q10+M23</f>
        <v>381495466.35000002</v>
      </c>
      <c r="Q36" s="72">
        <f t="shared" si="27"/>
        <v>30309205.649999976</v>
      </c>
      <c r="R36" s="286">
        <f t="shared" si="29"/>
        <v>7.3600927116242083</v>
      </c>
      <c r="S36" s="72">
        <f>T10+P23</f>
        <v>67580</v>
      </c>
      <c r="T36" s="286">
        <f t="shared" si="30"/>
        <v>3.4559091382808722</v>
      </c>
      <c r="U36" s="287">
        <f t="shared" si="31"/>
        <v>3.5402311538853075</v>
      </c>
      <c r="V36" s="287">
        <f t="shared" si="32"/>
        <v>4.2666839568301018</v>
      </c>
      <c r="W36" s="281">
        <f t="shared" si="28"/>
        <v>2.2646872829080942</v>
      </c>
      <c r="X36" s="309"/>
      <c r="AA36" s="2"/>
    </row>
    <row r="37" spans="2:27" ht="20.100000000000001" customHeight="1" thickTop="1" thickBot="1" x14ac:dyDescent="0.25">
      <c r="B37" s="310">
        <v>2018</v>
      </c>
      <c r="C37" s="322">
        <f>C11+C24</f>
        <v>101800</v>
      </c>
      <c r="D37" s="311">
        <v>6000</v>
      </c>
      <c r="E37" s="322">
        <f>E11+D24</f>
        <v>3894</v>
      </c>
      <c r="F37" s="311">
        <f t="shared" si="24"/>
        <v>111694</v>
      </c>
      <c r="G37" s="322">
        <f>G11+F24</f>
        <v>13843138</v>
      </c>
      <c r="H37" s="311">
        <f>+H11</f>
        <v>84100068</v>
      </c>
      <c r="I37" s="322">
        <f>I11+H24</f>
        <v>51289881</v>
      </c>
      <c r="J37" s="311">
        <f>+J11</f>
        <v>365606600</v>
      </c>
      <c r="K37" s="311">
        <f>+K11</f>
        <v>7392410</v>
      </c>
      <c r="L37" s="322">
        <f>L11+I24</f>
        <v>3534813</v>
      </c>
      <c r="M37" s="72">
        <f t="shared" si="25"/>
        <v>427823704</v>
      </c>
      <c r="N37" s="72">
        <f>O11+K24</f>
        <v>12153467</v>
      </c>
      <c r="O37" s="72">
        <f t="shared" si="26"/>
        <v>415670237</v>
      </c>
      <c r="P37" s="72">
        <f>Q11+M24</f>
        <v>386033371</v>
      </c>
      <c r="Q37" s="72">
        <f t="shared" si="27"/>
        <v>29636866</v>
      </c>
      <c r="R37" s="286">
        <f t="shared" si="29"/>
        <v>7.1298985017298699</v>
      </c>
      <c r="S37" s="72">
        <f>T11+P24</f>
        <v>67450</v>
      </c>
      <c r="T37" s="286">
        <f t="shared" si="30"/>
        <v>0.94270044131765607</v>
      </c>
      <c r="U37" s="287">
        <f t="shared" si="31"/>
        <v>0.93868896174155114</v>
      </c>
      <c r="V37" s="287">
        <f t="shared" si="32"/>
        <v>1.1895042144057122</v>
      </c>
      <c r="W37" s="281">
        <f t="shared" si="28"/>
        <v>2.5541415535965721</v>
      </c>
      <c r="X37" s="309"/>
    </row>
    <row r="38" spans="2:27" ht="20.100000000000001" customHeight="1" thickTop="1" thickBot="1" x14ac:dyDescent="0.25">
      <c r="B38" s="284">
        <v>2019</v>
      </c>
      <c r="C38" s="285">
        <f>+C25+C12</f>
        <v>101800</v>
      </c>
      <c r="D38" s="285">
        <f>+D37</f>
        <v>6000</v>
      </c>
      <c r="E38" s="285">
        <f>D25+E12</f>
        <v>4378</v>
      </c>
      <c r="F38" s="323">
        <f t="shared" si="24"/>
        <v>112178</v>
      </c>
      <c r="G38" s="285">
        <f>F25+G12</f>
        <v>14847365</v>
      </c>
      <c r="H38" s="285">
        <f>+H12</f>
        <v>88191028</v>
      </c>
      <c r="I38" s="285">
        <f>H25+I12</f>
        <v>54795070</v>
      </c>
      <c r="J38" s="285">
        <f>+J12</f>
        <v>384215952</v>
      </c>
      <c r="K38" s="285">
        <f>+K12</f>
        <v>4884428</v>
      </c>
      <c r="L38" s="285">
        <f>I25+L12</f>
        <v>4032839</v>
      </c>
      <c r="M38" s="72">
        <f t="shared" si="25"/>
        <v>447928289</v>
      </c>
      <c r="N38" s="72">
        <f>O12+K25</f>
        <v>13046500</v>
      </c>
      <c r="O38" s="72">
        <f t="shared" si="26"/>
        <v>434881789</v>
      </c>
      <c r="P38" s="72">
        <f>Q12+M25</f>
        <v>400339942</v>
      </c>
      <c r="Q38" s="72">
        <f t="shared" si="27"/>
        <v>34541847</v>
      </c>
      <c r="R38" s="286">
        <f t="shared" si="29"/>
        <v>7.9428129376095811</v>
      </c>
      <c r="S38" s="72">
        <f>T12+P25</f>
        <v>69880</v>
      </c>
      <c r="T38" s="286">
        <f t="shared" si="30"/>
        <v>4.6992686034058551</v>
      </c>
      <c r="U38" s="287">
        <f t="shared" si="31"/>
        <v>4.6218252571208271</v>
      </c>
      <c r="V38" s="287">
        <f t="shared" si="32"/>
        <v>3.7060451439572564</v>
      </c>
      <c r="W38" s="281">
        <f t="shared" si="28"/>
        <v>1.9907800464908794</v>
      </c>
      <c r="X38" s="309"/>
    </row>
    <row r="39" spans="2:27" ht="20.100000000000001" customHeight="1" thickTop="1" thickBot="1" x14ac:dyDescent="0.25">
      <c r="B39" s="277">
        <v>2020</v>
      </c>
      <c r="C39" s="282">
        <f>+C26+C13</f>
        <v>101800</v>
      </c>
      <c r="D39" s="282">
        <f>+D38</f>
        <v>6000</v>
      </c>
      <c r="E39" s="282">
        <f>D26+E13</f>
        <v>5654</v>
      </c>
      <c r="F39" s="282">
        <f t="shared" si="24"/>
        <v>113454</v>
      </c>
      <c r="G39" s="282">
        <f>F26+G13</f>
        <v>12628334</v>
      </c>
      <c r="H39" s="282">
        <f>+H13</f>
        <v>88436223</v>
      </c>
      <c r="I39" s="282">
        <f>H26+I13</f>
        <v>46093224</v>
      </c>
      <c r="J39" s="282">
        <f>+J13</f>
        <v>384036200</v>
      </c>
      <c r="K39" s="282">
        <f>+K13</f>
        <v>5985764</v>
      </c>
      <c r="L39" s="282">
        <f>I26+L13</f>
        <v>5719196</v>
      </c>
      <c r="M39" s="278">
        <f t="shared" si="25"/>
        <v>441834384</v>
      </c>
      <c r="N39" s="278">
        <f>O13+K26</f>
        <v>13130986</v>
      </c>
      <c r="O39" s="72">
        <f t="shared" si="26"/>
        <v>428703398</v>
      </c>
      <c r="P39" s="278">
        <f>Q13+M26</f>
        <v>402021190</v>
      </c>
      <c r="Q39" s="278">
        <f t="shared" si="27"/>
        <v>26682208</v>
      </c>
      <c r="R39" s="279">
        <f t="shared" si="29"/>
        <v>6.2239320062492247</v>
      </c>
      <c r="S39" s="278">
        <f>T13+P26</f>
        <v>70970</v>
      </c>
      <c r="T39" s="487">
        <f t="shared" si="30"/>
        <v>-1.3604644202322305</v>
      </c>
      <c r="U39" s="483">
        <f t="shared" si="31"/>
        <v>-1.4207058461121258</v>
      </c>
      <c r="V39" s="196">
        <f t="shared" si="32"/>
        <v>0.41995509905928896</v>
      </c>
      <c r="W39" s="281">
        <f t="shared" si="28"/>
        <v>2.6491736324441422</v>
      </c>
      <c r="X39" s="309"/>
      <c r="Y39" s="324"/>
      <c r="Z39" s="324"/>
      <c r="AA39" s="324"/>
    </row>
    <row r="40" spans="2:27" ht="20.100000000000001" customHeight="1" thickTop="1" thickBot="1" x14ac:dyDescent="0.25">
      <c r="B40" s="277">
        <v>2021</v>
      </c>
      <c r="C40" s="282">
        <f>+C27+C14</f>
        <v>104800</v>
      </c>
      <c r="D40" s="282">
        <f>+D39</f>
        <v>6000</v>
      </c>
      <c r="E40" s="282">
        <f>D27+E14</f>
        <v>12413</v>
      </c>
      <c r="F40" s="282">
        <f t="shared" ref="F40" si="33">SUM(C40:E40)</f>
        <v>123213</v>
      </c>
      <c r="G40" s="282">
        <f>F27+G14</f>
        <v>12447790</v>
      </c>
      <c r="H40" s="282">
        <f>+H14</f>
        <v>87102737</v>
      </c>
      <c r="I40" s="282">
        <f>H27+I14</f>
        <v>45231090</v>
      </c>
      <c r="J40" s="282">
        <f>+J14</f>
        <v>378887853</v>
      </c>
      <c r="K40" s="282">
        <f>+K14</f>
        <v>5078618</v>
      </c>
      <c r="L40" s="282">
        <f>I27+L14</f>
        <v>13542920</v>
      </c>
      <c r="M40" s="278">
        <f t="shared" ref="M40" si="34">SUM(I40:L40)</f>
        <v>442740481</v>
      </c>
      <c r="N40" s="278">
        <f>O14+K27</f>
        <v>12960196</v>
      </c>
      <c r="O40" s="278">
        <f t="shared" si="26"/>
        <v>429780285</v>
      </c>
      <c r="P40" s="278">
        <f>Q14+M27</f>
        <v>401657822</v>
      </c>
      <c r="Q40" s="278">
        <f t="shared" ref="Q40" si="35">O40-P40</f>
        <v>28122463</v>
      </c>
      <c r="R40" s="279">
        <f t="shared" ref="R40" si="36">100*Q40/O40</f>
        <v>6.5434511496961756</v>
      </c>
      <c r="S40" s="278">
        <f>T14+P27</f>
        <v>68190</v>
      </c>
      <c r="T40" s="279">
        <f t="shared" ref="T40" si="37">100*(M40-M39)/M39</f>
        <v>0.20507616265555287</v>
      </c>
      <c r="U40" s="196">
        <f t="shared" ref="U40" si="38">100*(O40-O39)/O39</f>
        <v>0.25119628279690004</v>
      </c>
      <c r="V40" s="483">
        <f t="shared" ref="V40" si="39">100*(P40-P39)/P39</f>
        <v>-9.0385285412443062E-2</v>
      </c>
      <c r="W40" s="281">
        <f t="shared" ref="W40" si="40">100*(K40+L40)/M40</f>
        <v>4.2059713984003197</v>
      </c>
      <c r="X40" s="309"/>
      <c r="Y40" s="324"/>
      <c r="Z40" s="324"/>
      <c r="AA40" s="324"/>
    </row>
    <row r="41" spans="2:27" ht="12" thickTop="1" x14ac:dyDescent="0.2"/>
  </sheetData>
  <mergeCells count="40">
    <mergeCell ref="B15:T15"/>
    <mergeCell ref="G3:H3"/>
    <mergeCell ref="W29:W30"/>
    <mergeCell ref="F23:G23"/>
    <mergeCell ref="F24:G24"/>
    <mergeCell ref="F25:G25"/>
    <mergeCell ref="C29:F29"/>
    <mergeCell ref="I29:N29"/>
    <mergeCell ref="F26:G26"/>
    <mergeCell ref="Q30:R30"/>
    <mergeCell ref="O29:R29"/>
    <mergeCell ref="S29:S30"/>
    <mergeCell ref="T29:V29"/>
    <mergeCell ref="X29:X30"/>
    <mergeCell ref="F27:G27"/>
    <mergeCell ref="B28:W28"/>
    <mergeCell ref="F22:G22"/>
    <mergeCell ref="C16:E16"/>
    <mergeCell ref="F16:G16"/>
    <mergeCell ref="H16:J16"/>
    <mergeCell ref="K16:M16"/>
    <mergeCell ref="N16:O17"/>
    <mergeCell ref="P16:P17"/>
    <mergeCell ref="Q16:Q17"/>
    <mergeCell ref="R16:R17"/>
    <mergeCell ref="S16:T16"/>
    <mergeCell ref="F17:G17"/>
    <mergeCell ref="F18:G18"/>
    <mergeCell ref="F19:G19"/>
    <mergeCell ref="F20:G20"/>
    <mergeCell ref="F21:G21"/>
    <mergeCell ref="B2:X2"/>
    <mergeCell ref="C3:F3"/>
    <mergeCell ref="I3:N3"/>
    <mergeCell ref="O3:Q3"/>
    <mergeCell ref="R3:S4"/>
    <mergeCell ref="T3:T4"/>
    <mergeCell ref="U3:U4"/>
    <mergeCell ref="V3:V4"/>
    <mergeCell ref="W3:X3"/>
  </mergeCells>
  <pageMargins left="0.11811023622047245" right="0.11811023622047245" top="0.15748031496062992" bottom="0.15748031496062992" header="0.11811023622047245" footer="0.11811023622047245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79"/>
  <sheetViews>
    <sheetView zoomScale="120" zoomScaleNormal="120" workbookViewId="0">
      <pane ySplit="5" topLeftCell="A60" activePane="bottomLeft" state="frozen"/>
      <selection pane="bottomLeft" activeCell="K75" sqref="K75"/>
    </sheetView>
  </sheetViews>
  <sheetFormatPr defaultRowHeight="12.75" x14ac:dyDescent="0.2"/>
  <cols>
    <col min="1" max="1" width="1.7109375" style="200" customWidth="1"/>
    <col min="2" max="2" width="5.7109375" style="200" customWidth="1"/>
    <col min="3" max="3" width="11.7109375" style="201" customWidth="1"/>
    <col min="4" max="5" width="7.7109375" style="200" customWidth="1"/>
    <col min="6" max="6" width="6.7109375" style="202" customWidth="1"/>
    <col min="7" max="7" width="7.7109375" style="200" customWidth="1"/>
    <col min="8" max="8" width="10.7109375" style="200" customWidth="1"/>
    <col min="9" max="9" width="8.7109375" style="200" customWidth="1"/>
    <col min="10" max="10" width="9.7109375" style="200" customWidth="1"/>
    <col min="11" max="11" width="11.7109375" style="200" customWidth="1"/>
    <col min="12" max="12" width="9.7109375" style="200" customWidth="1"/>
    <col min="13" max="13" width="11.7109375" style="200" customWidth="1"/>
    <col min="14" max="14" width="5.7109375" style="203" customWidth="1"/>
    <col min="15" max="15" width="7.7109375" style="204" customWidth="1"/>
    <col min="16" max="16" width="5.7109375" style="204" customWidth="1"/>
    <col min="17" max="17" width="6.7109375" style="200" customWidth="1"/>
    <col min="18" max="18" width="7.7109375" style="200" customWidth="1"/>
    <col min="19" max="19" width="6.7109375" style="200" customWidth="1"/>
    <col min="20" max="20" width="8.7109375" style="204" customWidth="1"/>
    <col min="21" max="23" width="9.140625" style="200"/>
    <col min="24" max="24" width="10.140625" style="200" bestFit="1" customWidth="1"/>
    <col min="25" max="26" width="9.140625" style="200"/>
    <col min="27" max="27" width="12.7109375" style="200" bestFit="1" customWidth="1"/>
    <col min="28" max="28" width="9.140625" style="200"/>
    <col min="29" max="29" width="13.7109375" style="328" bestFit="1" customWidth="1"/>
    <col min="30" max="30" width="11.5703125" style="200" bestFit="1" customWidth="1"/>
    <col min="31" max="16384" width="9.140625" style="200"/>
  </cols>
  <sheetData>
    <row r="2" spans="2:20" ht="23.25" x14ac:dyDescent="0.35">
      <c r="B2" s="371" t="s">
        <v>119</v>
      </c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  <c r="S2" s="371"/>
      <c r="T2" s="371"/>
    </row>
    <row r="3" spans="2:20" ht="13.5" thickBot="1" x14ac:dyDescent="0.25"/>
    <row r="4" spans="2:20" ht="35.1" customHeight="1" thickTop="1" thickBot="1" x14ac:dyDescent="0.25">
      <c r="B4" s="84" t="s">
        <v>0</v>
      </c>
      <c r="C4" s="85" t="s">
        <v>1</v>
      </c>
      <c r="D4" s="87" t="s">
        <v>2</v>
      </c>
      <c r="E4" s="86" t="s">
        <v>3</v>
      </c>
      <c r="F4" s="87" t="s">
        <v>4</v>
      </c>
      <c r="G4" s="88" t="s">
        <v>97</v>
      </c>
      <c r="H4" s="88" t="s">
        <v>5</v>
      </c>
      <c r="I4" s="89" t="s">
        <v>6</v>
      </c>
      <c r="J4" s="89" t="s">
        <v>7</v>
      </c>
      <c r="K4" s="90" t="s">
        <v>8</v>
      </c>
      <c r="L4" s="90" t="s">
        <v>9</v>
      </c>
      <c r="M4" s="90" t="s">
        <v>10</v>
      </c>
      <c r="N4" s="199" t="s">
        <v>11</v>
      </c>
      <c r="O4" s="91" t="s">
        <v>12</v>
      </c>
      <c r="P4" s="91" t="s">
        <v>13</v>
      </c>
      <c r="Q4" s="92" t="s">
        <v>14</v>
      </c>
      <c r="R4" s="91" t="s">
        <v>15</v>
      </c>
      <c r="S4" s="91" t="s">
        <v>16</v>
      </c>
      <c r="T4" s="93" t="s">
        <v>17</v>
      </c>
    </row>
    <row r="5" spans="2:20" ht="15.95" customHeight="1" thickTop="1" thickBot="1" x14ac:dyDescent="0.25">
      <c r="B5" s="94"/>
      <c r="C5" s="95"/>
      <c r="D5" s="96" t="s">
        <v>18</v>
      </c>
      <c r="E5" s="97" t="s">
        <v>18</v>
      </c>
      <c r="F5" s="97" t="s">
        <v>18</v>
      </c>
      <c r="G5" s="97" t="s">
        <v>19</v>
      </c>
      <c r="H5" s="97" t="s">
        <v>19</v>
      </c>
      <c r="I5" s="97" t="s">
        <v>20</v>
      </c>
      <c r="J5" s="97" t="s">
        <v>20</v>
      </c>
      <c r="K5" s="97" t="s">
        <v>20</v>
      </c>
      <c r="L5" s="97" t="s">
        <v>20</v>
      </c>
      <c r="M5" s="97" t="s">
        <v>20</v>
      </c>
      <c r="N5" s="98" t="s">
        <v>21</v>
      </c>
      <c r="O5" s="97" t="s">
        <v>22</v>
      </c>
      <c r="P5" s="99" t="s">
        <v>21</v>
      </c>
      <c r="Q5" s="99" t="s">
        <v>21</v>
      </c>
      <c r="R5" s="99" t="s">
        <v>21</v>
      </c>
      <c r="S5" s="99" t="s">
        <v>21</v>
      </c>
      <c r="T5" s="100"/>
    </row>
    <row r="6" spans="2:20" ht="15.95" customHeight="1" thickTop="1" x14ac:dyDescent="0.2">
      <c r="B6" s="365">
        <v>2013</v>
      </c>
      <c r="C6" s="101" t="s">
        <v>23</v>
      </c>
      <c r="D6" s="102">
        <v>11500</v>
      </c>
      <c r="E6" s="103"/>
      <c r="F6" s="103"/>
      <c r="G6" s="103">
        <v>351686</v>
      </c>
      <c r="H6" s="104">
        <v>8053949</v>
      </c>
      <c r="I6" s="104">
        <v>1131398</v>
      </c>
      <c r="J6" s="103">
        <v>33555420</v>
      </c>
      <c r="K6" s="103">
        <f>I6+J6</f>
        <v>34686818</v>
      </c>
      <c r="L6" s="103">
        <v>2177755</v>
      </c>
      <c r="M6" s="103">
        <f>K6-L6</f>
        <v>32509063</v>
      </c>
      <c r="N6" s="105"/>
      <c r="O6" s="102">
        <f>(G6*0.8381*42000+H6*0.936*40200)/(I6+J6)</f>
        <v>9093.5688407625057</v>
      </c>
      <c r="P6" s="106">
        <f>100*3600*(K6)/(G6*42000*0.8381+H6*40200*0.936)</f>
        <v>39.58841751835395</v>
      </c>
      <c r="Q6" s="106">
        <f>100-M6*100/K6</f>
        <v>6.2783360526180303</v>
      </c>
      <c r="R6" s="373" t="s">
        <v>24</v>
      </c>
      <c r="S6" s="373" t="s">
        <v>24</v>
      </c>
      <c r="T6" s="367" t="s">
        <v>78</v>
      </c>
    </row>
    <row r="7" spans="2:20" ht="15.95" customHeight="1" x14ac:dyDescent="0.2">
      <c r="B7" s="366"/>
      <c r="C7" s="107" t="s">
        <v>25</v>
      </c>
      <c r="D7" s="108">
        <v>58000</v>
      </c>
      <c r="E7" s="109"/>
      <c r="F7" s="109"/>
      <c r="G7" s="109">
        <v>65704</v>
      </c>
      <c r="H7" s="110">
        <v>62957549</v>
      </c>
      <c r="I7" s="110">
        <v>251696</v>
      </c>
      <c r="J7" s="109">
        <v>272789584</v>
      </c>
      <c r="K7" s="109">
        <f>I7+J7</f>
        <v>273041280</v>
      </c>
      <c r="L7" s="109">
        <v>7754090</v>
      </c>
      <c r="M7" s="109">
        <f>K7-L7</f>
        <v>265287190</v>
      </c>
      <c r="N7" s="111"/>
      <c r="O7" s="108">
        <f>(G7*0.8381*42000+H7*0.936*40200)/(I7+J7)</f>
        <v>8684.5076380890077</v>
      </c>
      <c r="P7" s="112">
        <f>100*3600*(K7)/(G7*42000*0.8381+H7*40200*0.936)</f>
        <v>41.45312722405717</v>
      </c>
      <c r="Q7" s="112">
        <f>100-M7*100/K7</f>
        <v>2.839896589995476</v>
      </c>
      <c r="R7" s="374"/>
      <c r="S7" s="374"/>
      <c r="T7" s="368"/>
    </row>
    <row r="8" spans="2:20" ht="15.95" customHeight="1" x14ac:dyDescent="0.2">
      <c r="B8" s="366"/>
      <c r="C8" s="107" t="s">
        <v>26</v>
      </c>
      <c r="D8" s="108">
        <v>69500</v>
      </c>
      <c r="E8" s="108">
        <f>D8-2*8000</f>
        <v>53500</v>
      </c>
      <c r="F8" s="114">
        <v>49900</v>
      </c>
      <c r="G8" s="114">
        <f t="shared" ref="G8:L8" si="0">SUM(G6:G7)</f>
        <v>417390</v>
      </c>
      <c r="H8" s="115">
        <f t="shared" si="0"/>
        <v>71011498</v>
      </c>
      <c r="I8" s="109">
        <f t="shared" si="0"/>
        <v>1383094</v>
      </c>
      <c r="J8" s="109">
        <f t="shared" si="0"/>
        <v>306345004</v>
      </c>
      <c r="K8" s="109">
        <f t="shared" si="0"/>
        <v>307728098</v>
      </c>
      <c r="L8" s="109">
        <f t="shared" si="0"/>
        <v>9931845</v>
      </c>
      <c r="M8" s="109">
        <f>K8-L8</f>
        <v>297796253</v>
      </c>
      <c r="N8" s="116">
        <f>(K8/F8)*100/8760</f>
        <v>70.398353327659891</v>
      </c>
      <c r="O8" s="108">
        <f>(G8*0.8381*42000+H8*0.936*40200)/(I8+J8)</f>
        <v>8730.6166270965605</v>
      </c>
      <c r="P8" s="112">
        <f>100*3600*(K8)/(G8*42000*0.8381+H8*40200*0.936)</f>
        <v>41.23420090199528</v>
      </c>
      <c r="Q8" s="112">
        <f>100-M8*100/K8</f>
        <v>3.2274742100410947</v>
      </c>
      <c r="R8" s="374"/>
      <c r="S8" s="374"/>
      <c r="T8" s="368"/>
    </row>
    <row r="9" spans="2:20" ht="15.95" customHeight="1" x14ac:dyDescent="0.2">
      <c r="B9" s="366"/>
      <c r="C9" s="107" t="s">
        <v>27</v>
      </c>
      <c r="D9" s="108">
        <v>6000</v>
      </c>
      <c r="E9" s="109"/>
      <c r="F9" s="109"/>
      <c r="G9" s="110"/>
      <c r="H9" s="110"/>
      <c r="I9" s="109"/>
      <c r="J9" s="108"/>
      <c r="K9" s="109">
        <v>6951050</v>
      </c>
      <c r="L9" s="109">
        <v>130000</v>
      </c>
      <c r="M9" s="109">
        <f>K9-L9</f>
        <v>6821050</v>
      </c>
      <c r="N9" s="116"/>
      <c r="O9" s="117"/>
      <c r="P9" s="118"/>
      <c r="Q9" s="112"/>
      <c r="R9" s="112" t="s">
        <v>24</v>
      </c>
      <c r="S9" s="112"/>
      <c r="T9" s="368"/>
    </row>
    <row r="10" spans="2:20" ht="15.95" customHeight="1" thickBot="1" x14ac:dyDescent="0.25">
      <c r="B10" s="366"/>
      <c r="C10" s="119" t="s">
        <v>28</v>
      </c>
      <c r="D10" s="120">
        <f>D8+D9</f>
        <v>75500</v>
      </c>
      <c r="E10" s="120">
        <f>+E8</f>
        <v>53500</v>
      </c>
      <c r="F10" s="121"/>
      <c r="G10" s="122"/>
      <c r="H10" s="122"/>
      <c r="I10" s="121"/>
      <c r="J10" s="120"/>
      <c r="K10" s="123">
        <f>K8+K9</f>
        <v>314679148</v>
      </c>
      <c r="L10" s="121"/>
      <c r="M10" s="121"/>
      <c r="N10" s="124"/>
      <c r="O10" s="125"/>
      <c r="P10" s="126"/>
      <c r="Q10" s="127"/>
      <c r="R10" s="127"/>
      <c r="S10" s="127"/>
      <c r="T10" s="368"/>
    </row>
    <row r="11" spans="2:20" ht="15.95" customHeight="1" thickTop="1" x14ac:dyDescent="0.2">
      <c r="B11" s="366"/>
      <c r="C11" s="107" t="s">
        <v>29</v>
      </c>
      <c r="D11" s="120">
        <v>0</v>
      </c>
      <c r="E11" s="121"/>
      <c r="F11" s="121"/>
      <c r="G11" s="122"/>
      <c r="H11" s="122"/>
      <c r="I11" s="121"/>
      <c r="J11" s="120"/>
      <c r="K11" s="121">
        <v>0</v>
      </c>
      <c r="L11" s="121"/>
      <c r="M11" s="121"/>
      <c r="N11" s="124"/>
      <c r="O11" s="125"/>
      <c r="P11" s="126"/>
      <c r="Q11" s="127"/>
      <c r="R11" s="127"/>
      <c r="S11" s="127"/>
      <c r="T11" s="368"/>
    </row>
    <row r="12" spans="2:20" ht="15.95" customHeight="1" thickBot="1" x14ac:dyDescent="0.25">
      <c r="B12" s="372"/>
      <c r="C12" s="128" t="s">
        <v>30</v>
      </c>
      <c r="D12" s="129">
        <f>D9+D11</f>
        <v>6000</v>
      </c>
      <c r="E12" s="130"/>
      <c r="F12" s="130"/>
      <c r="G12" s="131"/>
      <c r="H12" s="131"/>
      <c r="I12" s="130"/>
      <c r="J12" s="129"/>
      <c r="K12" s="132">
        <f>K9+K11</f>
        <v>6951050</v>
      </c>
      <c r="L12" s="130"/>
      <c r="M12" s="129"/>
      <c r="N12" s="133"/>
      <c r="O12" s="134"/>
      <c r="P12" s="135"/>
      <c r="Q12" s="136"/>
      <c r="R12" s="136"/>
      <c r="S12" s="136"/>
      <c r="T12" s="369"/>
    </row>
    <row r="13" spans="2:20" ht="15.95" customHeight="1" thickTop="1" thickBot="1" x14ac:dyDescent="0.25">
      <c r="B13" s="137"/>
      <c r="C13" s="375" t="s">
        <v>31</v>
      </c>
      <c r="D13" s="376"/>
      <c r="E13" s="377"/>
      <c r="F13" s="138"/>
      <c r="G13" s="139"/>
      <c r="H13" s="139"/>
      <c r="I13" s="138"/>
      <c r="J13" s="140"/>
      <c r="K13" s="141">
        <f>K10+K11</f>
        <v>314679148</v>
      </c>
      <c r="L13" s="142">
        <f>L8+L9</f>
        <v>10061845</v>
      </c>
      <c r="M13" s="140"/>
      <c r="N13" s="143"/>
      <c r="O13" s="144"/>
      <c r="P13" s="145"/>
      <c r="Q13" s="146"/>
      <c r="R13" s="146"/>
      <c r="S13" s="146"/>
      <c r="T13" s="147">
        <f>100*K12/K13</f>
        <v>2.2089325092490717</v>
      </c>
    </row>
    <row r="14" spans="2:20" ht="15.95" customHeight="1" thickTop="1" x14ac:dyDescent="0.2">
      <c r="B14" s="378">
        <v>2014</v>
      </c>
      <c r="C14" s="101" t="s">
        <v>32</v>
      </c>
      <c r="D14" s="102">
        <v>11500</v>
      </c>
      <c r="E14" s="102"/>
      <c r="F14" s="104"/>
      <c r="G14" s="104">
        <v>83935</v>
      </c>
      <c r="H14" s="104">
        <v>7941242</v>
      </c>
      <c r="I14" s="103">
        <v>258460</v>
      </c>
      <c r="J14" s="102">
        <v>33651430</v>
      </c>
      <c r="K14" s="103">
        <f>I14+J14</f>
        <v>33909890</v>
      </c>
      <c r="L14" s="103">
        <v>2148994</v>
      </c>
      <c r="M14" s="103">
        <f t="shared" ref="M14:M19" si="1">K14-L14</f>
        <v>31760896</v>
      </c>
      <c r="N14" s="148"/>
      <c r="O14" s="102">
        <f>(G14*0.8381*42000+H14*0.936*40200)/(I14+J14)</f>
        <v>8898.9150294913961</v>
      </c>
      <c r="P14" s="106">
        <f>100*3600*(K14)/(G14*42000*0.8381+H14*40200*0.936)</f>
        <v>40.454369864971639</v>
      </c>
      <c r="Q14" s="112">
        <f>100-M14*100/K14</f>
        <v>6.3373664733209125</v>
      </c>
      <c r="R14" s="149">
        <f>100*(K14-K6)/K6</f>
        <v>-2.2398364704424605</v>
      </c>
      <c r="S14" s="106"/>
      <c r="T14" s="367" t="s">
        <v>79</v>
      </c>
    </row>
    <row r="15" spans="2:20" ht="15.95" customHeight="1" x14ac:dyDescent="0.2">
      <c r="B15" s="379"/>
      <c r="C15" s="107" t="s">
        <v>33</v>
      </c>
      <c r="D15" s="108">
        <v>58000</v>
      </c>
      <c r="E15" s="108"/>
      <c r="F15" s="110"/>
      <c r="G15" s="110">
        <v>97330</v>
      </c>
      <c r="H15" s="110">
        <v>64158406</v>
      </c>
      <c r="I15" s="109">
        <v>352038</v>
      </c>
      <c r="J15" s="108">
        <v>279813282</v>
      </c>
      <c r="K15" s="109">
        <f>I15+J15</f>
        <v>280165320</v>
      </c>
      <c r="L15" s="109">
        <v>8272410</v>
      </c>
      <c r="M15" s="109">
        <f t="shared" si="1"/>
        <v>271892910</v>
      </c>
      <c r="N15" s="116"/>
      <c r="O15" s="108">
        <f>(G15*0.8381*42000+H15*0.936*40200)/(I15+J15)</f>
        <v>8628.9309815690249</v>
      </c>
      <c r="P15" s="112">
        <f>100*3600*(K15)/(G15*42000*0.8381+H15*40200*0.936)</f>
        <v>41.720115825348749</v>
      </c>
      <c r="Q15" s="112">
        <f>100-M15*100/K15</f>
        <v>2.9526887910323865</v>
      </c>
      <c r="R15" s="112">
        <f>100*(K15-K7)/K7</f>
        <v>2.6091439360378037</v>
      </c>
      <c r="S15" s="112"/>
      <c r="T15" s="368"/>
    </row>
    <row r="16" spans="2:20" ht="15.95" customHeight="1" x14ac:dyDescent="0.2">
      <c r="B16" s="379"/>
      <c r="C16" s="107" t="s">
        <v>26</v>
      </c>
      <c r="D16" s="68">
        <f>SUM(D14:D15)</f>
        <v>69500</v>
      </c>
      <c r="E16" s="108">
        <f>D24-2*8000</f>
        <v>53500</v>
      </c>
      <c r="F16" s="115">
        <v>50900</v>
      </c>
      <c r="G16" s="115">
        <f>SUM(G14:G15)</f>
        <v>181265</v>
      </c>
      <c r="H16" s="198">
        <v>72099648</v>
      </c>
      <c r="I16" s="109">
        <f>SUM(I14:I15)</f>
        <v>610498</v>
      </c>
      <c r="J16" s="108">
        <f>SUM(J14:J15)</f>
        <v>313464712</v>
      </c>
      <c r="K16" s="109">
        <f>SUM(K14:K15)</f>
        <v>314075210</v>
      </c>
      <c r="L16" s="109">
        <f>SUM(L14:L15)</f>
        <v>10421404</v>
      </c>
      <c r="M16" s="109">
        <f t="shared" si="1"/>
        <v>303653806</v>
      </c>
      <c r="N16" s="116">
        <f>(K16/F16)*100/8760</f>
        <v>70.438771070502654</v>
      </c>
      <c r="O16" s="108">
        <f>(G16*0.8381*42000+H16*0.936*40200)/(I16+J16)</f>
        <v>8658.0804625700966</v>
      </c>
      <c r="P16" s="112">
        <f>100*3600*(K16)/(G16*42000*0.8381+H16*40200*0.936)</f>
        <v>41.579655162171626</v>
      </c>
      <c r="Q16" s="112">
        <f>100-M16*100/K16</f>
        <v>3.318123706738902</v>
      </c>
      <c r="R16" s="112">
        <f>100*(K16-K8)/K8</f>
        <v>2.062571484778748</v>
      </c>
      <c r="S16" s="112">
        <f>100*(F16-F8)/F8</f>
        <v>2.0040080160320639</v>
      </c>
      <c r="T16" s="368"/>
    </row>
    <row r="17" spans="2:20" ht="15.95" customHeight="1" x14ac:dyDescent="0.2">
      <c r="B17" s="379"/>
      <c r="C17" s="150" t="s">
        <v>27</v>
      </c>
      <c r="D17" s="108">
        <v>6000</v>
      </c>
      <c r="E17" s="108"/>
      <c r="F17" s="110"/>
      <c r="G17" s="110"/>
      <c r="H17" s="110"/>
      <c r="I17" s="109"/>
      <c r="J17" s="108"/>
      <c r="K17" s="109">
        <v>7090810</v>
      </c>
      <c r="L17" s="109">
        <v>150000</v>
      </c>
      <c r="M17" s="109">
        <f t="shared" si="1"/>
        <v>6940810</v>
      </c>
      <c r="N17" s="116"/>
      <c r="O17" s="108"/>
      <c r="P17" s="112"/>
      <c r="Q17" s="151"/>
      <c r="R17" s="112">
        <f>100*(K17-K9)/K9</f>
        <v>2.0106314873292526</v>
      </c>
      <c r="S17" s="112"/>
      <c r="T17" s="368"/>
    </row>
    <row r="18" spans="2:20" ht="15.95" customHeight="1" x14ac:dyDescent="0.2">
      <c r="B18" s="379"/>
      <c r="C18" s="150" t="s">
        <v>34</v>
      </c>
      <c r="D18" s="118">
        <f>SUM(D24:D25)</f>
        <v>75500</v>
      </c>
      <c r="E18" s="108">
        <f>+E16</f>
        <v>53500</v>
      </c>
      <c r="F18" s="152"/>
      <c r="G18" s="152"/>
      <c r="H18" s="152"/>
      <c r="I18" s="152"/>
      <c r="J18" s="152"/>
      <c r="K18" s="153">
        <f>SUM(K16:K17)</f>
        <v>321166020</v>
      </c>
      <c r="L18" s="152">
        <f>SUM(L16:L17)</f>
        <v>10571404</v>
      </c>
      <c r="M18" s="109">
        <f t="shared" si="1"/>
        <v>310594616</v>
      </c>
      <c r="N18" s="151"/>
      <c r="O18" s="118"/>
      <c r="P18" s="154"/>
      <c r="Q18" s="155"/>
      <c r="R18" s="112">
        <f>100*(K18-K10)/K10</f>
        <v>2.0614241652897829</v>
      </c>
      <c r="S18" s="155"/>
      <c r="T18" s="368"/>
    </row>
    <row r="19" spans="2:20" ht="15.95" customHeight="1" x14ac:dyDescent="0.2">
      <c r="B19" s="379"/>
      <c r="C19" s="107" t="s">
        <v>29</v>
      </c>
      <c r="D19" s="118">
        <v>645</v>
      </c>
      <c r="E19" s="118"/>
      <c r="F19" s="152"/>
      <c r="G19" s="152"/>
      <c r="H19" s="152"/>
      <c r="I19" s="152"/>
      <c r="J19" s="152"/>
      <c r="K19" s="152">
        <v>393398</v>
      </c>
      <c r="L19" s="152">
        <v>2000</v>
      </c>
      <c r="M19" s="109">
        <f t="shared" si="1"/>
        <v>391398</v>
      </c>
      <c r="N19" s="151"/>
      <c r="O19" s="118"/>
      <c r="P19" s="154"/>
      <c r="Q19" s="155"/>
      <c r="R19" s="112"/>
      <c r="S19" s="155"/>
      <c r="T19" s="368"/>
    </row>
    <row r="20" spans="2:20" ht="15.95" customHeight="1" thickBot="1" x14ac:dyDescent="0.25">
      <c r="B20" s="380"/>
      <c r="C20" s="156" t="s">
        <v>30</v>
      </c>
      <c r="D20" s="126">
        <f>D25+D19</f>
        <v>6645</v>
      </c>
      <c r="E20" s="157"/>
      <c r="F20" s="157"/>
      <c r="G20" s="157"/>
      <c r="H20" s="126"/>
      <c r="I20" s="157"/>
      <c r="J20" s="157"/>
      <c r="K20" s="158">
        <f>K17+K19</f>
        <v>7484208</v>
      </c>
      <c r="L20" s="157"/>
      <c r="M20" s="158">
        <f>M17+M19</f>
        <v>7332208</v>
      </c>
      <c r="N20" s="159"/>
      <c r="O20" s="126"/>
      <c r="P20" s="160"/>
      <c r="Q20" s="161"/>
      <c r="R20" s="127">
        <f t="shared" ref="R20:R26" si="2">100*(K20-K12)/K12</f>
        <v>7.6701793254256554</v>
      </c>
      <c r="S20" s="161"/>
      <c r="T20" s="369"/>
    </row>
    <row r="21" spans="2:20" ht="15.95" customHeight="1" thickTop="1" thickBot="1" x14ac:dyDescent="0.25">
      <c r="B21" s="137"/>
      <c r="C21" s="370" t="s">
        <v>31</v>
      </c>
      <c r="D21" s="370"/>
      <c r="E21" s="370"/>
      <c r="F21" s="162"/>
      <c r="G21" s="162"/>
      <c r="H21" s="163"/>
      <c r="I21" s="162"/>
      <c r="J21" s="162"/>
      <c r="K21" s="164">
        <f>K18+K19</f>
        <v>321559418</v>
      </c>
      <c r="L21" s="164">
        <f>L18+L19</f>
        <v>10573404</v>
      </c>
      <c r="M21" s="164">
        <f>M18+M19</f>
        <v>310986014</v>
      </c>
      <c r="N21" s="165"/>
      <c r="O21" s="163"/>
      <c r="P21" s="166"/>
      <c r="Q21" s="167"/>
      <c r="R21" s="168">
        <f t="shared" si="2"/>
        <v>2.1864397573619971</v>
      </c>
      <c r="S21" s="167"/>
      <c r="T21" s="147">
        <f>100*K20/K21</f>
        <v>2.3274728031756795</v>
      </c>
    </row>
    <row r="22" spans="2:20" ht="15.95" customHeight="1" thickTop="1" thickBot="1" x14ac:dyDescent="0.25">
      <c r="B22" s="365">
        <v>2015</v>
      </c>
      <c r="C22" s="169" t="s">
        <v>32</v>
      </c>
      <c r="D22" s="170">
        <v>11500</v>
      </c>
      <c r="E22" s="171"/>
      <c r="F22" s="171"/>
      <c r="G22" s="171">
        <v>152632</v>
      </c>
      <c r="H22" s="172">
        <v>7664577</v>
      </c>
      <c r="I22" s="172">
        <v>423150</v>
      </c>
      <c r="J22" s="171">
        <v>32307510</v>
      </c>
      <c r="K22" s="171">
        <f>I22+J22</f>
        <v>32730660</v>
      </c>
      <c r="L22" s="172">
        <v>2150913</v>
      </c>
      <c r="M22" s="171">
        <f t="shared" ref="M22:M27" si="3">K22-L22</f>
        <v>30579747</v>
      </c>
      <c r="N22" s="173"/>
      <c r="O22" s="170">
        <f>(G22*0.8381*42000+H22*0.936*40200)/(I22+J22)</f>
        <v>8975.3536476441368</v>
      </c>
      <c r="P22" s="174">
        <f>100*3600*(K22)/(G22*42000*0.8381+H22*40200*0.936)</f>
        <v>40.109840139223181</v>
      </c>
      <c r="Q22" s="174">
        <f>100-M22*100/K22</f>
        <v>6.5715540108265458</v>
      </c>
      <c r="R22" s="175">
        <f t="shared" si="2"/>
        <v>-3.4775400333059174</v>
      </c>
      <c r="S22" s="176"/>
      <c r="T22" s="367" t="s">
        <v>80</v>
      </c>
    </row>
    <row r="23" spans="2:20" ht="15.95" customHeight="1" thickTop="1" thickBot="1" x14ac:dyDescent="0.25">
      <c r="B23" s="366"/>
      <c r="C23" s="107" t="s">
        <v>33</v>
      </c>
      <c r="D23" s="108">
        <v>58000</v>
      </c>
      <c r="E23" s="109"/>
      <c r="F23" s="109"/>
      <c r="G23" s="109">
        <v>154186</v>
      </c>
      <c r="H23" s="110">
        <v>66844997</v>
      </c>
      <c r="I23" s="109">
        <v>589300</v>
      </c>
      <c r="J23" s="109">
        <v>291563875</v>
      </c>
      <c r="K23" s="109">
        <f>I23+J23</f>
        <v>292153175</v>
      </c>
      <c r="L23" s="109">
        <v>8573830</v>
      </c>
      <c r="M23" s="103">
        <f t="shared" si="3"/>
        <v>283579345</v>
      </c>
      <c r="N23" s="111"/>
      <c r="O23" s="102">
        <f>(G23*0.8381*42000+H23*0.936*40200)/(I23+J23)</f>
        <v>8627.725675600137</v>
      </c>
      <c r="P23" s="106">
        <f>100*3600*(K23)/(G23*42000*0.8381+H23*40200*0.936)</f>
        <v>41.725944186902851</v>
      </c>
      <c r="Q23" s="112">
        <f>100-M23*100/K23</f>
        <v>2.9347036875433616</v>
      </c>
      <c r="R23" s="112">
        <f t="shared" si="2"/>
        <v>4.278850430167445</v>
      </c>
      <c r="S23" s="159"/>
      <c r="T23" s="368"/>
    </row>
    <row r="24" spans="2:20" ht="15.95" customHeight="1" thickTop="1" thickBot="1" x14ac:dyDescent="0.25">
      <c r="B24" s="366"/>
      <c r="C24" s="107" t="s">
        <v>26</v>
      </c>
      <c r="D24" s="108">
        <f>SUM(D22:D23)</f>
        <v>69500</v>
      </c>
      <c r="E24" s="108">
        <f>D24-2*8000</f>
        <v>53500</v>
      </c>
      <c r="F24" s="153">
        <v>53200</v>
      </c>
      <c r="G24" s="152">
        <f t="shared" ref="G24:L24" si="4">SUM(G22:G23)</f>
        <v>306818</v>
      </c>
      <c r="H24" s="152">
        <f t="shared" si="4"/>
        <v>74509574</v>
      </c>
      <c r="I24" s="152">
        <f t="shared" si="4"/>
        <v>1012450</v>
      </c>
      <c r="J24" s="152">
        <f t="shared" si="4"/>
        <v>323871385</v>
      </c>
      <c r="K24" s="152">
        <f t="shared" si="4"/>
        <v>324883835</v>
      </c>
      <c r="L24" s="152">
        <f t="shared" si="4"/>
        <v>10724743</v>
      </c>
      <c r="M24" s="103">
        <f t="shared" si="3"/>
        <v>314159092</v>
      </c>
      <c r="N24" s="116">
        <f>(K24/F24)*100/8760</f>
        <v>69.712774015518235</v>
      </c>
      <c r="O24" s="102">
        <f>(G24*0.8381*42000+H24*0.936*40200)/(I24+J24)</f>
        <v>8662.7477103513011</v>
      </c>
      <c r="P24" s="106">
        <f>100*3600*(K24)/(G24*42000*0.8381+H24*40200*0.936)</f>
        <v>41.557253199216262</v>
      </c>
      <c r="Q24" s="112">
        <f>100-M24*100/K24</f>
        <v>3.3011008380887858</v>
      </c>
      <c r="R24" s="112">
        <f t="shared" si="2"/>
        <v>3.4414129660217374</v>
      </c>
      <c r="S24" s="112">
        <f>100*(F24-F16)/F16</f>
        <v>4.5186640471512769</v>
      </c>
      <c r="T24" s="368"/>
    </row>
    <row r="25" spans="2:20" ht="15.95" customHeight="1" thickTop="1" thickBot="1" x14ac:dyDescent="0.25">
      <c r="B25" s="366"/>
      <c r="C25" s="150" t="s">
        <v>27</v>
      </c>
      <c r="D25" s="108">
        <v>6000</v>
      </c>
      <c r="E25" s="118"/>
      <c r="F25" s="152"/>
      <c r="G25" s="152"/>
      <c r="H25" s="152"/>
      <c r="I25" s="152"/>
      <c r="J25" s="152"/>
      <c r="K25" s="152">
        <v>6795420</v>
      </c>
      <c r="L25" s="152">
        <v>130000</v>
      </c>
      <c r="M25" s="103">
        <f t="shared" si="3"/>
        <v>6665420</v>
      </c>
      <c r="N25" s="177"/>
      <c r="O25" s="118"/>
      <c r="P25" s="154"/>
      <c r="Q25" s="155"/>
      <c r="R25" s="178">
        <f t="shared" si="2"/>
        <v>-4.1658146248453987</v>
      </c>
      <c r="S25" s="159"/>
      <c r="T25" s="368"/>
    </row>
    <row r="26" spans="2:20" ht="15.95" customHeight="1" thickTop="1" x14ac:dyDescent="0.2">
      <c r="B26" s="366"/>
      <c r="C26" s="150" t="s">
        <v>34</v>
      </c>
      <c r="D26" s="120">
        <f>D24+D25</f>
        <v>75500</v>
      </c>
      <c r="E26" s="118">
        <f>+E24</f>
        <v>53500</v>
      </c>
      <c r="F26" s="152"/>
      <c r="G26" s="152"/>
      <c r="H26" s="152"/>
      <c r="I26" s="152"/>
      <c r="J26" s="152"/>
      <c r="K26" s="153">
        <f>SUM(K24:K25)</f>
        <v>331679255</v>
      </c>
      <c r="L26" s="152">
        <f>SUM(L24:L25)</f>
        <v>10854743</v>
      </c>
      <c r="M26" s="103">
        <f t="shared" si="3"/>
        <v>320824512</v>
      </c>
      <c r="N26" s="151"/>
      <c r="O26" s="118"/>
      <c r="P26" s="154"/>
      <c r="Q26" s="155"/>
      <c r="R26" s="112">
        <f t="shared" si="2"/>
        <v>3.2734580700660674</v>
      </c>
      <c r="S26" s="112"/>
      <c r="T26" s="368"/>
    </row>
    <row r="27" spans="2:20" ht="12.75" customHeight="1" x14ac:dyDescent="0.2">
      <c r="B27" s="366"/>
      <c r="C27" s="107" t="s">
        <v>29</v>
      </c>
      <c r="D27" s="126">
        <v>1115</v>
      </c>
      <c r="E27" s="157"/>
      <c r="F27" s="179"/>
      <c r="G27" s="180"/>
      <c r="H27" s="181"/>
      <c r="I27" s="157"/>
      <c r="J27" s="157"/>
      <c r="K27" s="157">
        <v>1295909</v>
      </c>
      <c r="L27" s="157">
        <v>2000</v>
      </c>
      <c r="M27" s="158">
        <f t="shared" si="3"/>
        <v>1293909</v>
      </c>
      <c r="N27" s="159"/>
      <c r="O27" s="126"/>
      <c r="P27" s="160"/>
      <c r="Q27" s="161"/>
      <c r="R27" s="112">
        <f t="shared" ref="R27:R34" si="5">100*(K27-K19)/K19</f>
        <v>229.41423189746772</v>
      </c>
      <c r="S27" s="161"/>
      <c r="T27" s="368"/>
    </row>
    <row r="28" spans="2:20" ht="15.95" customHeight="1" thickBot="1" x14ac:dyDescent="0.25">
      <c r="B28" s="366"/>
      <c r="C28" s="156" t="s">
        <v>30</v>
      </c>
      <c r="D28" s="126">
        <f>D25+D27</f>
        <v>7115</v>
      </c>
      <c r="E28" s="157"/>
      <c r="F28" s="157"/>
      <c r="G28" s="157"/>
      <c r="H28" s="126"/>
      <c r="I28" s="157"/>
      <c r="J28" s="157"/>
      <c r="K28" s="158">
        <f>K25+K27</f>
        <v>8091329</v>
      </c>
      <c r="L28" s="157"/>
      <c r="M28" s="158">
        <f>M25+M27</f>
        <v>7959329</v>
      </c>
      <c r="N28" s="159"/>
      <c r="O28" s="126"/>
      <c r="P28" s="160"/>
      <c r="Q28" s="161"/>
      <c r="R28" s="127">
        <f t="shared" si="5"/>
        <v>8.1120273514578969</v>
      </c>
      <c r="S28" s="161"/>
      <c r="T28" s="369"/>
    </row>
    <row r="29" spans="2:20" ht="14.25" thickTop="1" thickBot="1" x14ac:dyDescent="0.25">
      <c r="B29" s="182"/>
      <c r="C29" s="370" t="s">
        <v>31</v>
      </c>
      <c r="D29" s="370"/>
      <c r="E29" s="370"/>
      <c r="F29" s="183"/>
      <c r="G29" s="184"/>
      <c r="H29" s="184"/>
      <c r="I29" s="184"/>
      <c r="J29" s="184"/>
      <c r="K29" s="185">
        <f>K26+K27</f>
        <v>332975164</v>
      </c>
      <c r="L29" s="185">
        <f>L26+L27</f>
        <v>10856743</v>
      </c>
      <c r="M29" s="185">
        <f>M26+M27</f>
        <v>322118421</v>
      </c>
      <c r="N29" s="186"/>
      <c r="O29" s="187"/>
      <c r="P29" s="187"/>
      <c r="Q29" s="184"/>
      <c r="R29" s="168">
        <f t="shared" si="5"/>
        <v>3.5501202455839747</v>
      </c>
      <c r="S29" s="184"/>
      <c r="T29" s="147">
        <f>100*K28/K29</f>
        <v>2.4300097649324979</v>
      </c>
    </row>
    <row r="30" spans="2:20" ht="15.95" customHeight="1" thickTop="1" x14ac:dyDescent="0.2">
      <c r="B30" s="365">
        <v>2016</v>
      </c>
      <c r="C30" s="169" t="s">
        <v>32</v>
      </c>
      <c r="D30" s="170">
        <v>11500</v>
      </c>
      <c r="E30" s="171"/>
      <c r="F30" s="171"/>
      <c r="G30" s="171">
        <v>142665</v>
      </c>
      <c r="H30" s="172">
        <v>5199516</v>
      </c>
      <c r="I30" s="172">
        <v>419190</v>
      </c>
      <c r="J30" s="171">
        <v>21728015</v>
      </c>
      <c r="K30" s="171">
        <f>I30+J30</f>
        <v>22147205</v>
      </c>
      <c r="L30" s="172">
        <v>1906316</v>
      </c>
      <c r="M30" s="138">
        <f t="shared" ref="M30:M35" si="6">K30-L30</f>
        <v>20240889</v>
      </c>
      <c r="N30" s="173"/>
      <c r="O30" s="140">
        <f>(G30*0.8381*42000+H30*0.936*40200)/(I30+J30)</f>
        <v>9060.5141808277858</v>
      </c>
      <c r="P30" s="146">
        <f>100*3600*(K30)/(G30*42000*0.8381+H30*40200*0.936)</f>
        <v>39.732844385561101</v>
      </c>
      <c r="Q30" s="174">
        <f>100-M30*100/K30</f>
        <v>8.6074789121245772</v>
      </c>
      <c r="R30" s="175">
        <f t="shared" si="5"/>
        <v>-32.334988050958948</v>
      </c>
      <c r="S30" s="176"/>
      <c r="T30" s="367" t="s">
        <v>80</v>
      </c>
    </row>
    <row r="31" spans="2:20" ht="15.95" customHeight="1" x14ac:dyDescent="0.2">
      <c r="B31" s="366"/>
      <c r="C31" s="107" t="s">
        <v>33</v>
      </c>
      <c r="D31" s="108">
        <v>74000</v>
      </c>
      <c r="E31" s="109"/>
      <c r="F31" s="109"/>
      <c r="G31" s="109">
        <v>36769</v>
      </c>
      <c r="H31" s="110">
        <v>75505322</v>
      </c>
      <c r="I31" s="109">
        <v>142410</v>
      </c>
      <c r="J31" s="109">
        <v>329858200</v>
      </c>
      <c r="K31" s="109">
        <f>I31+J31</f>
        <v>330000610</v>
      </c>
      <c r="L31" s="109">
        <v>8802000</v>
      </c>
      <c r="M31" s="109">
        <f t="shared" si="6"/>
        <v>321198610</v>
      </c>
      <c r="N31" s="111"/>
      <c r="O31" s="108">
        <f>(G31*0.8381*42000+H31*0.936*40200)/(I31+J31)</f>
        <v>8613.1602244983733</v>
      </c>
      <c r="P31" s="112">
        <f>100*3600*(K31)/(G31*42000*0.8381+H31*40200*0.936)</f>
        <v>41.796505651439482</v>
      </c>
      <c r="Q31" s="112">
        <f>100-M31*100/K31</f>
        <v>2.6672677968686145</v>
      </c>
      <c r="R31" s="112">
        <f t="shared" si="5"/>
        <v>12.954654694408164</v>
      </c>
      <c r="S31" s="159"/>
      <c r="T31" s="368"/>
    </row>
    <row r="32" spans="2:20" ht="15.95" customHeight="1" x14ac:dyDescent="0.2">
      <c r="B32" s="366"/>
      <c r="C32" s="107" t="s">
        <v>26</v>
      </c>
      <c r="D32" s="108">
        <f>SUM(D30:D31)</f>
        <v>85500</v>
      </c>
      <c r="E32" s="108">
        <f>D32-2*8000</f>
        <v>69500</v>
      </c>
      <c r="F32" s="153">
        <v>56900</v>
      </c>
      <c r="G32" s="152">
        <f t="shared" ref="G32:L32" si="7">SUM(G30:G31)</f>
        <v>179434</v>
      </c>
      <c r="H32" s="152">
        <f t="shared" si="7"/>
        <v>80704838</v>
      </c>
      <c r="I32" s="152">
        <f t="shared" si="7"/>
        <v>561600</v>
      </c>
      <c r="J32" s="152">
        <f t="shared" si="7"/>
        <v>351586215</v>
      </c>
      <c r="K32" s="152">
        <f t="shared" si="7"/>
        <v>352147815</v>
      </c>
      <c r="L32" s="152">
        <f t="shared" si="7"/>
        <v>10708316</v>
      </c>
      <c r="M32" s="109">
        <f t="shared" si="6"/>
        <v>341439499</v>
      </c>
      <c r="N32" s="116">
        <f>(K32/F32)*100/8760</f>
        <v>70.649424007511385</v>
      </c>
      <c r="O32" s="170">
        <f>(G32*0.8381*42000+H32*0.936*40200)/(I32+J32)</f>
        <v>8641.2951137589771</v>
      </c>
      <c r="P32" s="174">
        <f>100*3600*(K32)/(G32*42000*0.8381+H32*40200*0.936)</f>
        <v>41.660421876669304</v>
      </c>
      <c r="Q32" s="112">
        <f>100-M32*100/K32</f>
        <v>3.0408582827640203</v>
      </c>
      <c r="R32" s="112">
        <f t="shared" si="5"/>
        <v>8.3919164522297631</v>
      </c>
      <c r="S32" s="112">
        <f>100*(F32-F24)/F24</f>
        <v>6.9548872180451129</v>
      </c>
      <c r="T32" s="368"/>
    </row>
    <row r="33" spans="2:23" ht="15.95" customHeight="1" x14ac:dyDescent="0.2">
      <c r="B33" s="366"/>
      <c r="C33" s="150" t="s">
        <v>27</v>
      </c>
      <c r="D33" s="108">
        <v>6000</v>
      </c>
      <c r="E33" s="118"/>
      <c r="F33" s="152"/>
      <c r="G33" s="152"/>
      <c r="H33" s="152"/>
      <c r="I33" s="152"/>
      <c r="J33" s="152"/>
      <c r="K33" s="152">
        <v>6856893</v>
      </c>
      <c r="L33" s="152">
        <v>130000</v>
      </c>
      <c r="M33" s="171">
        <f t="shared" si="6"/>
        <v>6726893</v>
      </c>
      <c r="N33" s="177"/>
      <c r="O33" s="118"/>
      <c r="P33" s="154"/>
      <c r="Q33" s="155"/>
      <c r="R33" s="112">
        <f t="shared" si="5"/>
        <v>0.90462399675075267</v>
      </c>
      <c r="S33" s="159"/>
      <c r="T33" s="368"/>
    </row>
    <row r="34" spans="2:23" ht="15.95" customHeight="1" x14ac:dyDescent="0.2">
      <c r="B34" s="366"/>
      <c r="C34" s="150" t="s">
        <v>34</v>
      </c>
      <c r="D34" s="120">
        <f>D32+D33</f>
        <v>91500</v>
      </c>
      <c r="E34" s="118">
        <f>+E32</f>
        <v>69500</v>
      </c>
      <c r="F34" s="152"/>
      <c r="G34" s="152"/>
      <c r="H34" s="152"/>
      <c r="I34" s="152"/>
      <c r="J34" s="152"/>
      <c r="K34" s="153">
        <f>SUM(K32:K33)</f>
        <v>359004708</v>
      </c>
      <c r="L34" s="152">
        <f>SUM(L32:L33)</f>
        <v>10838316</v>
      </c>
      <c r="M34" s="171">
        <f t="shared" si="6"/>
        <v>348166392</v>
      </c>
      <c r="N34" s="151"/>
      <c r="O34" s="118"/>
      <c r="P34" s="154"/>
      <c r="Q34" s="155"/>
      <c r="R34" s="112">
        <f t="shared" si="5"/>
        <v>8.2385173591878704</v>
      </c>
      <c r="S34" s="112"/>
      <c r="T34" s="368"/>
    </row>
    <row r="35" spans="2:23" ht="15.95" customHeight="1" x14ac:dyDescent="0.2">
      <c r="B35" s="366"/>
      <c r="C35" s="107" t="s">
        <v>29</v>
      </c>
      <c r="D35" s="126">
        <v>1710</v>
      </c>
      <c r="E35" s="157"/>
      <c r="F35" s="179"/>
      <c r="G35" s="180"/>
      <c r="H35" s="181"/>
      <c r="I35" s="157"/>
      <c r="J35" s="157"/>
      <c r="K35" s="157">
        <v>1904530</v>
      </c>
      <c r="L35" s="157">
        <v>2000</v>
      </c>
      <c r="M35" s="158">
        <f t="shared" si="6"/>
        <v>1902530</v>
      </c>
      <c r="N35" s="159"/>
      <c r="O35" s="126"/>
      <c r="P35" s="160"/>
      <c r="Q35" s="161"/>
      <c r="R35" s="112">
        <f t="shared" ref="R35:R45" si="8">100*(K35-K27)/K27</f>
        <v>46.964794595916842</v>
      </c>
      <c r="S35" s="161"/>
      <c r="T35" s="368"/>
    </row>
    <row r="36" spans="2:23" ht="15.95" customHeight="1" thickBot="1" x14ac:dyDescent="0.25">
      <c r="B36" s="366"/>
      <c r="C36" s="156" t="s">
        <v>30</v>
      </c>
      <c r="D36" s="126">
        <f>D33+D35</f>
        <v>7710</v>
      </c>
      <c r="E36" s="157"/>
      <c r="F36" s="157"/>
      <c r="G36" s="157"/>
      <c r="H36" s="126"/>
      <c r="I36" s="157"/>
      <c r="J36" s="157"/>
      <c r="K36" s="158">
        <f>K33+K35</f>
        <v>8761423</v>
      </c>
      <c r="L36" s="157"/>
      <c r="M36" s="158">
        <f>M33+M35</f>
        <v>8629423</v>
      </c>
      <c r="N36" s="159"/>
      <c r="O36" s="126"/>
      <c r="P36" s="160"/>
      <c r="Q36" s="161"/>
      <c r="R36" s="127">
        <f t="shared" si="8"/>
        <v>8.2816308668205192</v>
      </c>
      <c r="S36" s="161"/>
      <c r="T36" s="369"/>
    </row>
    <row r="37" spans="2:23" ht="14.25" thickTop="1" thickBot="1" x14ac:dyDescent="0.25">
      <c r="B37" s="182"/>
      <c r="C37" s="370" t="s">
        <v>31</v>
      </c>
      <c r="D37" s="370"/>
      <c r="E37" s="370"/>
      <c r="F37" s="183"/>
      <c r="G37" s="184"/>
      <c r="H37" s="184"/>
      <c r="I37" s="184"/>
      <c r="J37" s="184"/>
      <c r="K37" s="185">
        <f>K34+K35</f>
        <v>360909238</v>
      </c>
      <c r="L37" s="185">
        <f>L34+L35</f>
        <v>10840316</v>
      </c>
      <c r="M37" s="185">
        <f>M34+M35</f>
        <v>350068922</v>
      </c>
      <c r="N37" s="186">
        <f>AVERAGE(N6:N36)</f>
        <v>70.299830605298041</v>
      </c>
      <c r="O37" s="187"/>
      <c r="P37" s="187"/>
      <c r="Q37" s="184"/>
      <c r="R37" s="168">
        <f t="shared" si="8"/>
        <v>8.3892365017350059</v>
      </c>
      <c r="S37" s="184"/>
      <c r="T37" s="147">
        <f>100*K36/K37</f>
        <v>2.4275973229590759</v>
      </c>
    </row>
    <row r="38" spans="2:23" ht="15.95" customHeight="1" thickTop="1" x14ac:dyDescent="0.2">
      <c r="B38" s="365">
        <v>2017</v>
      </c>
      <c r="C38" s="169" t="s">
        <v>32</v>
      </c>
      <c r="D38" s="170">
        <v>11500</v>
      </c>
      <c r="E38" s="171"/>
      <c r="F38" s="171"/>
      <c r="G38" s="171">
        <v>75452</v>
      </c>
      <c r="H38" s="172">
        <v>6173371</v>
      </c>
      <c r="I38" s="172">
        <v>225327</v>
      </c>
      <c r="J38" s="171">
        <v>26076479</v>
      </c>
      <c r="K38" s="171">
        <f>I38+J38</f>
        <v>26301806</v>
      </c>
      <c r="L38" s="172">
        <v>2020295</v>
      </c>
      <c r="M38" s="138">
        <f t="shared" ref="M38:M43" si="9">K38-L38</f>
        <v>24281511</v>
      </c>
      <c r="N38" s="173"/>
      <c r="O38" s="170">
        <f>(G38*0.8381*42200+H38*0.936*42500)/(I38+J38)</f>
        <v>9438.3355703650159</v>
      </c>
      <c r="P38" s="188">
        <f>100*3600*(K38)/(G38*42200*0.8381+H38*42500*0.936)</f>
        <v>38.142318347987853</v>
      </c>
      <c r="Q38" s="174">
        <f>100-M38*100/K38</f>
        <v>7.6812025759752061</v>
      </c>
      <c r="R38" s="189">
        <f t="shared" si="8"/>
        <v>18.759030767087765</v>
      </c>
      <c r="S38" s="176"/>
      <c r="T38" s="367" t="s">
        <v>81</v>
      </c>
    </row>
    <row r="39" spans="2:23" ht="15.95" customHeight="1" x14ac:dyDescent="0.2">
      <c r="B39" s="366"/>
      <c r="C39" s="107" t="s">
        <v>33</v>
      </c>
      <c r="D39" s="108">
        <v>74000</v>
      </c>
      <c r="E39" s="109"/>
      <c r="F39" s="109"/>
      <c r="G39" s="109">
        <v>46830</v>
      </c>
      <c r="H39" s="110">
        <v>76342323</v>
      </c>
      <c r="I39" s="109">
        <v>158300</v>
      </c>
      <c r="J39" s="109">
        <v>336866790</v>
      </c>
      <c r="K39" s="109">
        <f>I39+J39</f>
        <v>337025090</v>
      </c>
      <c r="L39" s="109">
        <v>8694700</v>
      </c>
      <c r="M39" s="109">
        <f t="shared" si="9"/>
        <v>328330390</v>
      </c>
      <c r="N39" s="111"/>
      <c r="O39" s="170">
        <f>(G39*0.8381*42200+H39*0.936*42500)/(I39+J39)</f>
        <v>9015.8091314524991</v>
      </c>
      <c r="P39" s="112">
        <f>100*3600*(K39)/(G39*42200*0.8381+H39*42500*0.936)</f>
        <v>39.929860398675274</v>
      </c>
      <c r="Q39" s="112">
        <f>100-M39*100/K39</f>
        <v>2.5798376020016747</v>
      </c>
      <c r="R39" s="112">
        <f t="shared" si="8"/>
        <v>2.1286263682967133</v>
      </c>
      <c r="S39" s="159"/>
      <c r="T39" s="368"/>
    </row>
    <row r="40" spans="2:23" ht="15.95" customHeight="1" x14ac:dyDescent="0.2">
      <c r="B40" s="366"/>
      <c r="C40" s="107" t="s">
        <v>26</v>
      </c>
      <c r="D40" s="108">
        <f>SUM(D38:D39)</f>
        <v>85500</v>
      </c>
      <c r="E40" s="108">
        <f>D40-2*8000</f>
        <v>69500</v>
      </c>
      <c r="F40" s="153">
        <v>58900</v>
      </c>
      <c r="G40" s="152">
        <f t="shared" ref="G40:L40" si="10">SUM(G38:G39)</f>
        <v>122282</v>
      </c>
      <c r="H40" s="152">
        <f t="shared" si="10"/>
        <v>82515694</v>
      </c>
      <c r="I40" s="152">
        <f t="shared" si="10"/>
        <v>383627</v>
      </c>
      <c r="J40" s="152">
        <f t="shared" si="10"/>
        <v>362943269</v>
      </c>
      <c r="K40" s="152">
        <f t="shared" si="10"/>
        <v>363326896</v>
      </c>
      <c r="L40" s="152">
        <f t="shared" si="10"/>
        <v>10714995</v>
      </c>
      <c r="M40" s="109">
        <f t="shared" si="9"/>
        <v>352611901</v>
      </c>
      <c r="N40" s="116">
        <f>(K40/F40)*100/8760</f>
        <v>70.417101968354388</v>
      </c>
      <c r="O40" s="170">
        <f>(G40*0.8381*42200+H40*0.936*42500)/(I40+J40)</f>
        <v>9046.3964855639006</v>
      </c>
      <c r="P40" s="174">
        <f>100*3600*(K40)/(G40*42200*0.8381+H40*42500*0.936)</f>
        <v>39.794850974582253</v>
      </c>
      <c r="Q40" s="112">
        <f>100-M40*100/K40</f>
        <v>2.9491334437294228</v>
      </c>
      <c r="R40" s="112">
        <f t="shared" si="8"/>
        <v>3.1745422018307852</v>
      </c>
      <c r="S40" s="112">
        <f>100*(F40-F32)/F32</f>
        <v>3.5149384885764499</v>
      </c>
      <c r="T40" s="368"/>
    </row>
    <row r="41" spans="2:23" ht="15.95" customHeight="1" x14ac:dyDescent="0.2">
      <c r="B41" s="366"/>
      <c r="C41" s="150" t="s">
        <v>27</v>
      </c>
      <c r="D41" s="108">
        <v>6000</v>
      </c>
      <c r="E41" s="118"/>
      <c r="F41" s="152"/>
      <c r="G41" s="152"/>
      <c r="H41" s="152"/>
      <c r="I41" s="152"/>
      <c r="J41" s="152"/>
      <c r="K41" s="152">
        <v>6616620</v>
      </c>
      <c r="L41" s="152">
        <v>130000</v>
      </c>
      <c r="M41" s="171">
        <f t="shared" si="9"/>
        <v>6486620</v>
      </c>
      <c r="N41" s="177"/>
      <c r="O41" s="118"/>
      <c r="P41" s="154"/>
      <c r="Q41" s="155"/>
      <c r="R41" s="190">
        <f t="shared" si="8"/>
        <v>-3.504108930969172</v>
      </c>
      <c r="S41" s="159"/>
      <c r="T41" s="368"/>
    </row>
    <row r="42" spans="2:23" ht="15.95" customHeight="1" x14ac:dyDescent="0.2">
      <c r="B42" s="366"/>
      <c r="C42" s="150" t="s">
        <v>34</v>
      </c>
      <c r="D42" s="120">
        <f>D40+D41</f>
        <v>91500</v>
      </c>
      <c r="E42" s="118">
        <f>+E40</f>
        <v>69500</v>
      </c>
      <c r="F42" s="152"/>
      <c r="G42" s="152"/>
      <c r="H42" s="152"/>
      <c r="I42" s="152"/>
      <c r="J42" s="152"/>
      <c r="K42" s="153">
        <f>SUM(K40:K41)</f>
        <v>369943516</v>
      </c>
      <c r="L42" s="152">
        <f>SUM(L40:L41)</f>
        <v>10844995</v>
      </c>
      <c r="M42" s="171">
        <f t="shared" si="9"/>
        <v>359098521</v>
      </c>
      <c r="N42" s="151"/>
      <c r="O42" s="118"/>
      <c r="P42" s="154"/>
      <c r="Q42" s="155"/>
      <c r="R42" s="112">
        <f t="shared" si="8"/>
        <v>3.0469817682725209</v>
      </c>
      <c r="S42" s="112"/>
      <c r="T42" s="368"/>
    </row>
    <row r="43" spans="2:23" ht="15.95" customHeight="1" x14ac:dyDescent="0.2">
      <c r="B43" s="366"/>
      <c r="C43" s="107" t="s">
        <v>29</v>
      </c>
      <c r="D43" s="126">
        <v>2106</v>
      </c>
      <c r="E43" s="157"/>
      <c r="F43" s="179"/>
      <c r="G43" s="152"/>
      <c r="H43" s="181"/>
      <c r="I43" s="157"/>
      <c r="J43" s="157"/>
      <c r="K43" s="157">
        <v>2378554</v>
      </c>
      <c r="L43" s="157">
        <v>2000</v>
      </c>
      <c r="M43" s="158">
        <f t="shared" si="9"/>
        <v>2376554</v>
      </c>
      <c r="N43" s="159"/>
      <c r="O43" s="126"/>
      <c r="P43" s="160"/>
      <c r="Q43" s="161"/>
      <c r="R43" s="112">
        <f t="shared" si="8"/>
        <v>24.889290271090506</v>
      </c>
      <c r="S43" s="161"/>
      <c r="T43" s="368"/>
    </row>
    <row r="44" spans="2:23" ht="15.95" customHeight="1" thickBot="1" x14ac:dyDescent="0.25">
      <c r="B44" s="366"/>
      <c r="C44" s="156" t="s">
        <v>30</v>
      </c>
      <c r="D44" s="126">
        <f>D41+D43</f>
        <v>8106</v>
      </c>
      <c r="E44" s="157"/>
      <c r="F44" s="157"/>
      <c r="G44" s="157"/>
      <c r="H44" s="126"/>
      <c r="I44" s="157"/>
      <c r="J44" s="157"/>
      <c r="K44" s="158">
        <f>K41+K43</f>
        <v>8995174</v>
      </c>
      <c r="L44" s="157"/>
      <c r="M44" s="158">
        <f>M41+M43</f>
        <v>8863174</v>
      </c>
      <c r="N44" s="159"/>
      <c r="O44" s="126"/>
      <c r="P44" s="160"/>
      <c r="Q44" s="161"/>
      <c r="R44" s="127">
        <f t="shared" si="8"/>
        <v>2.6679570202237697</v>
      </c>
      <c r="S44" s="161"/>
      <c r="T44" s="369"/>
    </row>
    <row r="45" spans="2:23" ht="14.25" thickTop="1" thickBot="1" x14ac:dyDescent="0.25">
      <c r="B45" s="182"/>
      <c r="C45" s="370" t="s">
        <v>31</v>
      </c>
      <c r="D45" s="370"/>
      <c r="E45" s="370"/>
      <c r="F45" s="183"/>
      <c r="G45" s="184"/>
      <c r="H45" s="184"/>
      <c r="I45" s="184"/>
      <c r="J45" s="184"/>
      <c r="K45" s="185">
        <f>K42+K43</f>
        <v>372322070</v>
      </c>
      <c r="L45" s="185">
        <f>L42+L43</f>
        <v>10846995</v>
      </c>
      <c r="M45" s="185">
        <f>M42+M43</f>
        <v>361475075</v>
      </c>
      <c r="N45" s="186">
        <f>AVERAGE(N14:N44)</f>
        <v>70.30358033343694</v>
      </c>
      <c r="O45" s="187"/>
      <c r="P45" s="187"/>
      <c r="Q45" s="184"/>
      <c r="R45" s="168">
        <f t="shared" si="8"/>
        <v>3.1622443535235858</v>
      </c>
      <c r="S45" s="184"/>
      <c r="T45" s="147">
        <f>100*K44/K45</f>
        <v>2.4159658330219318</v>
      </c>
    </row>
    <row r="46" spans="2:23" ht="15.95" customHeight="1" thickTop="1" x14ac:dyDescent="0.2">
      <c r="B46" s="365">
        <v>2018</v>
      </c>
      <c r="C46" s="169" t="s">
        <v>32</v>
      </c>
      <c r="D46" s="170">
        <v>11500</v>
      </c>
      <c r="E46" s="171"/>
      <c r="F46" s="171"/>
      <c r="G46" s="171">
        <v>97210</v>
      </c>
      <c r="H46" s="172">
        <v>6127518</v>
      </c>
      <c r="I46" s="172">
        <v>312674</v>
      </c>
      <c r="J46" s="171">
        <v>25550280</v>
      </c>
      <c r="K46" s="171">
        <f>I46+J46</f>
        <v>25862954</v>
      </c>
      <c r="L46" s="172">
        <v>2008622</v>
      </c>
      <c r="M46" s="138">
        <f t="shared" ref="M46:M51" si="11">K46-L46</f>
        <v>23854332</v>
      </c>
      <c r="N46" s="173"/>
      <c r="O46" s="170">
        <f>(G46*0.8381*42200+H46*0.936*42500)/(I46+J46)</f>
        <v>9557.7160993365269</v>
      </c>
      <c r="P46" s="188">
        <f>100*3600*(K46)/(G46*42200*0.8381+H46*42500*0.936)</f>
        <v>37.66590221538285</v>
      </c>
      <c r="Q46" s="174">
        <f>100-M46*100/K46</f>
        <v>7.7664059565662882</v>
      </c>
      <c r="R46" s="191">
        <f t="shared" ref="R46:R53" si="12">100*(K46-K38)/K38</f>
        <v>-1.668524207044946</v>
      </c>
      <c r="S46" s="176"/>
      <c r="T46" s="367" t="s">
        <v>82</v>
      </c>
    </row>
    <row r="47" spans="2:23" ht="15.95" customHeight="1" x14ac:dyDescent="0.2">
      <c r="B47" s="366"/>
      <c r="C47" s="107" t="s">
        <v>33</v>
      </c>
      <c r="D47" s="108">
        <v>74000</v>
      </c>
      <c r="E47" s="109"/>
      <c r="F47" s="109"/>
      <c r="G47" s="109">
        <v>60647</v>
      </c>
      <c r="H47" s="110">
        <v>77972550</v>
      </c>
      <c r="I47" s="109">
        <v>239300</v>
      </c>
      <c r="J47" s="109">
        <v>340056320</v>
      </c>
      <c r="K47" s="109">
        <f>I47+J47</f>
        <v>340295620</v>
      </c>
      <c r="L47" s="109">
        <v>8657761</v>
      </c>
      <c r="M47" s="109">
        <f t="shared" si="11"/>
        <v>331637859</v>
      </c>
      <c r="N47" s="111"/>
      <c r="O47" s="170">
        <f>(G47*0.8381*42200+H47*0.936*42500)/(I47+J47)</f>
        <v>9121.1664469250009</v>
      </c>
      <c r="P47" s="112">
        <f>100*3600*(K47)/(G47*42200*0.8381+H47*42500*0.936)</f>
        <v>39.468636176611604</v>
      </c>
      <c r="Q47" s="112">
        <f>100-M47*100/K47</f>
        <v>2.544188197309154</v>
      </c>
      <c r="R47" s="112">
        <f t="shared" si="12"/>
        <v>0.97041143138631014</v>
      </c>
      <c r="S47" s="159"/>
      <c r="T47" s="368"/>
      <c r="W47" s="200">
        <v>0.95</v>
      </c>
    </row>
    <row r="48" spans="2:23" ht="15.95" customHeight="1" x14ac:dyDescent="0.2">
      <c r="B48" s="366"/>
      <c r="C48" s="107" t="s">
        <v>26</v>
      </c>
      <c r="D48" s="108">
        <f>SUM(D46:D47)</f>
        <v>85500</v>
      </c>
      <c r="E48" s="108">
        <f>D48-2*8000</f>
        <v>69500</v>
      </c>
      <c r="F48" s="153">
        <v>58400</v>
      </c>
      <c r="G48" s="152">
        <f t="shared" ref="G48:L48" si="13">SUM(G46:G47)</f>
        <v>157857</v>
      </c>
      <c r="H48" s="152">
        <f t="shared" si="13"/>
        <v>84100068</v>
      </c>
      <c r="I48" s="152">
        <f t="shared" si="13"/>
        <v>551974</v>
      </c>
      <c r="J48" s="152">
        <f t="shared" si="13"/>
        <v>365606600</v>
      </c>
      <c r="K48" s="152">
        <f t="shared" si="13"/>
        <v>366158574</v>
      </c>
      <c r="L48" s="152">
        <f t="shared" si="13"/>
        <v>10666383</v>
      </c>
      <c r="M48" s="109">
        <f t="shared" si="11"/>
        <v>355492191</v>
      </c>
      <c r="N48" s="116">
        <f>(K48/F48)*100/8760</f>
        <v>71.573499953086881</v>
      </c>
      <c r="O48" s="170">
        <f>(G48*0.8381*42200+H48*0.936*42500)/(I48+J48)</f>
        <v>9152.0013484696938</v>
      </c>
      <c r="P48" s="174">
        <f>100*3600*(K48)/(G48*42200*0.8381+H48*42500*0.936)</f>
        <v>39.335658539888172</v>
      </c>
      <c r="Q48" s="112">
        <f>100-M48*100/K48</f>
        <v>2.913050180275178</v>
      </c>
      <c r="R48" s="112">
        <f t="shared" si="12"/>
        <v>0.77937472594927293</v>
      </c>
      <c r="S48" s="178">
        <f>100*(F48-F40)/F40</f>
        <v>-0.84889643463497455</v>
      </c>
      <c r="T48" s="368"/>
    </row>
    <row r="49" spans="2:31" ht="15.95" customHeight="1" x14ac:dyDescent="0.2">
      <c r="B49" s="366"/>
      <c r="C49" s="150" t="s">
        <v>27</v>
      </c>
      <c r="D49" s="108">
        <v>6000</v>
      </c>
      <c r="E49" s="118"/>
      <c r="F49" s="152"/>
      <c r="G49" s="152"/>
      <c r="H49" s="152"/>
      <c r="I49" s="152"/>
      <c r="J49" s="152"/>
      <c r="K49" s="152">
        <v>7392410</v>
      </c>
      <c r="L49" s="152">
        <v>140000</v>
      </c>
      <c r="M49" s="171">
        <f t="shared" si="11"/>
        <v>7252410</v>
      </c>
      <c r="N49" s="177"/>
      <c r="O49" s="118"/>
      <c r="P49" s="154"/>
      <c r="Q49" s="155"/>
      <c r="R49" s="192">
        <f t="shared" si="12"/>
        <v>11.724868588493823</v>
      </c>
      <c r="S49" s="159"/>
      <c r="T49" s="368"/>
    </row>
    <row r="50" spans="2:31" ht="15.95" customHeight="1" x14ac:dyDescent="0.2">
      <c r="B50" s="366"/>
      <c r="C50" s="150" t="s">
        <v>34</v>
      </c>
      <c r="D50" s="120">
        <f>D48+D49</f>
        <v>91500</v>
      </c>
      <c r="E50" s="118">
        <f>+E48</f>
        <v>69500</v>
      </c>
      <c r="F50" s="152"/>
      <c r="G50" s="152"/>
      <c r="H50" s="152"/>
      <c r="I50" s="152"/>
      <c r="J50" s="152"/>
      <c r="K50" s="153">
        <f>SUM(K48:K49)</f>
        <v>373550984</v>
      </c>
      <c r="L50" s="153">
        <f>SUM(L48:L49)</f>
        <v>10806383</v>
      </c>
      <c r="M50" s="109">
        <f t="shared" si="11"/>
        <v>362744601</v>
      </c>
      <c r="N50" s="151"/>
      <c r="O50" s="118"/>
      <c r="P50" s="154"/>
      <c r="Q50" s="155"/>
      <c r="R50" s="112">
        <f t="shared" si="12"/>
        <v>0.97514021572958176</v>
      </c>
      <c r="S50" s="112"/>
      <c r="T50" s="368"/>
    </row>
    <row r="51" spans="2:31" ht="15.95" customHeight="1" x14ac:dyDescent="0.2">
      <c r="B51" s="366"/>
      <c r="C51" s="107" t="s">
        <v>29</v>
      </c>
      <c r="D51" s="126">
        <v>3290</v>
      </c>
      <c r="E51" s="157"/>
      <c r="F51" s="179"/>
      <c r="G51" s="152"/>
      <c r="H51" s="181"/>
      <c r="I51" s="157"/>
      <c r="J51" s="157"/>
      <c r="K51" s="157">
        <v>2919796</v>
      </c>
      <c r="L51" s="157">
        <v>2000</v>
      </c>
      <c r="M51" s="158">
        <f t="shared" si="11"/>
        <v>2917796</v>
      </c>
      <c r="N51" s="159"/>
      <c r="O51" s="126"/>
      <c r="P51" s="160"/>
      <c r="Q51" s="161"/>
      <c r="R51" s="112">
        <f t="shared" si="12"/>
        <v>22.75508565287986</v>
      </c>
      <c r="S51" s="161"/>
      <c r="T51" s="368"/>
    </row>
    <row r="52" spans="2:31" ht="15.95" customHeight="1" thickBot="1" x14ac:dyDescent="0.25">
      <c r="B52" s="366"/>
      <c r="C52" s="156" t="s">
        <v>30</v>
      </c>
      <c r="D52" s="126">
        <f>D49+D51</f>
        <v>9290</v>
      </c>
      <c r="E52" s="157"/>
      <c r="F52" s="157"/>
      <c r="G52" s="157"/>
      <c r="H52" s="126"/>
      <c r="I52" s="157"/>
      <c r="J52" s="157"/>
      <c r="K52" s="158">
        <f>K49+K51</f>
        <v>10312206</v>
      </c>
      <c r="L52" s="157"/>
      <c r="M52" s="158">
        <f>M49+M51</f>
        <v>10170206</v>
      </c>
      <c r="N52" s="159"/>
      <c r="O52" s="126"/>
      <c r="P52" s="160"/>
      <c r="Q52" s="161"/>
      <c r="R52" s="127">
        <f t="shared" si="12"/>
        <v>14.641540008008739</v>
      </c>
      <c r="S52" s="161"/>
      <c r="T52" s="369"/>
    </row>
    <row r="53" spans="2:31" ht="14.25" thickTop="1" thickBot="1" x14ac:dyDescent="0.25">
      <c r="B53" s="182"/>
      <c r="C53" s="370" t="s">
        <v>31</v>
      </c>
      <c r="D53" s="370"/>
      <c r="E53" s="370"/>
      <c r="F53" s="183"/>
      <c r="G53" s="184"/>
      <c r="H53" s="184"/>
      <c r="I53" s="184"/>
      <c r="J53" s="184"/>
      <c r="K53" s="185">
        <f>K50+K51</f>
        <v>376470780</v>
      </c>
      <c r="L53" s="185">
        <f>L50+L51</f>
        <v>10808383</v>
      </c>
      <c r="M53" s="185">
        <f>M50+M51</f>
        <v>365662397</v>
      </c>
      <c r="N53" s="186">
        <f>AVERAGE(N22:N52)</f>
        <v>70.49270181386764</v>
      </c>
      <c r="O53" s="187"/>
      <c r="P53" s="187"/>
      <c r="Q53" s="184"/>
      <c r="R53" s="168">
        <f t="shared" si="12"/>
        <v>1.1142799028808579</v>
      </c>
      <c r="S53" s="184"/>
      <c r="T53" s="193">
        <f>100*K52/K53</f>
        <v>2.7391783234810414</v>
      </c>
    </row>
    <row r="54" spans="2:31" ht="15.95" customHeight="1" thickTop="1" x14ac:dyDescent="0.2">
      <c r="B54" s="365">
        <v>2019</v>
      </c>
      <c r="C54" s="169" t="s">
        <v>32</v>
      </c>
      <c r="D54" s="170">
        <v>11500</v>
      </c>
      <c r="E54" s="171"/>
      <c r="F54" s="171"/>
      <c r="G54" s="171">
        <v>123318</v>
      </c>
      <c r="H54" s="172">
        <v>6804197</v>
      </c>
      <c r="I54" s="172">
        <v>384734</v>
      </c>
      <c r="J54" s="171">
        <v>28256132</v>
      </c>
      <c r="K54" s="171">
        <f>I54+J54</f>
        <v>28640866</v>
      </c>
      <c r="L54" s="172">
        <v>2129529</v>
      </c>
      <c r="M54" s="138">
        <f t="shared" ref="M54:M59" si="14">K54-L54</f>
        <v>26511337</v>
      </c>
      <c r="N54" s="173"/>
      <c r="O54" s="170">
        <f>(G54*0.8381*42200+H54*0.936*42500)/(I54+J54)</f>
        <v>9602.7978164752421</v>
      </c>
      <c r="P54" s="188">
        <f>100*3600*(K54)/(G54*42200*0.8381+H54*42500*0.936)</f>
        <v>37.489074213596211</v>
      </c>
      <c r="Q54" s="174">
        <f>100-M54*100/K54</f>
        <v>7.4352814611122398</v>
      </c>
      <c r="R54" s="189">
        <f t="shared" ref="R54:R61" si="15">100*(K54-K46)/K46</f>
        <v>10.740892165682235</v>
      </c>
      <c r="S54" s="176"/>
      <c r="T54" s="367" t="s">
        <v>86</v>
      </c>
    </row>
    <row r="55" spans="2:31" ht="15.95" customHeight="1" x14ac:dyDescent="0.2">
      <c r="B55" s="366"/>
      <c r="C55" s="107" t="s">
        <v>33</v>
      </c>
      <c r="D55" s="108">
        <v>74000</v>
      </c>
      <c r="E55" s="109"/>
      <c r="F55" s="109"/>
      <c r="G55" s="109">
        <v>39679</v>
      </c>
      <c r="H55" s="110">
        <v>81386831</v>
      </c>
      <c r="I55" s="109">
        <v>148016</v>
      </c>
      <c r="J55" s="109">
        <v>355959820</v>
      </c>
      <c r="K55" s="109">
        <f>I55+J55</f>
        <v>356107836</v>
      </c>
      <c r="L55" s="109">
        <v>9494663</v>
      </c>
      <c r="M55" s="109">
        <f t="shared" si="14"/>
        <v>346613173</v>
      </c>
      <c r="N55" s="111"/>
      <c r="O55" s="170">
        <f>(G55*0.8381*42200+H55*0.936*42500)/(I55+J55)</f>
        <v>9095.4794291855451</v>
      </c>
      <c r="P55" s="112">
        <f>100*3600*(K55)/(G55*42200*0.8381+H55*42500*0.936)</f>
        <v>39.580101610128779</v>
      </c>
      <c r="Q55" s="112">
        <f>100-M55*100/K55</f>
        <v>2.6662325397411308</v>
      </c>
      <c r="R55" s="112">
        <f t="shared" si="15"/>
        <v>4.646611672521674</v>
      </c>
      <c r="S55" s="159"/>
      <c r="T55" s="368"/>
    </row>
    <row r="56" spans="2:31" ht="15.95" customHeight="1" x14ac:dyDescent="0.2">
      <c r="B56" s="366"/>
      <c r="C56" s="107" t="s">
        <v>26</v>
      </c>
      <c r="D56" s="108">
        <f>SUM(D54:D55)</f>
        <v>85500</v>
      </c>
      <c r="E56" s="108">
        <f>D56-2*8000</f>
        <v>69500</v>
      </c>
      <c r="F56" s="153">
        <v>60000</v>
      </c>
      <c r="G56" s="152">
        <f t="shared" ref="G56:L56" si="16">SUM(G54:G55)</f>
        <v>162997</v>
      </c>
      <c r="H56" s="152">
        <f t="shared" si="16"/>
        <v>88191028</v>
      </c>
      <c r="I56" s="152">
        <f t="shared" si="16"/>
        <v>532750</v>
      </c>
      <c r="J56" s="152">
        <f t="shared" si="16"/>
        <v>384215952</v>
      </c>
      <c r="K56" s="152">
        <f t="shared" si="16"/>
        <v>384748702</v>
      </c>
      <c r="L56" s="152">
        <f t="shared" si="16"/>
        <v>11624192</v>
      </c>
      <c r="M56" s="109">
        <f t="shared" si="14"/>
        <v>373124510</v>
      </c>
      <c r="N56" s="116">
        <f>(K56/F56)*100/8760</f>
        <v>73.201807838660585</v>
      </c>
      <c r="O56" s="170">
        <f>(G56*0.8381*42200+H56*0.936*42500)/(I56+J56)</f>
        <v>9133.2444375511895</v>
      </c>
      <c r="P56" s="174">
        <f>100*3600*(K56)/(G56*42200*0.8381+H56*42500*0.936)</f>
        <v>39.416442038917268</v>
      </c>
      <c r="Q56" s="112">
        <f>100-M56*100/K56</f>
        <v>3.0212426811513922</v>
      </c>
      <c r="R56" s="112">
        <f t="shared" si="15"/>
        <v>5.077070242249742</v>
      </c>
      <c r="S56" s="112">
        <f>100*(F56-F48)/F48</f>
        <v>2.7397260273972601</v>
      </c>
      <c r="T56" s="368"/>
    </row>
    <row r="57" spans="2:31" ht="15.95" customHeight="1" x14ac:dyDescent="0.2">
      <c r="B57" s="366"/>
      <c r="C57" s="150" t="s">
        <v>27</v>
      </c>
      <c r="D57" s="108">
        <v>6000</v>
      </c>
      <c r="E57" s="118"/>
      <c r="F57" s="152"/>
      <c r="G57" s="152"/>
      <c r="H57" s="152"/>
      <c r="I57" s="152"/>
      <c r="J57" s="152"/>
      <c r="K57" s="152">
        <v>4884428</v>
      </c>
      <c r="L57" s="152">
        <v>140000</v>
      </c>
      <c r="M57" s="171">
        <f t="shared" si="14"/>
        <v>4744428</v>
      </c>
      <c r="N57" s="177"/>
      <c r="O57" s="118"/>
      <c r="P57" s="154"/>
      <c r="Q57" s="155"/>
      <c r="R57" s="192">
        <f t="shared" si="15"/>
        <v>-33.926446179256835</v>
      </c>
      <c r="S57" s="159"/>
      <c r="T57" s="368"/>
      <c r="Y57" s="200">
        <f>J64/H64</f>
        <v>4.3425215027557202</v>
      </c>
      <c r="Z57" s="200">
        <f>Y57*0.95</f>
        <v>4.1253954276179341</v>
      </c>
      <c r="AA57" s="200">
        <f>40.2/4.12</f>
        <v>9.7572815533980588</v>
      </c>
    </row>
    <row r="58" spans="2:31" ht="15.95" customHeight="1" x14ac:dyDescent="0.2">
      <c r="B58" s="366"/>
      <c r="C58" s="150" t="s">
        <v>34</v>
      </c>
      <c r="D58" s="120">
        <f>D56+D57</f>
        <v>91500</v>
      </c>
      <c r="E58" s="118">
        <f>+E56</f>
        <v>69500</v>
      </c>
      <c r="F58" s="152"/>
      <c r="G58" s="152"/>
      <c r="H58" s="152"/>
      <c r="I58" s="152"/>
      <c r="J58" s="152"/>
      <c r="K58" s="153">
        <f>SUM(K56:K57)</f>
        <v>389633130</v>
      </c>
      <c r="L58" s="153">
        <f>SUM(L56:L57)</f>
        <v>11764192</v>
      </c>
      <c r="M58" s="194">
        <f t="shared" si="14"/>
        <v>377868938</v>
      </c>
      <c r="N58" s="151"/>
      <c r="O58" s="118"/>
      <c r="P58" s="154"/>
      <c r="Q58" s="155"/>
      <c r="R58" s="112">
        <f t="shared" si="15"/>
        <v>4.3052077731911425</v>
      </c>
      <c r="S58" s="112"/>
      <c r="T58" s="368"/>
    </row>
    <row r="59" spans="2:31" ht="15.95" customHeight="1" x14ac:dyDescent="0.2">
      <c r="B59" s="366"/>
      <c r="C59" s="107" t="s">
        <v>29</v>
      </c>
      <c r="D59" s="126">
        <v>3640</v>
      </c>
      <c r="E59" s="157"/>
      <c r="F59" s="179"/>
      <c r="G59" s="152"/>
      <c r="H59" s="181"/>
      <c r="I59" s="157"/>
      <c r="J59" s="157"/>
      <c r="K59" s="157">
        <v>3409690</v>
      </c>
      <c r="L59" s="157">
        <v>2000</v>
      </c>
      <c r="M59" s="158">
        <f t="shared" si="14"/>
        <v>3407690</v>
      </c>
      <c r="N59" s="159"/>
      <c r="O59" s="126"/>
      <c r="P59" s="160"/>
      <c r="Q59" s="161"/>
      <c r="R59" s="112">
        <f t="shared" si="15"/>
        <v>16.778363967893647</v>
      </c>
      <c r="S59" s="161"/>
      <c r="T59" s="368"/>
    </row>
    <row r="60" spans="2:31" ht="15.95" customHeight="1" thickBot="1" x14ac:dyDescent="0.25">
      <c r="B60" s="366"/>
      <c r="C60" s="156" t="s">
        <v>30</v>
      </c>
      <c r="D60" s="126">
        <f>D57+D59</f>
        <v>9640</v>
      </c>
      <c r="E60" s="157"/>
      <c r="F60" s="157"/>
      <c r="G60" s="157"/>
      <c r="H60" s="126"/>
      <c r="I60" s="157"/>
      <c r="J60" s="157"/>
      <c r="K60" s="158">
        <f>K57+K59</f>
        <v>8294118</v>
      </c>
      <c r="L60" s="157"/>
      <c r="M60" s="158">
        <f>M57+M59</f>
        <v>8152118</v>
      </c>
      <c r="N60" s="159"/>
      <c r="O60" s="126"/>
      <c r="P60" s="160"/>
      <c r="Q60" s="161"/>
      <c r="R60" s="195">
        <f t="shared" si="15"/>
        <v>-19.569896101765227</v>
      </c>
      <c r="S60" s="161"/>
      <c r="T60" s="369"/>
    </row>
    <row r="61" spans="2:31" ht="14.25" thickTop="1" thickBot="1" x14ac:dyDescent="0.25">
      <c r="B61" s="182"/>
      <c r="C61" s="370" t="s">
        <v>31</v>
      </c>
      <c r="D61" s="370"/>
      <c r="E61" s="370"/>
      <c r="F61" s="183"/>
      <c r="G61" s="184"/>
      <c r="H61" s="184"/>
      <c r="I61" s="184"/>
      <c r="J61" s="184"/>
      <c r="K61" s="185">
        <f>K58+K59</f>
        <v>393042820</v>
      </c>
      <c r="L61" s="185">
        <f>L58+L59</f>
        <v>11766192</v>
      </c>
      <c r="M61" s="185">
        <f>M58+M59</f>
        <v>381276628</v>
      </c>
      <c r="N61" s="196">
        <f>AVERAGE(N30:N60)</f>
        <v>70.991135217173692</v>
      </c>
      <c r="O61" s="187"/>
      <c r="P61" s="187"/>
      <c r="Q61" s="184"/>
      <c r="R61" s="168">
        <f t="shared" si="15"/>
        <v>4.4019458827588158</v>
      </c>
      <c r="S61" s="184"/>
      <c r="T61" s="193">
        <f>100*K60/K61</f>
        <v>2.1102326713410005</v>
      </c>
      <c r="AA61" s="200" t="s">
        <v>112</v>
      </c>
      <c r="AB61" s="200" t="s">
        <v>113</v>
      </c>
      <c r="AC61" s="328" t="s">
        <v>114</v>
      </c>
      <c r="AD61" s="200" t="s">
        <v>20</v>
      </c>
      <c r="AE61" s="200" t="s">
        <v>115</v>
      </c>
    </row>
    <row r="62" spans="2:31" ht="15.95" customHeight="1" thickTop="1" x14ac:dyDescent="0.2">
      <c r="B62" s="365">
        <v>2020</v>
      </c>
      <c r="C62" s="169" t="s">
        <v>32</v>
      </c>
      <c r="D62" s="170">
        <v>11500</v>
      </c>
      <c r="E62" s="171"/>
      <c r="F62" s="171"/>
      <c r="G62" s="171">
        <v>66591</v>
      </c>
      <c r="H62" s="172">
        <v>7464655</v>
      </c>
      <c r="I62" s="197">
        <v>198519</v>
      </c>
      <c r="J62" s="171">
        <v>31224250</v>
      </c>
      <c r="K62" s="171">
        <f>I62+J62</f>
        <v>31422769</v>
      </c>
      <c r="L62" s="172">
        <v>2560956</v>
      </c>
      <c r="M62" s="138">
        <f t="shared" ref="M62:M67" si="17">K62-L62</f>
        <v>28861813</v>
      </c>
      <c r="N62" s="173"/>
      <c r="O62" s="170">
        <f>(G62*0.8381*42200+H62*0.936*42500)/(I62+J62)</f>
        <v>9524.9134282729829</v>
      </c>
      <c r="P62" s="188">
        <f>100*3600*(K62)/(G62*42200*0.8381+H62*42500*0.936)</f>
        <v>37.795619110973242</v>
      </c>
      <c r="Q62" s="174">
        <f>100-M62*100/K62</f>
        <v>8.1500010390554678</v>
      </c>
      <c r="R62" s="189">
        <f t="shared" ref="R62:R69" si="18">100*(K62-K54)/K54</f>
        <v>9.7130547658719539</v>
      </c>
      <c r="S62" s="176"/>
      <c r="T62" s="367" t="s">
        <v>98</v>
      </c>
      <c r="V62" s="200" t="s">
        <v>55</v>
      </c>
      <c r="W62" s="200">
        <v>2020</v>
      </c>
      <c r="X62" s="202">
        <f>+H63</f>
        <v>80971568</v>
      </c>
      <c r="Y62" s="200">
        <v>0.96970000000000001</v>
      </c>
      <c r="Z62" s="200">
        <v>40.21</v>
      </c>
      <c r="AA62" s="202">
        <f t="shared" ref="AA62:AA67" si="19">X62*Y62*Z62</f>
        <v>3157213986.7768164</v>
      </c>
      <c r="AB62" s="200">
        <v>78.400000000000006</v>
      </c>
      <c r="AC62" s="328">
        <f t="shared" ref="AC62:AC67" si="20">AA62*AB62/1000</f>
        <v>247525576.56330243</v>
      </c>
      <c r="AD62" s="202">
        <f>+J63</f>
        <v>352811950</v>
      </c>
      <c r="AE62" s="200">
        <f t="shared" ref="AE62:AE67" si="21">AC62/AD62</f>
        <v>0.70157934435979963</v>
      </c>
    </row>
    <row r="63" spans="2:31" ht="15.95" customHeight="1" x14ac:dyDescent="0.2">
      <c r="B63" s="366"/>
      <c r="C63" s="107" t="s">
        <v>33</v>
      </c>
      <c r="D63" s="108">
        <v>74000</v>
      </c>
      <c r="E63" s="109"/>
      <c r="F63" s="109"/>
      <c r="G63" s="109">
        <v>48297</v>
      </c>
      <c r="H63" s="110">
        <v>80971568</v>
      </c>
      <c r="I63" s="109">
        <v>198080</v>
      </c>
      <c r="J63" s="109">
        <v>352811950</v>
      </c>
      <c r="K63" s="109">
        <f>I63+J63</f>
        <v>353010030</v>
      </c>
      <c r="L63" s="109">
        <v>9474737</v>
      </c>
      <c r="M63" s="109">
        <f t="shared" si="17"/>
        <v>343535293</v>
      </c>
      <c r="N63" s="111"/>
      <c r="O63" s="170">
        <f>(G63*0.8381*42200+H63*0.936*42500)/(I63+J63)</f>
        <v>9129.3642128030751</v>
      </c>
      <c r="P63" s="112">
        <f>100*3600*(K63)/(G63*42200*0.8381+H63*42500*0.936)</f>
        <v>39.433195084399614</v>
      </c>
      <c r="Q63" s="112">
        <f>100-M63*100/K63</f>
        <v>2.6839852114116951</v>
      </c>
      <c r="R63" s="190">
        <f t="shared" si="18"/>
        <v>-0.86990672117644718</v>
      </c>
      <c r="S63" s="159"/>
      <c r="T63" s="368"/>
      <c r="V63" s="200" t="s">
        <v>55</v>
      </c>
      <c r="W63" s="200">
        <v>2019</v>
      </c>
      <c r="X63" s="202">
        <f>+H56</f>
        <v>88191028</v>
      </c>
      <c r="Y63" s="200">
        <v>0.95</v>
      </c>
      <c r="Z63" s="200">
        <v>40.200000000000003</v>
      </c>
      <c r="AA63" s="202">
        <f t="shared" si="19"/>
        <v>3368015359.3200002</v>
      </c>
      <c r="AB63" s="200">
        <v>78.400000000000006</v>
      </c>
      <c r="AC63" s="328">
        <f t="shared" si="20"/>
        <v>264052404.17068803</v>
      </c>
      <c r="AD63" s="202">
        <f>+J56</f>
        <v>384215952</v>
      </c>
      <c r="AE63" s="200">
        <f t="shared" si="21"/>
        <v>0.68724997698869106</v>
      </c>
    </row>
    <row r="64" spans="2:31" ht="15.95" customHeight="1" x14ac:dyDescent="0.2">
      <c r="B64" s="366"/>
      <c r="C64" s="107" t="s">
        <v>26</v>
      </c>
      <c r="D64" s="108">
        <f>SUM(D62:D63)</f>
        <v>85500</v>
      </c>
      <c r="E64" s="108">
        <f>D64-2*8000</f>
        <v>69500</v>
      </c>
      <c r="F64" s="153">
        <v>61500</v>
      </c>
      <c r="G64" s="152">
        <f t="shared" ref="G64:L64" si="22">SUM(G62:G63)</f>
        <v>114888</v>
      </c>
      <c r="H64" s="152">
        <f t="shared" si="22"/>
        <v>88436223</v>
      </c>
      <c r="I64" s="152">
        <f t="shared" si="22"/>
        <v>396599</v>
      </c>
      <c r="J64" s="152">
        <f t="shared" si="22"/>
        <v>384036200</v>
      </c>
      <c r="K64" s="152">
        <f t="shared" si="22"/>
        <v>384432799</v>
      </c>
      <c r="L64" s="152">
        <f t="shared" si="22"/>
        <v>12035693</v>
      </c>
      <c r="M64" s="109">
        <f t="shared" si="17"/>
        <v>372397106</v>
      </c>
      <c r="N64" s="116">
        <f>(K64/F64)*100/8760</f>
        <v>71.357760515276382</v>
      </c>
      <c r="O64" s="170">
        <f>(G64*0.8381*42200+H64*0.936*42500)/(I64+J64)</f>
        <v>9161.6956154778054</v>
      </c>
      <c r="P64" s="174">
        <f>100*3600*(K64)/(G64*42200*0.8381+H64*42500*0.936)</f>
        <v>39.294036290816578</v>
      </c>
      <c r="Q64" s="112">
        <f>100-M64*100/K64</f>
        <v>3.1307664255775478</v>
      </c>
      <c r="R64" s="190">
        <f t="shared" si="18"/>
        <v>-8.2106319880450168E-2</v>
      </c>
      <c r="S64" s="112">
        <f>100*(F64-F56)/F56</f>
        <v>2.5</v>
      </c>
      <c r="T64" s="368"/>
      <c r="V64" s="200" t="s">
        <v>55</v>
      </c>
      <c r="W64" s="200">
        <v>2018</v>
      </c>
      <c r="X64" s="202">
        <f>+H48</f>
        <v>84100068</v>
      </c>
      <c r="Y64" s="200">
        <v>0.95</v>
      </c>
      <c r="Z64" s="200">
        <v>40.200000000000003</v>
      </c>
      <c r="AA64" s="202">
        <f t="shared" si="19"/>
        <v>3211781596.9200001</v>
      </c>
      <c r="AB64" s="200">
        <v>78.400000000000006</v>
      </c>
      <c r="AC64" s="328">
        <f t="shared" si="20"/>
        <v>251803677.19852802</v>
      </c>
      <c r="AD64" s="202">
        <f>+J48</f>
        <v>365606600</v>
      </c>
      <c r="AE64" s="200">
        <f t="shared" si="21"/>
        <v>0.68872847809237581</v>
      </c>
    </row>
    <row r="65" spans="2:31" ht="15.95" customHeight="1" x14ac:dyDescent="0.2">
      <c r="B65" s="366"/>
      <c r="C65" s="150" t="s">
        <v>27</v>
      </c>
      <c r="D65" s="108">
        <v>6000</v>
      </c>
      <c r="E65" s="118"/>
      <c r="F65" s="152"/>
      <c r="G65" s="152"/>
      <c r="H65" s="152"/>
      <c r="I65" s="152"/>
      <c r="J65" s="152"/>
      <c r="K65" s="152">
        <v>5985764</v>
      </c>
      <c r="L65" s="152">
        <v>140000</v>
      </c>
      <c r="M65" s="171">
        <f t="shared" si="17"/>
        <v>5845764</v>
      </c>
      <c r="N65" s="177"/>
      <c r="O65" s="118"/>
      <c r="P65" s="154"/>
      <c r="Q65" s="155"/>
      <c r="R65" s="113">
        <f t="shared" si="18"/>
        <v>22.547901207674677</v>
      </c>
      <c r="S65" s="159"/>
      <c r="T65" s="368"/>
      <c r="X65" s="202">
        <f>+H62</f>
        <v>7464655</v>
      </c>
      <c r="Y65" s="200">
        <v>0.96970000000000001</v>
      </c>
      <c r="Z65" s="200">
        <v>40.200000000000003</v>
      </c>
      <c r="AA65" s="202">
        <f t="shared" si="19"/>
        <v>290986733.33070004</v>
      </c>
      <c r="AB65" s="200">
        <v>78.400000000000006</v>
      </c>
      <c r="AC65" s="328">
        <f t="shared" si="20"/>
        <v>22813359.893126883</v>
      </c>
      <c r="AD65" s="202">
        <f>+J62</f>
        <v>31224250</v>
      </c>
      <c r="AE65" s="200">
        <f t="shared" si="21"/>
        <v>0.73062955533365515</v>
      </c>
    </row>
    <row r="66" spans="2:31" ht="15.95" customHeight="1" x14ac:dyDescent="0.2">
      <c r="B66" s="366"/>
      <c r="C66" s="150" t="s">
        <v>34</v>
      </c>
      <c r="D66" s="120">
        <f>D64+D65</f>
        <v>91500</v>
      </c>
      <c r="E66" s="118">
        <f>+E64</f>
        <v>69500</v>
      </c>
      <c r="F66" s="152"/>
      <c r="G66" s="152"/>
      <c r="H66" s="152"/>
      <c r="I66" s="152"/>
      <c r="J66" s="152"/>
      <c r="K66" s="153">
        <f>SUM(K64:K65)</f>
        <v>390418563</v>
      </c>
      <c r="L66" s="153">
        <f>SUM(L64:L65)</f>
        <v>12175693</v>
      </c>
      <c r="M66" s="194">
        <f t="shared" si="17"/>
        <v>378242870</v>
      </c>
      <c r="N66" s="151"/>
      <c r="O66" s="118"/>
      <c r="P66" s="154"/>
      <c r="Q66" s="155"/>
      <c r="R66" s="112">
        <f t="shared" si="18"/>
        <v>0.20158270422230265</v>
      </c>
      <c r="S66" s="112"/>
      <c r="T66" s="368"/>
      <c r="V66" s="202" t="s">
        <v>116</v>
      </c>
      <c r="W66" s="200">
        <v>2020</v>
      </c>
      <c r="X66" s="202">
        <v>12513446</v>
      </c>
      <c r="Y66" s="200">
        <v>0.83809999999999996</v>
      </c>
      <c r="Z66" s="200">
        <v>42</v>
      </c>
      <c r="AA66" s="202">
        <f t="shared" si="19"/>
        <v>440475801.88919997</v>
      </c>
      <c r="AB66" s="200">
        <v>74.8</v>
      </c>
      <c r="AC66" s="328">
        <f t="shared" si="20"/>
        <v>32947589.981312156</v>
      </c>
      <c r="AD66" s="200">
        <v>45696625</v>
      </c>
      <c r="AE66" s="200">
        <f t="shared" si="21"/>
        <v>0.72100707615304538</v>
      </c>
    </row>
    <row r="67" spans="2:31" ht="15.95" customHeight="1" x14ac:dyDescent="0.2">
      <c r="B67" s="366"/>
      <c r="C67" s="107" t="s">
        <v>29</v>
      </c>
      <c r="D67" s="126">
        <v>4860</v>
      </c>
      <c r="E67" s="157"/>
      <c r="F67" s="179"/>
      <c r="G67" s="152"/>
      <c r="H67" s="181"/>
      <c r="I67" s="157"/>
      <c r="J67" s="157"/>
      <c r="K67" s="157">
        <v>4992858</v>
      </c>
      <c r="L67" s="157">
        <v>3000</v>
      </c>
      <c r="M67" s="158">
        <f t="shared" si="17"/>
        <v>4989858</v>
      </c>
      <c r="N67" s="159"/>
      <c r="O67" s="126"/>
      <c r="P67" s="160"/>
      <c r="Q67" s="161"/>
      <c r="R67" s="112">
        <f t="shared" si="18"/>
        <v>46.431435115802316</v>
      </c>
      <c r="S67" s="161"/>
      <c r="T67" s="368"/>
      <c r="V67" s="200" t="s">
        <v>117</v>
      </c>
      <c r="W67" s="200">
        <v>2020</v>
      </c>
      <c r="X67" s="202">
        <f>+G64</f>
        <v>114888</v>
      </c>
      <c r="Y67" s="200">
        <v>0.83809999999999996</v>
      </c>
      <c r="Z67" s="200">
        <v>42</v>
      </c>
      <c r="AA67" s="202">
        <f t="shared" si="19"/>
        <v>4044080.5775999995</v>
      </c>
      <c r="AB67" s="200">
        <v>74.8</v>
      </c>
      <c r="AC67" s="328">
        <f t="shared" si="20"/>
        <v>302497.22720447992</v>
      </c>
      <c r="AD67" s="202">
        <f>+I64</f>
        <v>396599</v>
      </c>
      <c r="AE67" s="200">
        <f t="shared" si="21"/>
        <v>0.76272816422754453</v>
      </c>
    </row>
    <row r="68" spans="2:31" ht="15.95" customHeight="1" thickBot="1" x14ac:dyDescent="0.25">
      <c r="B68" s="366"/>
      <c r="C68" s="156" t="s">
        <v>30</v>
      </c>
      <c r="D68" s="126">
        <f>D65+D67</f>
        <v>10860</v>
      </c>
      <c r="E68" s="157"/>
      <c r="F68" s="157"/>
      <c r="G68" s="157"/>
      <c r="H68" s="126"/>
      <c r="I68" s="157"/>
      <c r="J68" s="157"/>
      <c r="K68" s="158">
        <f>K65+K67</f>
        <v>10978622</v>
      </c>
      <c r="L68" s="157"/>
      <c r="M68" s="158">
        <f>M65+M67</f>
        <v>10835622</v>
      </c>
      <c r="N68" s="159"/>
      <c r="O68" s="126"/>
      <c r="P68" s="160"/>
      <c r="Q68" s="161"/>
      <c r="R68" s="127">
        <f t="shared" si="18"/>
        <v>32.366358906396073</v>
      </c>
      <c r="S68" s="161"/>
      <c r="T68" s="369"/>
      <c r="AE68" s="200">
        <f>AVERAGE(AE66:AE67)</f>
        <v>0.74186762019029495</v>
      </c>
    </row>
    <row r="69" spans="2:31" ht="14.25" thickTop="1" thickBot="1" x14ac:dyDescent="0.25">
      <c r="B69" s="182"/>
      <c r="C69" s="370" t="s">
        <v>31</v>
      </c>
      <c r="D69" s="370"/>
      <c r="E69" s="370"/>
      <c r="F69" s="183"/>
      <c r="G69" s="184"/>
      <c r="H69" s="184"/>
      <c r="I69" s="184"/>
      <c r="J69" s="184"/>
      <c r="K69" s="185">
        <f>K66+K67</f>
        <v>395411421</v>
      </c>
      <c r="L69" s="185">
        <f>L66+L67</f>
        <v>12178693</v>
      </c>
      <c r="M69" s="185">
        <f>M66+M67</f>
        <v>383232728</v>
      </c>
      <c r="N69" s="196">
        <f>AVERAGE(N38:N68)</f>
        <v>71.191083948550926</v>
      </c>
      <c r="O69" s="187"/>
      <c r="P69" s="187"/>
      <c r="Q69" s="184"/>
      <c r="R69" s="168">
        <f t="shared" si="18"/>
        <v>0.60263179467316053</v>
      </c>
      <c r="S69" s="184"/>
      <c r="T69" s="193">
        <f>100*K68/K69</f>
        <v>2.7765060433092548</v>
      </c>
    </row>
    <row r="70" spans="2:31" ht="15.95" customHeight="1" thickTop="1" x14ac:dyDescent="0.2">
      <c r="B70" s="365">
        <v>2021</v>
      </c>
      <c r="C70" s="169" t="s">
        <v>32</v>
      </c>
      <c r="D70" s="170">
        <v>11500</v>
      </c>
      <c r="E70" s="171"/>
      <c r="F70" s="171"/>
      <c r="G70" s="171">
        <v>83820</v>
      </c>
      <c r="H70" s="172">
        <v>6839620</v>
      </c>
      <c r="I70" s="197">
        <v>255563</v>
      </c>
      <c r="J70" s="171">
        <v>28137247</v>
      </c>
      <c r="K70" s="171">
        <f>I70+J70</f>
        <v>28392810</v>
      </c>
      <c r="L70" s="172">
        <v>2382370</v>
      </c>
      <c r="M70" s="138">
        <f t="shared" ref="M70:M76" si="23">K70-L70</f>
        <v>26010440</v>
      </c>
      <c r="N70" s="173"/>
      <c r="O70" s="170">
        <f>(G70*0.8381*42200+H70*0.936*42500)/(I70+J70)</f>
        <v>9687.1219957587855</v>
      </c>
      <c r="P70" s="188">
        <f>100*3600*(K70)/(G70*42200*0.8381+H70*42500*0.936)</f>
        <v>37.162740405005238</v>
      </c>
      <c r="Q70" s="174">
        <f>100-M70*100/K70</f>
        <v>8.3907510387312811</v>
      </c>
      <c r="R70" s="191">
        <f>100*(K70-K62)/K62</f>
        <v>-9.6425588718804516</v>
      </c>
      <c r="S70" s="176"/>
      <c r="T70" s="367" t="s">
        <v>126</v>
      </c>
      <c r="V70" s="200" t="s">
        <v>55</v>
      </c>
      <c r="W70" s="200">
        <v>2020</v>
      </c>
      <c r="X70" s="202">
        <f>+H71</f>
        <v>80263117</v>
      </c>
      <c r="Y70" s="200">
        <v>0.96970000000000001</v>
      </c>
      <c r="Z70" s="200">
        <v>40.21</v>
      </c>
      <c r="AA70" s="202">
        <f t="shared" ref="AA70:AA76" si="24">X70*Y70*Z70</f>
        <v>3129590322.5525293</v>
      </c>
      <c r="AB70" s="200">
        <v>78.400000000000006</v>
      </c>
      <c r="AC70" s="328">
        <f t="shared" ref="AC70:AC76" si="25">AA70*AB70/1000</f>
        <v>245359881.2881183</v>
      </c>
      <c r="AD70" s="202">
        <f>+J71</f>
        <v>350750606</v>
      </c>
      <c r="AE70" s="200">
        <f t="shared" ref="AE70:AE76" si="26">AC70/AD70</f>
        <v>0.69952803242802752</v>
      </c>
    </row>
    <row r="71" spans="2:31" ht="15.95" customHeight="1" x14ac:dyDescent="0.2">
      <c r="B71" s="366"/>
      <c r="C71" s="107" t="s">
        <v>33</v>
      </c>
      <c r="D71" s="108">
        <v>74000</v>
      </c>
      <c r="E71" s="109"/>
      <c r="F71" s="109"/>
      <c r="G71" s="109">
        <v>45780</v>
      </c>
      <c r="H71" s="110">
        <v>80263117</v>
      </c>
      <c r="I71" s="109">
        <v>186170</v>
      </c>
      <c r="J71" s="109">
        <v>350750606</v>
      </c>
      <c r="K71" s="109">
        <f>I71+J71</f>
        <v>350936776</v>
      </c>
      <c r="L71" s="109">
        <v>9474737</v>
      </c>
      <c r="M71" s="109">
        <f t="shared" si="23"/>
        <v>341462039</v>
      </c>
      <c r="N71" s="111"/>
      <c r="O71" s="170">
        <f>(G71*0.8381*42200+H71*0.936*42500)/(I71+J71)</f>
        <v>9102.7391585189707</v>
      </c>
      <c r="P71" s="329">
        <f>100*3600*(K71)/(G71*42200*0.8381+H71*42500*0.936)</f>
        <v>39.548535197022233</v>
      </c>
      <c r="Q71" s="329">
        <f>100-M71*100/K71</f>
        <v>2.6998415805814489</v>
      </c>
      <c r="R71" s="190">
        <f>100*(K71-K63)/K63</f>
        <v>-0.5873073918041366</v>
      </c>
      <c r="S71" s="159"/>
      <c r="T71" s="368"/>
      <c r="V71" s="200" t="s">
        <v>55</v>
      </c>
      <c r="W71" s="200">
        <v>2019</v>
      </c>
      <c r="X71" s="202">
        <f>+H64</f>
        <v>88436223</v>
      </c>
      <c r="Y71" s="200">
        <v>0.95</v>
      </c>
      <c r="Z71" s="200">
        <v>40.200000000000003</v>
      </c>
      <c r="AA71" s="202">
        <f t="shared" si="24"/>
        <v>3377379356.3699999</v>
      </c>
      <c r="AB71" s="200">
        <v>78.400000000000006</v>
      </c>
      <c r="AC71" s="328">
        <f t="shared" si="25"/>
        <v>264786541.53940803</v>
      </c>
      <c r="AD71" s="202">
        <f>+J64</f>
        <v>384036200</v>
      </c>
      <c r="AE71" s="200">
        <f t="shared" si="26"/>
        <v>0.6894832870948312</v>
      </c>
    </row>
    <row r="72" spans="2:31" ht="15.95" customHeight="1" x14ac:dyDescent="0.2">
      <c r="B72" s="366"/>
      <c r="C72" s="107" t="s">
        <v>26</v>
      </c>
      <c r="D72" s="108">
        <f>SUM(D70:D71)</f>
        <v>85500</v>
      </c>
      <c r="E72" s="108">
        <f>D72-2*8000</f>
        <v>69500</v>
      </c>
      <c r="F72" s="153">
        <v>59500</v>
      </c>
      <c r="G72" s="152">
        <f t="shared" ref="G72:L72" si="27">SUM(G70:G71)</f>
        <v>129600</v>
      </c>
      <c r="H72" s="152">
        <f t="shared" si="27"/>
        <v>87102737</v>
      </c>
      <c r="I72" s="152">
        <f t="shared" si="27"/>
        <v>441733</v>
      </c>
      <c r="J72" s="152">
        <f t="shared" si="27"/>
        <v>378887853</v>
      </c>
      <c r="K72" s="152">
        <f>SUM(K70:K71)</f>
        <v>379329586</v>
      </c>
      <c r="L72" s="152">
        <f t="shared" si="27"/>
        <v>11857107</v>
      </c>
      <c r="M72" s="109">
        <f t="shared" si="23"/>
        <v>367472479</v>
      </c>
      <c r="N72" s="116">
        <f>(K72/F72)*100/8760</f>
        <v>72.777250681094344</v>
      </c>
      <c r="O72" s="170">
        <f>(G72*0.8381*42200+H72*0.936*42500)/(I72+J72)</f>
        <v>9146.4801992323373</v>
      </c>
      <c r="P72" s="174">
        <f>100*3600*(K72)/(G72*42200*0.8381+H72*42500*0.936)</f>
        <v>39.359402978887417</v>
      </c>
      <c r="Q72" s="329">
        <f>100-M72*100/K72</f>
        <v>3.1258060108182519</v>
      </c>
      <c r="R72" s="190">
        <f>100*(K72-K64)/K64</f>
        <v>-1.3274655579010572</v>
      </c>
      <c r="S72" s="190">
        <f>100*(F72-F64)/F64</f>
        <v>-3.2520325203252032</v>
      </c>
      <c r="T72" s="368"/>
      <c r="V72" s="200" t="s">
        <v>55</v>
      </c>
      <c r="W72" s="200">
        <v>2018</v>
      </c>
      <c r="X72" s="202">
        <f>+H56</f>
        <v>88191028</v>
      </c>
      <c r="Y72" s="200">
        <v>0.95</v>
      </c>
      <c r="Z72" s="200">
        <v>40.200000000000003</v>
      </c>
      <c r="AA72" s="202">
        <f t="shared" si="24"/>
        <v>3368015359.3200002</v>
      </c>
      <c r="AB72" s="200">
        <v>78.400000000000006</v>
      </c>
      <c r="AC72" s="328">
        <f t="shared" si="25"/>
        <v>264052404.17068803</v>
      </c>
      <c r="AD72" s="202">
        <f>+J56</f>
        <v>384215952</v>
      </c>
      <c r="AE72" s="200">
        <f t="shared" si="26"/>
        <v>0.68724997698869106</v>
      </c>
    </row>
    <row r="73" spans="2:31" ht="15.95" customHeight="1" x14ac:dyDescent="0.2">
      <c r="B73" s="366"/>
      <c r="C73" s="150" t="s">
        <v>27</v>
      </c>
      <c r="D73" s="108">
        <v>6000</v>
      </c>
      <c r="E73" s="118"/>
      <c r="F73" s="152"/>
      <c r="G73" s="152"/>
      <c r="H73" s="152"/>
      <c r="I73" s="152"/>
      <c r="J73" s="152"/>
      <c r="K73" s="152">
        <v>5078618</v>
      </c>
      <c r="L73" s="152">
        <v>140000</v>
      </c>
      <c r="M73" s="171">
        <f t="shared" si="23"/>
        <v>4938618</v>
      </c>
      <c r="N73" s="177"/>
      <c r="O73" s="118"/>
      <c r="P73" s="154"/>
      <c r="Q73" s="155"/>
      <c r="R73" s="190">
        <f>100*(K73-K65)/K65</f>
        <v>-15.155057900712423</v>
      </c>
      <c r="S73" s="159"/>
      <c r="T73" s="368"/>
      <c r="X73" s="202">
        <f>+H70</f>
        <v>6839620</v>
      </c>
      <c r="Y73" s="200">
        <v>0.96970000000000001</v>
      </c>
      <c r="Z73" s="200">
        <v>40.200000000000003</v>
      </c>
      <c r="AA73" s="202">
        <f t="shared" si="24"/>
        <v>266621656.46280003</v>
      </c>
      <c r="AB73" s="200">
        <v>78.400000000000006</v>
      </c>
      <c r="AC73" s="328">
        <f t="shared" si="25"/>
        <v>20903137.866683524</v>
      </c>
      <c r="AD73" s="202">
        <f>+J70</f>
        <v>28137247</v>
      </c>
      <c r="AE73" s="200">
        <f t="shared" si="26"/>
        <v>0.74289918507960373</v>
      </c>
    </row>
    <row r="74" spans="2:31" ht="15.95" customHeight="1" x14ac:dyDescent="0.2">
      <c r="B74" s="366"/>
      <c r="C74" s="150" t="s">
        <v>118</v>
      </c>
      <c r="D74" s="120">
        <v>6000</v>
      </c>
      <c r="E74" s="118"/>
      <c r="F74" s="152"/>
      <c r="G74" s="152"/>
      <c r="H74" s="152"/>
      <c r="I74" s="152"/>
      <c r="J74" s="152"/>
      <c r="K74" s="152">
        <v>6403205</v>
      </c>
      <c r="L74" s="152">
        <v>44000</v>
      </c>
      <c r="M74" s="171">
        <f t="shared" si="23"/>
        <v>6359205</v>
      </c>
      <c r="N74" s="177"/>
      <c r="O74" s="118"/>
      <c r="P74" s="154"/>
      <c r="Q74" s="155"/>
      <c r="R74" s="329" t="s">
        <v>24</v>
      </c>
      <c r="S74" s="159"/>
      <c r="T74" s="368"/>
      <c r="X74" s="202"/>
      <c r="AA74" s="202"/>
      <c r="AD74" s="202"/>
    </row>
    <row r="75" spans="2:31" ht="15.95" customHeight="1" x14ac:dyDescent="0.2">
      <c r="B75" s="366"/>
      <c r="C75" s="150" t="s">
        <v>34</v>
      </c>
      <c r="D75" s="120">
        <f>D72+D73+D74</f>
        <v>97500</v>
      </c>
      <c r="E75" s="118">
        <f>+E72</f>
        <v>69500</v>
      </c>
      <c r="F75" s="152"/>
      <c r="G75" s="152"/>
      <c r="H75" s="152"/>
      <c r="I75" s="152"/>
      <c r="J75" s="152"/>
      <c r="K75" s="153">
        <f>SUM(K72:K74)</f>
        <v>390811409</v>
      </c>
      <c r="L75" s="153">
        <f>SUM(L72:L73)</f>
        <v>11997107</v>
      </c>
      <c r="M75" s="194">
        <f t="shared" si="23"/>
        <v>378814302</v>
      </c>
      <c r="N75" s="151"/>
      <c r="O75" s="118"/>
      <c r="P75" s="154"/>
      <c r="Q75" s="155"/>
      <c r="R75" s="190">
        <f>100*(K75-K66)/K66</f>
        <v>0.10062175245494154</v>
      </c>
      <c r="S75" s="329"/>
      <c r="T75" s="368"/>
      <c r="V75" s="202" t="s">
        <v>116</v>
      </c>
      <c r="W75" s="200">
        <v>2020</v>
      </c>
      <c r="X75" s="202">
        <v>12513446</v>
      </c>
      <c r="Y75" s="200">
        <v>0.83809999999999996</v>
      </c>
      <c r="Z75" s="200">
        <v>42</v>
      </c>
      <c r="AA75" s="202">
        <f t="shared" si="24"/>
        <v>440475801.88919997</v>
      </c>
      <c r="AB75" s="200">
        <v>74.8</v>
      </c>
      <c r="AC75" s="328">
        <f t="shared" si="25"/>
        <v>32947589.981312156</v>
      </c>
      <c r="AD75" s="200">
        <v>45696625</v>
      </c>
      <c r="AE75" s="200">
        <f t="shared" si="26"/>
        <v>0.72100707615304538</v>
      </c>
    </row>
    <row r="76" spans="2:31" ht="15.95" customHeight="1" x14ac:dyDescent="0.2">
      <c r="B76" s="366"/>
      <c r="C76" s="107" t="s">
        <v>29</v>
      </c>
      <c r="D76" s="126">
        <v>5400</v>
      </c>
      <c r="E76" s="157"/>
      <c r="F76" s="179"/>
      <c r="G76" s="152"/>
      <c r="H76" s="181"/>
      <c r="I76" s="157"/>
      <c r="J76" s="157"/>
      <c r="K76" s="158">
        <v>6169014</v>
      </c>
      <c r="L76" s="157">
        <v>3000</v>
      </c>
      <c r="M76" s="158">
        <f t="shared" si="23"/>
        <v>6166014</v>
      </c>
      <c r="N76" s="159"/>
      <c r="O76" s="126"/>
      <c r="P76" s="160"/>
      <c r="Q76" s="161"/>
      <c r="R76" s="329">
        <f>100*(K76-K67)/K67</f>
        <v>23.556768488108414</v>
      </c>
      <c r="S76" s="161"/>
      <c r="T76" s="368"/>
      <c r="V76" s="200" t="s">
        <v>117</v>
      </c>
      <c r="W76" s="200">
        <v>2020</v>
      </c>
      <c r="X76" s="202">
        <f>+G72</f>
        <v>129600</v>
      </c>
      <c r="Y76" s="200">
        <v>0.83809999999999996</v>
      </c>
      <c r="Z76" s="200">
        <v>42</v>
      </c>
      <c r="AA76" s="202">
        <f t="shared" si="24"/>
        <v>4561945.92</v>
      </c>
      <c r="AB76" s="200">
        <v>74.8</v>
      </c>
      <c r="AC76" s="328">
        <f t="shared" si="25"/>
        <v>341233.55481599999</v>
      </c>
      <c r="AD76" s="202">
        <f>+I72</f>
        <v>441733</v>
      </c>
      <c r="AE76" s="200">
        <f t="shared" si="26"/>
        <v>0.77248825606418359</v>
      </c>
    </row>
    <row r="77" spans="2:31" ht="15.95" customHeight="1" thickBot="1" x14ac:dyDescent="0.25">
      <c r="B77" s="366"/>
      <c r="C77" s="156" t="s">
        <v>30</v>
      </c>
      <c r="D77" s="126">
        <f>D73+D76+D74</f>
        <v>17400</v>
      </c>
      <c r="E77" s="157"/>
      <c r="F77" s="157"/>
      <c r="G77" s="157"/>
      <c r="H77" s="126"/>
      <c r="I77" s="157"/>
      <c r="J77" s="157"/>
      <c r="K77" s="158">
        <f>K74+K73+K76</f>
        <v>17650837</v>
      </c>
      <c r="L77" s="157"/>
      <c r="M77" s="158">
        <f>M74+M73+M76</f>
        <v>17463837</v>
      </c>
      <c r="N77" s="159"/>
      <c r="O77" s="126"/>
      <c r="P77" s="160"/>
      <c r="Q77" s="161"/>
      <c r="R77" s="127">
        <f>100*(K77-K68)/K68</f>
        <v>60.774612697294799</v>
      </c>
      <c r="S77" s="161"/>
      <c r="T77" s="369"/>
      <c r="AE77" s="200">
        <f>AVERAGE(AE75:AE76)</f>
        <v>0.74674766610861454</v>
      </c>
    </row>
    <row r="78" spans="2:31" ht="14.25" thickTop="1" thickBot="1" x14ac:dyDescent="0.25">
      <c r="B78" s="182"/>
      <c r="C78" s="370" t="s">
        <v>31</v>
      </c>
      <c r="D78" s="370"/>
      <c r="E78" s="370"/>
      <c r="F78" s="185">
        <f>+F72</f>
        <v>59500</v>
      </c>
      <c r="G78" s="185">
        <f>+G72</f>
        <v>129600</v>
      </c>
      <c r="H78" s="185">
        <f>+H72</f>
        <v>87102737</v>
      </c>
      <c r="I78" s="185">
        <f>+I72</f>
        <v>441733</v>
      </c>
      <c r="J78" s="282">
        <f>+J72</f>
        <v>378887853</v>
      </c>
      <c r="K78" s="185">
        <f>K75+K76</f>
        <v>396980423</v>
      </c>
      <c r="L78" s="185">
        <f>L75+L76</f>
        <v>12000107</v>
      </c>
      <c r="M78" s="185">
        <f>M75+M76</f>
        <v>384980316</v>
      </c>
      <c r="N78" s="346">
        <f>(K78/F78)*100/8760</f>
        <v>76.163697287134028</v>
      </c>
      <c r="O78" s="347">
        <f>(G78*0.8381*42200+H78*0.936*42500)/K78</f>
        <v>8739.8026358896805</v>
      </c>
      <c r="P78" s="345"/>
      <c r="Q78" s="184"/>
      <c r="R78" s="348">
        <f>100*(K78-K69)/K69</f>
        <v>0.3968023978750983</v>
      </c>
      <c r="S78" s="184"/>
      <c r="T78" s="193">
        <f>100*K77/K78</f>
        <v>4.4462739161321316</v>
      </c>
    </row>
    <row r="79" spans="2:31" ht="13.5" thickTop="1" x14ac:dyDescent="0.2"/>
  </sheetData>
  <mergeCells count="30">
    <mergeCell ref="C29:E29"/>
    <mergeCell ref="B2:T2"/>
    <mergeCell ref="B6:B12"/>
    <mergeCell ref="R6:R8"/>
    <mergeCell ref="S6:S8"/>
    <mergeCell ref="C13:E13"/>
    <mergeCell ref="T6:T12"/>
    <mergeCell ref="B14:B20"/>
    <mergeCell ref="C21:E21"/>
    <mergeCell ref="B22:B28"/>
    <mergeCell ref="T22:T28"/>
    <mergeCell ref="T14:T20"/>
    <mergeCell ref="T38:T44"/>
    <mergeCell ref="T30:T36"/>
    <mergeCell ref="B38:B44"/>
    <mergeCell ref="B46:B52"/>
    <mergeCell ref="C53:E53"/>
    <mergeCell ref="C45:E45"/>
    <mergeCell ref="B30:B36"/>
    <mergeCell ref="C37:E37"/>
    <mergeCell ref="B70:B77"/>
    <mergeCell ref="T70:T77"/>
    <mergeCell ref="T46:T52"/>
    <mergeCell ref="T54:T60"/>
    <mergeCell ref="C78:E78"/>
    <mergeCell ref="B62:B68"/>
    <mergeCell ref="T62:T68"/>
    <mergeCell ref="C69:E69"/>
    <mergeCell ref="C61:E61"/>
    <mergeCell ref="B54:B60"/>
  </mergeCells>
  <pageMargins left="0" right="0" top="0.19685039370078741" bottom="0.19685039370078741" header="0.11811023622047245" footer="0.11811023622047245"/>
  <pageSetup paperSize="9" scale="9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9"/>
  <sheetViews>
    <sheetView topLeftCell="A19" zoomScaleNormal="100" workbookViewId="0">
      <selection activeCell="L23" sqref="L23"/>
    </sheetView>
  </sheetViews>
  <sheetFormatPr defaultRowHeight="12.75" x14ac:dyDescent="0.2"/>
  <cols>
    <col min="1" max="1" width="1.7109375" style="215" customWidth="1"/>
    <col min="2" max="2" width="5.7109375" style="208" customWidth="1"/>
    <col min="3" max="3" width="7.7109375" style="208" customWidth="1"/>
    <col min="4" max="4" width="7.7109375" style="209" customWidth="1"/>
    <col min="5" max="5" width="8.7109375" style="209" customWidth="1"/>
    <col min="6" max="7" width="7.7109375" style="209" customWidth="1"/>
    <col min="8" max="8" width="10.7109375" style="210" customWidth="1"/>
    <col min="9" max="9" width="9.7109375" style="210" customWidth="1"/>
    <col min="10" max="10" width="7.7109375" style="210" customWidth="1"/>
    <col min="11" max="11" width="9.7109375" style="210" customWidth="1"/>
    <col min="12" max="12" width="6.7109375" style="211" customWidth="1"/>
    <col min="13" max="13" width="6.7109375" style="212" customWidth="1"/>
    <col min="14" max="14" width="7.7109375" style="213" customWidth="1"/>
    <col min="15" max="15" width="7.7109375" style="214" customWidth="1"/>
    <col min="16" max="16" width="9.7109375" style="215" customWidth="1"/>
    <col min="17" max="17" width="7.7109375" style="215" customWidth="1"/>
    <col min="18" max="18" width="8.7109375" style="215" customWidth="1"/>
    <col min="19" max="19" width="15.7109375" style="215" customWidth="1"/>
    <col min="20" max="16384" width="9.140625" style="215"/>
  </cols>
  <sheetData>
    <row r="1" spans="2:27" ht="20.100000000000001" customHeight="1" x14ac:dyDescent="0.2"/>
    <row r="2" spans="2:27" ht="23.25" x14ac:dyDescent="0.35">
      <c r="B2" s="371" t="s">
        <v>120</v>
      </c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  <c r="S2" s="371"/>
      <c r="T2" s="216"/>
      <c r="U2" s="216"/>
      <c r="V2" s="216"/>
    </row>
    <row r="3" spans="2:27" ht="13.5" thickBot="1" x14ac:dyDescent="0.25">
      <c r="B3" s="217"/>
      <c r="C3" s="217"/>
      <c r="D3" s="218"/>
      <c r="E3" s="218"/>
      <c r="F3" s="218"/>
      <c r="G3" s="218"/>
      <c r="H3" s="217"/>
      <c r="I3" s="217"/>
      <c r="J3" s="217"/>
      <c r="K3" s="217"/>
      <c r="L3" s="219"/>
      <c r="M3" s="220"/>
    </row>
    <row r="4" spans="2:27" ht="20.100000000000001" customHeight="1" thickTop="1" x14ac:dyDescent="0.2">
      <c r="B4" s="396" t="s">
        <v>0</v>
      </c>
      <c r="C4" s="398" t="s">
        <v>35</v>
      </c>
      <c r="D4" s="400" t="s">
        <v>36</v>
      </c>
      <c r="E4" s="400" t="s">
        <v>2</v>
      </c>
      <c r="F4" s="402" t="s">
        <v>4</v>
      </c>
      <c r="G4" s="402" t="s">
        <v>3</v>
      </c>
      <c r="H4" s="404" t="s">
        <v>37</v>
      </c>
      <c r="I4" s="404" t="s">
        <v>38</v>
      </c>
      <c r="J4" s="404" t="s">
        <v>9</v>
      </c>
      <c r="K4" s="404" t="s">
        <v>10</v>
      </c>
      <c r="L4" s="404" t="s">
        <v>11</v>
      </c>
      <c r="M4" s="381" t="s">
        <v>12</v>
      </c>
      <c r="N4" s="394" t="s">
        <v>39</v>
      </c>
      <c r="O4" s="383" t="s">
        <v>40</v>
      </c>
      <c r="P4" s="384"/>
      <c r="Q4" s="384"/>
      <c r="R4" s="384"/>
      <c r="S4" s="388" t="s">
        <v>17</v>
      </c>
    </row>
    <row r="5" spans="2:27" ht="24.95" customHeight="1" x14ac:dyDescent="0.2">
      <c r="B5" s="397"/>
      <c r="C5" s="399"/>
      <c r="D5" s="401"/>
      <c r="E5" s="401"/>
      <c r="F5" s="403"/>
      <c r="G5" s="403"/>
      <c r="H5" s="405"/>
      <c r="I5" s="405"/>
      <c r="J5" s="405"/>
      <c r="K5" s="405"/>
      <c r="L5" s="405"/>
      <c r="M5" s="382"/>
      <c r="N5" s="395"/>
      <c r="O5" s="221" t="s">
        <v>9</v>
      </c>
      <c r="P5" s="222" t="s">
        <v>92</v>
      </c>
      <c r="Q5" s="222" t="s">
        <v>41</v>
      </c>
      <c r="R5" s="222" t="s">
        <v>103</v>
      </c>
      <c r="S5" s="389"/>
    </row>
    <row r="6" spans="2:27" s="217" customFormat="1" ht="20.100000000000001" customHeight="1" x14ac:dyDescent="0.2">
      <c r="B6" s="331"/>
      <c r="C6" s="335"/>
      <c r="D6" s="336" t="s">
        <v>18</v>
      </c>
      <c r="E6" s="336" t="s">
        <v>18</v>
      </c>
      <c r="F6" s="336" t="s">
        <v>18</v>
      </c>
      <c r="G6" s="336" t="s">
        <v>18</v>
      </c>
      <c r="H6" s="44" t="s">
        <v>42</v>
      </c>
      <c r="I6" s="43" t="s">
        <v>20</v>
      </c>
      <c r="J6" s="44" t="s">
        <v>20</v>
      </c>
      <c r="K6" s="43" t="s">
        <v>20</v>
      </c>
      <c r="L6" s="44" t="s">
        <v>21</v>
      </c>
      <c r="M6" s="337" t="s">
        <v>22</v>
      </c>
      <c r="N6" s="192" t="s">
        <v>21</v>
      </c>
      <c r="O6" s="192" t="s">
        <v>21</v>
      </c>
      <c r="P6" s="335" t="s">
        <v>21</v>
      </c>
      <c r="Q6" s="335" t="s">
        <v>21</v>
      </c>
      <c r="R6" s="335" t="s">
        <v>21</v>
      </c>
      <c r="S6" s="338"/>
    </row>
    <row r="7" spans="2:27" ht="23.1" customHeight="1" thickBot="1" x14ac:dyDescent="0.25">
      <c r="B7" s="334">
        <v>2013</v>
      </c>
      <c r="C7" s="224" t="s">
        <v>43</v>
      </c>
      <c r="D7" s="225">
        <v>12800</v>
      </c>
      <c r="E7" s="225">
        <v>9800</v>
      </c>
      <c r="F7" s="226">
        <v>7250</v>
      </c>
      <c r="G7" s="225">
        <f>0.85*E7-2*2700</f>
        <v>2930</v>
      </c>
      <c r="H7" s="227">
        <v>10796541</v>
      </c>
      <c r="I7" s="227">
        <v>39545503</v>
      </c>
      <c r="J7" s="227">
        <v>929315</v>
      </c>
      <c r="K7" s="227">
        <f>I7-J7</f>
        <v>38616188</v>
      </c>
      <c r="L7" s="228">
        <f>(I7/F7)*(100/8760)</f>
        <v>62.266576917020942</v>
      </c>
      <c r="M7" s="229">
        <f>H7*0.8381*42000/I7</f>
        <v>9610.2052996569546</v>
      </c>
      <c r="N7" s="230">
        <f>100*3600*I7/(H7*42000*0.8381)</f>
        <v>37.460177881199954</v>
      </c>
      <c r="O7" s="231">
        <f>(J7/I7)*100</f>
        <v>2.3499890746110879</v>
      </c>
      <c r="P7" s="390" t="s">
        <v>24</v>
      </c>
      <c r="Q7" s="391"/>
      <c r="R7" s="392"/>
      <c r="S7" s="232" t="s">
        <v>44</v>
      </c>
    </row>
    <row r="8" spans="2:27" ht="23.1" customHeight="1" thickTop="1" x14ac:dyDescent="0.2">
      <c r="B8" s="366">
        <v>2014</v>
      </c>
      <c r="C8" s="233" t="s">
        <v>43</v>
      </c>
      <c r="D8" s="234">
        <v>13800</v>
      </c>
      <c r="E8" s="234">
        <v>10800</v>
      </c>
      <c r="F8" s="234">
        <v>8060</v>
      </c>
      <c r="G8" s="234">
        <f>0.85*E8-2*2700</f>
        <v>3780</v>
      </c>
      <c r="H8" s="235">
        <v>11204306</v>
      </c>
      <c r="I8" s="235">
        <v>40806376</v>
      </c>
      <c r="J8" s="235">
        <v>932578</v>
      </c>
      <c r="K8" s="138">
        <f>I8-J8</f>
        <v>39873798</v>
      </c>
      <c r="L8" s="236">
        <f>(I8/F8)*(100/8760)</f>
        <v>57.794815142141701</v>
      </c>
      <c r="M8" s="237">
        <f>H8*0.8381*42000/I8</f>
        <v>9665.0046076426879</v>
      </c>
      <c r="N8" s="174">
        <f>100*3600*I8/(H8*42000*0.8381)</f>
        <v>37.24778358774158</v>
      </c>
      <c r="O8" s="176">
        <f>(J8/I8)*100</f>
        <v>2.2853732465730356</v>
      </c>
      <c r="P8" s="174">
        <f>100*(I8-I7)/I7</f>
        <v>3.188410576039455</v>
      </c>
      <c r="Q8" s="174">
        <f>100*(E8-E7)/E7</f>
        <v>10.204081632653061</v>
      </c>
      <c r="R8" s="174">
        <f>100*I9/I10</f>
        <v>0.19030587894129516</v>
      </c>
      <c r="S8" s="238" t="s">
        <v>45</v>
      </c>
    </row>
    <row r="9" spans="2:27" ht="23.1" customHeight="1" x14ac:dyDescent="0.2">
      <c r="B9" s="366"/>
      <c r="C9" s="154" t="s">
        <v>46</v>
      </c>
      <c r="D9" s="239">
        <v>120</v>
      </c>
      <c r="E9" s="239"/>
      <c r="F9" s="239"/>
      <c r="G9" s="239"/>
      <c r="H9" s="152"/>
      <c r="I9" s="152">
        <v>77805</v>
      </c>
      <c r="J9" s="152"/>
      <c r="K9" s="109"/>
      <c r="L9" s="118"/>
      <c r="M9" s="223"/>
      <c r="N9" s="333"/>
      <c r="O9" s="151"/>
      <c r="P9" s="127"/>
      <c r="Q9" s="333"/>
      <c r="R9" s="333"/>
      <c r="S9" s="393" t="s">
        <v>47</v>
      </c>
    </row>
    <row r="10" spans="2:27" ht="23.1" customHeight="1" thickBot="1" x14ac:dyDescent="0.25">
      <c r="B10" s="372"/>
      <c r="C10" s="240" t="s">
        <v>26</v>
      </c>
      <c r="D10" s="241">
        <f>SUM(D8:D9)</f>
        <v>13920</v>
      </c>
      <c r="E10" s="241">
        <f>+E8</f>
        <v>10800</v>
      </c>
      <c r="F10" s="241">
        <v>8060</v>
      </c>
      <c r="G10" s="241">
        <f>+G8</f>
        <v>3780</v>
      </c>
      <c r="H10" s="242">
        <f>+H8</f>
        <v>11204306</v>
      </c>
      <c r="I10" s="242">
        <f>I8+I9</f>
        <v>40884181</v>
      </c>
      <c r="J10" s="242">
        <f>+J8</f>
        <v>932578</v>
      </c>
      <c r="K10" s="130"/>
      <c r="L10" s="135"/>
      <c r="M10" s="243"/>
      <c r="N10" s="136"/>
      <c r="O10" s="244"/>
      <c r="P10" s="136">
        <f>100*(I10-I7)/I7</f>
        <v>3.3851586108286447</v>
      </c>
      <c r="Q10" s="136"/>
      <c r="R10" s="136"/>
      <c r="S10" s="387"/>
    </row>
    <row r="11" spans="2:27" ht="23.1" customHeight="1" thickTop="1" x14ac:dyDescent="0.2">
      <c r="B11" s="365">
        <v>2015</v>
      </c>
      <c r="C11" s="245" t="s">
        <v>43</v>
      </c>
      <c r="D11" s="246">
        <v>16300</v>
      </c>
      <c r="E11" s="246">
        <v>13300</v>
      </c>
      <c r="F11" s="246">
        <v>7700</v>
      </c>
      <c r="G11" s="246">
        <f>E11-2*2200</f>
        <v>8900</v>
      </c>
      <c r="H11" s="247">
        <v>12269651</v>
      </c>
      <c r="I11" s="247">
        <v>44411393</v>
      </c>
      <c r="J11" s="247">
        <v>1493907</v>
      </c>
      <c r="K11" s="121">
        <f>I11-J11</f>
        <v>42917486</v>
      </c>
      <c r="L11" s="248">
        <f>(I11/F11)*(100/8760)</f>
        <v>65.841476902093333</v>
      </c>
      <c r="M11" s="249">
        <f>H11*0.8381*42000/I11</f>
        <v>9724.8507636362592</v>
      </c>
      <c r="N11" s="332">
        <f>100*3600*I11/(H11*42000*0.8381)</f>
        <v>37.01856293220802</v>
      </c>
      <c r="O11" s="250">
        <f>(J11/I11)*100</f>
        <v>3.3637922593421012</v>
      </c>
      <c r="P11" s="332">
        <f>100*(I11-I8)/I8</f>
        <v>8.8344453817707311</v>
      </c>
      <c r="Q11" s="332">
        <f>100*(E11-E8)/E8</f>
        <v>23.148148148148149</v>
      </c>
      <c r="R11" s="332">
        <f>100*I12/I13</f>
        <v>0.54929062361274983</v>
      </c>
      <c r="S11" s="251" t="s">
        <v>48</v>
      </c>
    </row>
    <row r="12" spans="2:27" ht="23.1" customHeight="1" x14ac:dyDescent="0.2">
      <c r="B12" s="366"/>
      <c r="C12" s="154" t="s">
        <v>46</v>
      </c>
      <c r="D12" s="239">
        <v>239</v>
      </c>
      <c r="E12" s="239"/>
      <c r="F12" s="239"/>
      <c r="G12" s="239"/>
      <c r="H12" s="152"/>
      <c r="I12" s="152">
        <v>245295</v>
      </c>
      <c r="J12" s="152"/>
      <c r="K12" s="152"/>
      <c r="L12" s="118"/>
      <c r="M12" s="252"/>
      <c r="N12" s="333"/>
      <c r="O12" s="151"/>
      <c r="P12" s="127"/>
      <c r="Q12" s="333"/>
      <c r="R12" s="333"/>
      <c r="S12" s="393" t="s">
        <v>49</v>
      </c>
    </row>
    <row r="13" spans="2:27" ht="23.1" customHeight="1" thickBot="1" x14ac:dyDescent="0.25">
      <c r="B13" s="372"/>
      <c r="C13" s="240" t="s">
        <v>26</v>
      </c>
      <c r="D13" s="241">
        <f>SUM(D11:D12)</f>
        <v>16539</v>
      </c>
      <c r="E13" s="241">
        <f>+E11</f>
        <v>13300</v>
      </c>
      <c r="F13" s="241">
        <f>+F11</f>
        <v>7700</v>
      </c>
      <c r="G13" s="241">
        <f>+G11</f>
        <v>8900</v>
      </c>
      <c r="H13" s="242">
        <f>+H11</f>
        <v>12269651</v>
      </c>
      <c r="I13" s="242">
        <f>I11+I12</f>
        <v>44656688</v>
      </c>
      <c r="J13" s="242">
        <f>+J11</f>
        <v>1493907</v>
      </c>
      <c r="K13" s="242"/>
      <c r="L13" s="135"/>
      <c r="M13" s="253"/>
      <c r="N13" s="136"/>
      <c r="O13" s="244"/>
      <c r="P13" s="136">
        <f>100*(I13-I10)/I10</f>
        <v>9.2273023642078087</v>
      </c>
      <c r="Q13" s="254"/>
      <c r="R13" s="254"/>
      <c r="S13" s="387"/>
      <c r="AA13" s="215">
        <v>0</v>
      </c>
    </row>
    <row r="14" spans="2:27" ht="23.1" customHeight="1" thickTop="1" x14ac:dyDescent="0.2">
      <c r="B14" s="365">
        <v>2016</v>
      </c>
      <c r="C14" s="245" t="s">
        <v>43</v>
      </c>
      <c r="D14" s="246">
        <v>16300</v>
      </c>
      <c r="E14" s="246">
        <v>13300</v>
      </c>
      <c r="F14" s="246">
        <v>8200</v>
      </c>
      <c r="G14" s="246">
        <f>+G13</f>
        <v>8900</v>
      </c>
      <c r="H14" s="247">
        <v>12893104</v>
      </c>
      <c r="I14" s="247">
        <v>47972177</v>
      </c>
      <c r="J14" s="247">
        <v>1107807</v>
      </c>
      <c r="K14" s="121">
        <f>I14-J14</f>
        <v>46864370</v>
      </c>
      <c r="L14" s="248">
        <f>(I14/F14)*(100/8760)</f>
        <v>66.783852600512304</v>
      </c>
      <c r="M14" s="249">
        <f>H14*0.8381*42000/I14</f>
        <v>9460.4803826351254</v>
      </c>
      <c r="N14" s="332">
        <f>100*3600*I14/(H14*42000*0.8381)</f>
        <v>38.053035938934578</v>
      </c>
      <c r="O14" s="250">
        <f>(J14/I14)*100</f>
        <v>2.3092698086226102</v>
      </c>
      <c r="P14" s="332">
        <f>100*(I14-I11)/I11</f>
        <v>8.0177264424018411</v>
      </c>
      <c r="Q14" s="255">
        <f>100*(F14-F11)/F11</f>
        <v>6.4935064935064934</v>
      </c>
      <c r="R14" s="332">
        <f>100*I15/I16</f>
        <v>0.81566471567506782</v>
      </c>
      <c r="S14" s="385" t="s">
        <v>63</v>
      </c>
    </row>
    <row r="15" spans="2:27" ht="23.1" customHeight="1" x14ac:dyDescent="0.2">
      <c r="B15" s="366"/>
      <c r="C15" s="154" t="s">
        <v>46</v>
      </c>
      <c r="D15" s="239">
        <v>347</v>
      </c>
      <c r="E15" s="239"/>
      <c r="F15" s="239"/>
      <c r="G15" s="239"/>
      <c r="H15" s="157"/>
      <c r="I15" s="157">
        <v>394510</v>
      </c>
      <c r="J15" s="157"/>
      <c r="K15" s="157"/>
      <c r="L15" s="126"/>
      <c r="M15" s="256"/>
      <c r="N15" s="127"/>
      <c r="O15" s="159"/>
      <c r="P15" s="127"/>
      <c r="Q15" s="333"/>
      <c r="R15" s="333"/>
      <c r="S15" s="386"/>
    </row>
    <row r="16" spans="2:27" ht="23.1" customHeight="1" thickBot="1" x14ac:dyDescent="0.25">
      <c r="B16" s="372"/>
      <c r="C16" s="240" t="s">
        <v>26</v>
      </c>
      <c r="D16" s="241">
        <f>SUM(D14:D15)</f>
        <v>16647</v>
      </c>
      <c r="E16" s="241">
        <f>+E14</f>
        <v>13300</v>
      </c>
      <c r="F16" s="241">
        <f>+F14</f>
        <v>8200</v>
      </c>
      <c r="G16" s="241">
        <f>+G14</f>
        <v>8900</v>
      </c>
      <c r="H16" s="242">
        <f>+H14</f>
        <v>12893104</v>
      </c>
      <c r="I16" s="242">
        <f>I14+I15</f>
        <v>48366687</v>
      </c>
      <c r="J16" s="242">
        <f>+J14</f>
        <v>1107807</v>
      </c>
      <c r="K16" s="130">
        <f>I16-J16</f>
        <v>47258880</v>
      </c>
      <c r="L16" s="135">
        <f>(I16/F16)*(100/8760)</f>
        <v>67.333064650851995</v>
      </c>
      <c r="M16" s="253">
        <f>H16*0.8381*42000/I16</f>
        <v>9383.3145822206079</v>
      </c>
      <c r="N16" s="136">
        <f>100*3600*I16/(H16*42000*0.8381)</f>
        <v>38.365973648813139</v>
      </c>
      <c r="O16" s="244">
        <f>(J16/I16)*100</f>
        <v>2.2904339096039386</v>
      </c>
      <c r="P16" s="136">
        <f>100*(I16-I13)/I13</f>
        <v>8.3078239031071899</v>
      </c>
      <c r="Q16" s="254"/>
      <c r="R16" s="254"/>
      <c r="S16" s="387"/>
    </row>
    <row r="17" spans="2:23" ht="23.1" customHeight="1" thickTop="1" x14ac:dyDescent="0.2">
      <c r="B17" s="365">
        <v>2017</v>
      </c>
      <c r="C17" s="245" t="s">
        <v>43</v>
      </c>
      <c r="D17" s="246">
        <v>16300</v>
      </c>
      <c r="E17" s="246">
        <v>13300</v>
      </c>
      <c r="F17" s="246">
        <v>8680</v>
      </c>
      <c r="G17" s="246">
        <f>+G16</f>
        <v>8900</v>
      </c>
      <c r="H17" s="247">
        <v>13677902</v>
      </c>
      <c r="I17" s="247">
        <v>50902992</v>
      </c>
      <c r="J17" s="247">
        <v>1178606</v>
      </c>
      <c r="K17" s="121">
        <f>I17-J17</f>
        <v>49724386</v>
      </c>
      <c r="L17" s="248">
        <f>(I17/F17)*(100/8760)</f>
        <v>66.945205479452042</v>
      </c>
      <c r="M17" s="249">
        <f>H17*0.8381*42500/I17</f>
        <v>9571.0800420827909</v>
      </c>
      <c r="N17" s="332">
        <f>100*3600*I17/(H17*42500*0.8381)</f>
        <v>37.613309931285386</v>
      </c>
      <c r="O17" s="250">
        <f>(J17/I17)*100</f>
        <v>2.3153963130497321</v>
      </c>
      <c r="P17" s="332">
        <f>100*(I17-I14)/I14</f>
        <v>6.1094058749929152</v>
      </c>
      <c r="Q17" s="255">
        <f>100*(F17-F14)/F14</f>
        <v>5.8536585365853657</v>
      </c>
      <c r="R17" s="332">
        <f>100*I18/I19</f>
        <v>1.1711424350189432</v>
      </c>
      <c r="S17" s="385" t="s">
        <v>75</v>
      </c>
    </row>
    <row r="18" spans="2:23" ht="23.1" customHeight="1" x14ac:dyDescent="0.2">
      <c r="B18" s="366"/>
      <c r="C18" s="154" t="s">
        <v>46</v>
      </c>
      <c r="D18" s="239">
        <v>523</v>
      </c>
      <c r="E18" s="239"/>
      <c r="F18" s="239"/>
      <c r="G18" s="239"/>
      <c r="H18" s="157"/>
      <c r="I18" s="157">
        <v>603211</v>
      </c>
      <c r="J18" s="157"/>
      <c r="K18" s="157"/>
      <c r="L18" s="126"/>
      <c r="M18" s="256"/>
      <c r="N18" s="127"/>
      <c r="O18" s="159"/>
      <c r="P18" s="127"/>
      <c r="Q18" s="333"/>
      <c r="R18" s="333"/>
      <c r="S18" s="386"/>
    </row>
    <row r="19" spans="2:23" ht="23.1" customHeight="1" thickBot="1" x14ac:dyDescent="0.25">
      <c r="B19" s="372"/>
      <c r="C19" s="240" t="s">
        <v>26</v>
      </c>
      <c r="D19" s="241">
        <f>SUM(D17:D18)</f>
        <v>16823</v>
      </c>
      <c r="E19" s="241">
        <f>+E17</f>
        <v>13300</v>
      </c>
      <c r="F19" s="241">
        <f>+F17</f>
        <v>8680</v>
      </c>
      <c r="G19" s="241">
        <f>+G17</f>
        <v>8900</v>
      </c>
      <c r="H19" s="242">
        <f>+H17</f>
        <v>13677902</v>
      </c>
      <c r="I19" s="242">
        <f>I17+I18</f>
        <v>51506203</v>
      </c>
      <c r="J19" s="242">
        <f>+J17</f>
        <v>1178606</v>
      </c>
      <c r="K19" s="130">
        <f>I19-J19</f>
        <v>50327597</v>
      </c>
      <c r="L19" s="135">
        <f>(I19/F19)*(100/8760)</f>
        <v>67.738520032405361</v>
      </c>
      <c r="M19" s="253">
        <f>H19*0.8381*42000/I19</f>
        <v>9347.7068379589145</v>
      </c>
      <c r="N19" s="136">
        <f>100*3600*I19/(H19*42500*0.8381)</f>
        <v>38.059035445749458</v>
      </c>
      <c r="O19" s="244">
        <f>(J19/I19)*100</f>
        <v>2.2882797242887425</v>
      </c>
      <c r="P19" s="136">
        <f>100*(I19-I16)/I16</f>
        <v>6.4910710134022613</v>
      </c>
      <c r="Q19" s="254"/>
      <c r="R19" s="254"/>
      <c r="S19" s="387"/>
    </row>
    <row r="20" spans="2:23" ht="23.1" customHeight="1" thickTop="1" x14ac:dyDescent="0.2">
      <c r="B20" s="365">
        <v>2018</v>
      </c>
      <c r="C20" s="245" t="s">
        <v>43</v>
      </c>
      <c r="D20" s="246">
        <v>16300</v>
      </c>
      <c r="E20" s="246">
        <v>13300</v>
      </c>
      <c r="F20" s="246">
        <v>9050</v>
      </c>
      <c r="G20" s="246">
        <f>+G19</f>
        <v>8900</v>
      </c>
      <c r="H20" s="247">
        <v>13685281</v>
      </c>
      <c r="I20" s="247">
        <v>50737907</v>
      </c>
      <c r="J20" s="247">
        <v>1347084</v>
      </c>
      <c r="K20" s="121">
        <f>I20-J20</f>
        <v>49390823</v>
      </c>
      <c r="L20" s="248">
        <f>(I20/F20)*(100/8760)</f>
        <v>63.999983602008115</v>
      </c>
      <c r="M20" s="249">
        <f>H20*0.8381*42500/I20</f>
        <v>9607.4015283927638</v>
      </c>
      <c r="N20" s="332">
        <f>100*3600*I20/(H20*42500*0.8381)</f>
        <v>37.471110053648907</v>
      </c>
      <c r="O20" s="250">
        <f>(J20/I20)*100</f>
        <v>2.654985354441207</v>
      </c>
      <c r="P20" s="339">
        <f>100*(I20-I17)/I17</f>
        <v>-0.32431295983544545</v>
      </c>
      <c r="Q20" s="255">
        <f>100*(F20-F17)/F17</f>
        <v>4.2626728110599075</v>
      </c>
      <c r="R20" s="332">
        <f>100*I21/I22</f>
        <v>1.1976280065376608</v>
      </c>
      <c r="S20" s="385" t="s">
        <v>83</v>
      </c>
    </row>
    <row r="21" spans="2:23" ht="23.1" customHeight="1" x14ac:dyDescent="0.2">
      <c r="B21" s="366"/>
      <c r="C21" s="154" t="s">
        <v>46</v>
      </c>
      <c r="D21" s="239">
        <v>604</v>
      </c>
      <c r="E21" s="239"/>
      <c r="F21" s="239"/>
      <c r="G21" s="239"/>
      <c r="H21" s="157"/>
      <c r="I21" s="157">
        <v>615017</v>
      </c>
      <c r="J21" s="157"/>
      <c r="K21" s="157"/>
      <c r="L21" s="126"/>
      <c r="M21" s="256"/>
      <c r="N21" s="127"/>
      <c r="O21" s="159"/>
      <c r="P21" s="127"/>
      <c r="Q21" s="333"/>
      <c r="R21" s="333"/>
      <c r="S21" s="386"/>
    </row>
    <row r="22" spans="2:23" ht="23.1" customHeight="1" thickBot="1" x14ac:dyDescent="0.25">
      <c r="B22" s="372"/>
      <c r="C22" s="240" t="s">
        <v>26</v>
      </c>
      <c r="D22" s="241">
        <f>SUM(D20:D21)</f>
        <v>16904</v>
      </c>
      <c r="E22" s="241">
        <f>+E20</f>
        <v>13300</v>
      </c>
      <c r="F22" s="241">
        <f>+F20</f>
        <v>9050</v>
      </c>
      <c r="G22" s="241">
        <f>+G20</f>
        <v>8900</v>
      </c>
      <c r="H22" s="242">
        <v>13685281</v>
      </c>
      <c r="I22" s="242">
        <f>I20+I21</f>
        <v>51352924</v>
      </c>
      <c r="J22" s="242">
        <f>+J20</f>
        <v>1347084</v>
      </c>
      <c r="K22" s="130">
        <f>I22-J22</f>
        <v>50005840</v>
      </c>
      <c r="L22" s="135">
        <f>(I22/F22)*(100/8760)</f>
        <v>64.775756199702315</v>
      </c>
      <c r="M22" s="253">
        <f>H22*0.8381*42000/I22</f>
        <v>9380.6660017295217</v>
      </c>
      <c r="N22" s="136">
        <f>100*3600*I22/(H22*42500*0.8381)</f>
        <v>37.925314238537041</v>
      </c>
      <c r="O22" s="244">
        <f>(J22/I22)*100</f>
        <v>2.623188506266946</v>
      </c>
      <c r="P22" s="340">
        <f>100*(I22-I19)/I19</f>
        <v>-0.29759328211400093</v>
      </c>
      <c r="Q22" s="254"/>
      <c r="R22" s="254"/>
      <c r="S22" s="387"/>
    </row>
    <row r="23" spans="2:23" ht="23.1" customHeight="1" thickTop="1" x14ac:dyDescent="0.2">
      <c r="B23" s="365">
        <v>2019</v>
      </c>
      <c r="C23" s="245" t="s">
        <v>43</v>
      </c>
      <c r="D23" s="246">
        <v>16300</v>
      </c>
      <c r="E23" s="246">
        <v>13300</v>
      </c>
      <c r="F23" s="246">
        <v>9880</v>
      </c>
      <c r="G23" s="246">
        <f>+G22</f>
        <v>8900</v>
      </c>
      <c r="H23" s="247">
        <v>14684368</v>
      </c>
      <c r="I23" s="247">
        <v>53639171</v>
      </c>
      <c r="J23" s="247">
        <v>1280308</v>
      </c>
      <c r="K23" s="121">
        <f>I23-J23</f>
        <v>52358863</v>
      </c>
      <c r="L23" s="248">
        <f>(I23/F23)*(100/8760)</f>
        <v>61.975638021555469</v>
      </c>
      <c r="M23" s="249">
        <f>H23*0.8381*42500/I23</f>
        <v>9751.197960982654</v>
      </c>
      <c r="N23" s="332">
        <f>100*3600*I23/(H23*42500*0.8381)</f>
        <v>36.918540823441738</v>
      </c>
      <c r="O23" s="250">
        <f>(J23/I23)*100</f>
        <v>2.3868899838142541</v>
      </c>
      <c r="P23" s="332">
        <f>100*(I23-I20)/I20</f>
        <v>5.7181389054932836</v>
      </c>
      <c r="Q23" s="255">
        <f>100*(F23-F20)/F20</f>
        <v>9.1712707182320443</v>
      </c>
      <c r="R23" s="332">
        <f>100*I24/I25</f>
        <v>1.1617424139534147</v>
      </c>
      <c r="S23" s="385" t="s">
        <v>84</v>
      </c>
    </row>
    <row r="24" spans="2:23" ht="23.1" customHeight="1" x14ac:dyDescent="0.2">
      <c r="B24" s="366"/>
      <c r="C24" s="154" t="s">
        <v>46</v>
      </c>
      <c r="D24" s="239">
        <v>738</v>
      </c>
      <c r="E24" s="239"/>
      <c r="F24" s="239"/>
      <c r="G24" s="239"/>
      <c r="H24" s="157"/>
      <c r="I24" s="152">
        <v>623149</v>
      </c>
      <c r="J24" s="157"/>
      <c r="K24" s="157"/>
      <c r="L24" s="126"/>
      <c r="M24" s="256"/>
      <c r="N24" s="127"/>
      <c r="O24" s="159"/>
      <c r="P24" s="127"/>
      <c r="Q24" s="333"/>
      <c r="R24" s="333"/>
      <c r="S24" s="386"/>
    </row>
    <row r="25" spans="2:23" ht="23.1" customHeight="1" thickBot="1" x14ac:dyDescent="0.25">
      <c r="B25" s="372"/>
      <c r="C25" s="240" t="s">
        <v>26</v>
      </c>
      <c r="D25" s="241">
        <f>SUM(D23:D24)</f>
        <v>17038</v>
      </c>
      <c r="E25" s="241">
        <f>+E23</f>
        <v>13300</v>
      </c>
      <c r="F25" s="241">
        <f>+F23</f>
        <v>9880</v>
      </c>
      <c r="G25" s="241">
        <f>+G23</f>
        <v>8900</v>
      </c>
      <c r="H25" s="242">
        <f>+H23</f>
        <v>14684368</v>
      </c>
      <c r="I25" s="235">
        <v>53639171</v>
      </c>
      <c r="J25" s="242">
        <f>+J23</f>
        <v>1280308</v>
      </c>
      <c r="K25" s="130">
        <f>I25-J25</f>
        <v>52358863</v>
      </c>
      <c r="L25" s="135">
        <f>(I25/F25)*(100/8760)</f>
        <v>61.975638021555469</v>
      </c>
      <c r="M25" s="253">
        <f>H25*0.8381*42000/I25</f>
        <v>9636.477984971094</v>
      </c>
      <c r="N25" s="136">
        <f>100*3600*I25/(H25*42500*0.8381)</f>
        <v>36.918540823441738</v>
      </c>
      <c r="O25" s="244">
        <f>(J25/I25)*100</f>
        <v>2.3868899838142541</v>
      </c>
      <c r="P25" s="136">
        <f>100*(I25-I22)/I22</f>
        <v>4.4520288659707088</v>
      </c>
      <c r="Q25" s="254"/>
      <c r="R25" s="254"/>
      <c r="S25" s="387"/>
    </row>
    <row r="26" spans="2:23" ht="23.1" customHeight="1" thickTop="1" x14ac:dyDescent="0.2">
      <c r="B26" s="365">
        <v>2020</v>
      </c>
      <c r="C26" s="245" t="s">
        <v>43</v>
      </c>
      <c r="D26" s="246">
        <v>16300</v>
      </c>
      <c r="E26" s="246">
        <v>13300</v>
      </c>
      <c r="F26" s="246">
        <v>9470</v>
      </c>
      <c r="G26" s="246">
        <f>+G25</f>
        <v>8900</v>
      </c>
      <c r="H26" s="247">
        <v>12482184</v>
      </c>
      <c r="I26" s="247">
        <f>45596721-10000</f>
        <v>45586721</v>
      </c>
      <c r="J26" s="247">
        <v>952293</v>
      </c>
      <c r="K26" s="121">
        <f>I28-J26</f>
        <v>44744332</v>
      </c>
      <c r="L26" s="248">
        <f>(I26/F26)*(100/8760)</f>
        <v>54.952096984951275</v>
      </c>
      <c r="M26" s="249">
        <f>H26*0.8381*42500/I26</f>
        <v>9752.9724158489043</v>
      </c>
      <c r="N26" s="332">
        <f>100*3600*I26/(H26*42500*0.8381)</f>
        <v>36.911823867663976</v>
      </c>
      <c r="O26" s="250">
        <f>(J26/I26)*100</f>
        <v>2.0889701630437512</v>
      </c>
      <c r="P26" s="339"/>
      <c r="Q26" s="341"/>
      <c r="R26" s="332"/>
      <c r="S26" s="385" t="s">
        <v>102</v>
      </c>
    </row>
    <row r="27" spans="2:23" ht="23.1" customHeight="1" thickBot="1" x14ac:dyDescent="0.25">
      <c r="B27" s="366"/>
      <c r="C27" s="265" t="s">
        <v>101</v>
      </c>
      <c r="D27" s="266">
        <v>0</v>
      </c>
      <c r="E27" s="266">
        <v>0</v>
      </c>
      <c r="F27" s="266"/>
      <c r="G27" s="266"/>
      <c r="H27" s="259">
        <v>31262</v>
      </c>
      <c r="I27" s="259">
        <v>109904</v>
      </c>
      <c r="J27" s="259"/>
      <c r="K27" s="121"/>
      <c r="L27" s="145"/>
      <c r="M27" s="260"/>
      <c r="N27" s="146">
        <f>100*3600*I27/(H27*42500*0.8381)</f>
        <v>35.531575945444835</v>
      </c>
      <c r="O27" s="261"/>
      <c r="P27" s="146"/>
      <c r="Q27" s="237"/>
      <c r="R27" s="174"/>
      <c r="S27" s="386"/>
    </row>
    <row r="28" spans="2:23" ht="23.1" customHeight="1" thickTop="1" x14ac:dyDescent="0.2">
      <c r="B28" s="366"/>
      <c r="C28" s="154" t="s">
        <v>26</v>
      </c>
      <c r="D28" s="239">
        <f t="shared" ref="D28:K28" si="0">SUM(D26:D27)</f>
        <v>16300</v>
      </c>
      <c r="E28" s="239">
        <f t="shared" si="0"/>
        <v>13300</v>
      </c>
      <c r="F28" s="239">
        <f t="shared" si="0"/>
        <v>9470</v>
      </c>
      <c r="G28" s="239">
        <f>+G25</f>
        <v>8900</v>
      </c>
      <c r="H28" s="239">
        <f t="shared" si="0"/>
        <v>12513446</v>
      </c>
      <c r="I28" s="152">
        <f t="shared" si="0"/>
        <v>45696625</v>
      </c>
      <c r="J28" s="152">
        <f t="shared" si="0"/>
        <v>952293</v>
      </c>
      <c r="K28" s="152">
        <f t="shared" si="0"/>
        <v>44744332</v>
      </c>
      <c r="L28" s="118"/>
      <c r="M28" s="252"/>
      <c r="N28" s="333">
        <f>100*3600*I28/(H28*42500*0.8381)</f>
        <v>36.90837563201854</v>
      </c>
      <c r="O28" s="250">
        <f>(J28/I28)*100</f>
        <v>2.0839460244602308</v>
      </c>
      <c r="P28" s="257">
        <f>100*(I28-I25)/I25</f>
        <v>-14.807361582825358</v>
      </c>
      <c r="Q28" s="267">
        <f>100*(F31-F25)/F25</f>
        <v>-4.1497975708502022</v>
      </c>
      <c r="R28" s="174"/>
      <c r="S28" s="386"/>
    </row>
    <row r="29" spans="2:23" ht="23.1" customHeight="1" x14ac:dyDescent="0.2">
      <c r="B29" s="366"/>
      <c r="C29" s="327" t="s">
        <v>111</v>
      </c>
      <c r="D29" s="239">
        <v>794</v>
      </c>
      <c r="E29" s="239"/>
      <c r="F29" s="239"/>
      <c r="G29" s="239"/>
      <c r="H29" s="157"/>
      <c r="I29" s="157">
        <v>726338</v>
      </c>
      <c r="J29" s="157"/>
      <c r="K29" s="157"/>
      <c r="L29" s="126"/>
      <c r="M29" s="256"/>
      <c r="N29" s="127"/>
      <c r="O29" s="159"/>
      <c r="P29" s="127"/>
      <c r="Q29" s="333"/>
      <c r="R29" s="333">
        <f>100*I29/I31</f>
        <v>1.5646093076824932</v>
      </c>
      <c r="S29" s="386"/>
      <c r="W29" s="210"/>
    </row>
    <row r="30" spans="2:23" ht="23.1" customHeight="1" x14ac:dyDescent="0.2">
      <c r="B30" s="366"/>
      <c r="C30" s="326" t="s">
        <v>110</v>
      </c>
      <c r="D30" s="325">
        <v>185</v>
      </c>
      <c r="E30" s="325"/>
      <c r="F30" s="325"/>
      <c r="G30" s="325"/>
      <c r="H30" s="157"/>
      <c r="I30" s="157"/>
      <c r="J30" s="157"/>
      <c r="K30" s="157"/>
      <c r="L30" s="126"/>
      <c r="M30" s="256"/>
      <c r="N30" s="127"/>
      <c r="O30" s="159"/>
      <c r="P30" s="127"/>
      <c r="Q30" s="127"/>
      <c r="R30" s="127"/>
      <c r="S30" s="386"/>
    </row>
    <row r="31" spans="2:23" ht="23.1" customHeight="1" thickBot="1" x14ac:dyDescent="0.25">
      <c r="B31" s="372"/>
      <c r="C31" s="240" t="s">
        <v>26</v>
      </c>
      <c r="D31" s="241">
        <f>D28+D29</f>
        <v>17094</v>
      </c>
      <c r="E31" s="241">
        <f>+E28</f>
        <v>13300</v>
      </c>
      <c r="F31" s="241">
        <f>+F28</f>
        <v>9470</v>
      </c>
      <c r="G31" s="241">
        <f>+G28</f>
        <v>8900</v>
      </c>
      <c r="H31" s="242">
        <f>+H28</f>
        <v>12513446</v>
      </c>
      <c r="I31" s="242">
        <f>I28+I29</f>
        <v>46422963</v>
      </c>
      <c r="J31" s="242">
        <f>+J26</f>
        <v>952293</v>
      </c>
      <c r="K31" s="130">
        <f>I31-J31</f>
        <v>45470670</v>
      </c>
      <c r="L31" s="135">
        <f>(I31/F31)*(100/8760)</f>
        <v>55.960137275607181</v>
      </c>
      <c r="M31" s="253">
        <f>H31*0.8381*42000/I31</f>
        <v>9488.3172771457939</v>
      </c>
      <c r="N31" s="136">
        <f>100*3600*I31/(H31*42500*0.8381)</f>
        <v>37.495026303480806</v>
      </c>
      <c r="O31" s="244">
        <f>(J31/I31)*100</f>
        <v>2.0513404109944471</v>
      </c>
      <c r="P31" s="258">
        <f>100*(I31-I25)/I25</f>
        <v>-13.453242966786343</v>
      </c>
      <c r="Q31" s="254"/>
      <c r="R31" s="254"/>
      <c r="S31" s="387"/>
      <c r="V31" s="210"/>
    </row>
    <row r="32" spans="2:23" ht="23.1" customHeight="1" thickTop="1" x14ac:dyDescent="0.2">
      <c r="B32" s="365">
        <v>2021</v>
      </c>
      <c r="C32" s="245" t="s">
        <v>43</v>
      </c>
      <c r="D32" s="246">
        <v>17300</v>
      </c>
      <c r="E32" s="246">
        <v>14000</v>
      </c>
      <c r="F32" s="246">
        <v>8690</v>
      </c>
      <c r="G32" s="246">
        <v>9500</v>
      </c>
      <c r="H32" s="247">
        <v>12286928</v>
      </c>
      <c r="I32" s="247">
        <v>44679453</v>
      </c>
      <c r="J32" s="247">
        <v>960089</v>
      </c>
      <c r="K32" s="121">
        <f>I34-J32</f>
        <v>43829268</v>
      </c>
      <c r="L32" s="248">
        <f>(I32/F32)*(100/8760)</f>
        <v>58.69268329208505</v>
      </c>
      <c r="M32" s="249">
        <f>H32*0.8381*42500/I32</f>
        <v>9795.3562717967907</v>
      </c>
      <c r="N32" s="332">
        <f>100*3600*I32/(H32*42500*0.8381)</f>
        <v>36.752108857594834</v>
      </c>
      <c r="O32" s="250">
        <f>(J32/I32)*100</f>
        <v>2.148837856184139</v>
      </c>
      <c r="P32" s="339"/>
      <c r="Q32" s="341"/>
      <c r="R32" s="332"/>
      <c r="S32" s="385" t="s">
        <v>102</v>
      </c>
    </row>
    <row r="33" spans="2:24" ht="23.1" customHeight="1" thickBot="1" x14ac:dyDescent="0.25">
      <c r="B33" s="366"/>
      <c r="C33" s="265" t="s">
        <v>101</v>
      </c>
      <c r="D33" s="266">
        <v>2000</v>
      </c>
      <c r="E33" s="266">
        <v>1600</v>
      </c>
      <c r="F33" s="266">
        <v>0</v>
      </c>
      <c r="G33" s="266">
        <v>1000</v>
      </c>
      <c r="H33" s="259">
        <v>31262</v>
      </c>
      <c r="I33" s="259">
        <v>109904</v>
      </c>
      <c r="J33" s="259">
        <v>1000</v>
      </c>
      <c r="K33" s="121"/>
      <c r="L33" s="145"/>
      <c r="M33" s="260"/>
      <c r="N33" s="146">
        <f>100*3600*I33/(H33*42500*0.8381)</f>
        <v>35.531575945444835</v>
      </c>
      <c r="O33" s="261"/>
      <c r="P33" s="146"/>
      <c r="Q33" s="237"/>
      <c r="R33" s="174"/>
      <c r="S33" s="386"/>
    </row>
    <row r="34" spans="2:24" ht="23.1" customHeight="1" thickTop="1" x14ac:dyDescent="0.2">
      <c r="B34" s="366"/>
      <c r="C34" s="154" t="s">
        <v>26</v>
      </c>
      <c r="D34" s="239">
        <f>SUM(D32:D33)</f>
        <v>19300</v>
      </c>
      <c r="E34" s="239">
        <f>SUM(E32:E33)</f>
        <v>15600</v>
      </c>
      <c r="F34" s="239">
        <f>F32+F33</f>
        <v>8690</v>
      </c>
      <c r="G34" s="239">
        <f>G32+G33</f>
        <v>10500</v>
      </c>
      <c r="H34" s="239">
        <f t="shared" ref="H34:K34" si="1">SUM(H32:H33)</f>
        <v>12318190</v>
      </c>
      <c r="I34" s="239">
        <f t="shared" si="1"/>
        <v>44789357</v>
      </c>
      <c r="J34" s="152"/>
      <c r="K34" s="152">
        <f t="shared" si="1"/>
        <v>43829268</v>
      </c>
      <c r="L34" s="118"/>
      <c r="M34" s="252"/>
      <c r="N34" s="333">
        <f>100*3600*I34/(H34*42500*0.8381)</f>
        <v>36.749011300250807</v>
      </c>
      <c r="O34" s="250">
        <f>(J34/I34)*100</f>
        <v>0</v>
      </c>
      <c r="P34" s="257">
        <f>100*(I34-I31)/I31</f>
        <v>-3.5189610796708517</v>
      </c>
      <c r="Q34" s="267">
        <f>100*(F38-F31)/F31</f>
        <v>-8.2365364308342137</v>
      </c>
      <c r="R34" s="174"/>
      <c r="S34" s="386"/>
    </row>
    <row r="35" spans="2:24" ht="23.1" customHeight="1" x14ac:dyDescent="0.2">
      <c r="B35" s="366"/>
      <c r="C35" s="327" t="s">
        <v>111</v>
      </c>
      <c r="D35" s="239">
        <v>822</v>
      </c>
      <c r="E35" s="239"/>
      <c r="F35" s="239"/>
      <c r="G35" s="239"/>
      <c r="H35" s="157"/>
      <c r="I35" s="157">
        <v>790850</v>
      </c>
      <c r="J35" s="157"/>
      <c r="K35" s="157"/>
      <c r="L35" s="126"/>
      <c r="M35" s="256"/>
      <c r="N35" s="127"/>
      <c r="O35" s="159"/>
      <c r="P35" s="127"/>
      <c r="Q35" s="333"/>
      <c r="R35" s="333">
        <f>100*I35/I38</f>
        <v>1.7350732961787558</v>
      </c>
      <c r="S35" s="386"/>
      <c r="W35" s="210"/>
      <c r="X35" s="210"/>
    </row>
    <row r="36" spans="2:24" ht="23.1" customHeight="1" x14ac:dyDescent="0.2">
      <c r="B36" s="366"/>
      <c r="C36" s="326" t="s">
        <v>110</v>
      </c>
      <c r="D36" s="325">
        <v>191</v>
      </c>
      <c r="E36" s="325"/>
      <c r="F36" s="325"/>
      <c r="G36" s="325"/>
      <c r="H36" s="157"/>
      <c r="I36" s="157">
        <v>179851</v>
      </c>
      <c r="J36" s="157"/>
      <c r="K36" s="157"/>
      <c r="L36" s="126"/>
      <c r="M36" s="256"/>
      <c r="N36" s="127"/>
      <c r="O36" s="159"/>
      <c r="P36" s="127"/>
      <c r="Q36" s="127"/>
      <c r="R36" s="127"/>
      <c r="S36" s="386"/>
    </row>
    <row r="37" spans="2:24" ht="23.1" customHeight="1" x14ac:dyDescent="0.2">
      <c r="B37" s="366"/>
      <c r="C37" s="326" t="s">
        <v>125</v>
      </c>
      <c r="D37" s="325">
        <f>D35+D36</f>
        <v>1013</v>
      </c>
      <c r="E37" s="325"/>
      <c r="F37" s="325"/>
      <c r="G37" s="325"/>
      <c r="H37" s="157"/>
      <c r="I37" s="157">
        <f>I35+I36</f>
        <v>970701</v>
      </c>
      <c r="J37" s="157"/>
      <c r="K37" s="157"/>
      <c r="L37" s="126"/>
      <c r="M37" s="256"/>
      <c r="N37" s="127"/>
      <c r="O37" s="159"/>
      <c r="P37" s="127"/>
      <c r="Q37" s="127"/>
      <c r="R37" s="127"/>
      <c r="S37" s="386"/>
    </row>
    <row r="38" spans="2:24" ht="23.1" customHeight="1" thickBot="1" x14ac:dyDescent="0.25">
      <c r="B38" s="372"/>
      <c r="C38" s="240" t="s">
        <v>26</v>
      </c>
      <c r="D38" s="241">
        <f>D34+D35</f>
        <v>20122</v>
      </c>
      <c r="E38" s="241">
        <f>+E34</f>
        <v>15600</v>
      </c>
      <c r="F38" s="241">
        <f>+F34</f>
        <v>8690</v>
      </c>
      <c r="G38" s="241">
        <f>+G34</f>
        <v>10500</v>
      </c>
      <c r="H38" s="242">
        <f>+H34</f>
        <v>12318190</v>
      </c>
      <c r="I38" s="242">
        <f>I34+I35</f>
        <v>45580207</v>
      </c>
      <c r="J38" s="242">
        <f>+J32</f>
        <v>960089</v>
      </c>
      <c r="K38" s="130">
        <f>I38-J38</f>
        <v>44620118</v>
      </c>
      <c r="L38" s="135">
        <f>(I38/F38)*(100/8760)</f>
        <v>59.875949104360757</v>
      </c>
      <c r="M38" s="253">
        <f>H38*0.8381*42000/I38</f>
        <v>9512.9614404340009</v>
      </c>
      <c r="N38" s="136">
        <f>100*3600*I38/(H38*42500*0.8381)</f>
        <v>37.397892140107544</v>
      </c>
      <c r="O38" s="244">
        <f>(J38/I38)*100</f>
        <v>2.1063726191502377</v>
      </c>
      <c r="P38" s="258">
        <f>100*(I38-I31)/I31</f>
        <v>-1.8153860622812896</v>
      </c>
      <c r="Q38" s="254"/>
      <c r="R38" s="254"/>
      <c r="S38" s="387"/>
      <c r="V38" s="210"/>
    </row>
    <row r="39" spans="2:24" ht="13.5" thickTop="1" x14ac:dyDescent="0.2"/>
  </sheetData>
  <mergeCells count="33">
    <mergeCell ref="B32:B38"/>
    <mergeCell ref="S32:S38"/>
    <mergeCell ref="B2:S2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S26:S31"/>
    <mergeCell ref="B23:B25"/>
    <mergeCell ref="S23:S25"/>
    <mergeCell ref="S4:S5"/>
    <mergeCell ref="B20:B22"/>
    <mergeCell ref="S20:S22"/>
    <mergeCell ref="S17:S19"/>
    <mergeCell ref="S14:S16"/>
    <mergeCell ref="P7:R7"/>
    <mergeCell ref="B8:B10"/>
    <mergeCell ref="S9:S10"/>
    <mergeCell ref="S12:S13"/>
    <mergeCell ref="N4:N5"/>
    <mergeCell ref="B14:B16"/>
    <mergeCell ref="B11:B13"/>
    <mergeCell ref="M4:M5"/>
    <mergeCell ref="B17:B19"/>
    <mergeCell ref="O4:R4"/>
    <mergeCell ref="B26:B31"/>
  </mergeCells>
  <pageMargins left="3.937007874015748E-2" right="3.937007874015748E-2" top="0.31496062992125984" bottom="0.31496062992125984" header="0.51181102362204722" footer="0.51181102362204722"/>
  <pageSetup paperSize="9" scale="95" orientation="landscape" r:id="rId1"/>
  <headerFooter alignWithMargins="0">
    <oddFooter>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B20"/>
  <sheetViews>
    <sheetView topLeftCell="A4" zoomScale="120" zoomScaleNormal="120" workbookViewId="0">
      <selection activeCell="H19" sqref="H19"/>
    </sheetView>
  </sheetViews>
  <sheetFormatPr defaultRowHeight="11.25" x14ac:dyDescent="0.2"/>
  <cols>
    <col min="1" max="1" width="1.7109375" style="1" customWidth="1"/>
    <col min="2" max="2" width="4.7109375" style="1" customWidth="1"/>
    <col min="3" max="6" width="5.7109375" style="2" customWidth="1"/>
    <col min="7" max="7" width="6.7109375" style="2" customWidth="1"/>
    <col min="8" max="8" width="7.7109375" style="2" customWidth="1"/>
    <col min="9" max="9" width="8.7109375" style="2" customWidth="1"/>
    <col min="10" max="10" width="7.7109375" style="2" customWidth="1"/>
    <col min="11" max="11" width="9.7109375" style="2" customWidth="1"/>
    <col min="12" max="14" width="7.7109375" style="2" customWidth="1"/>
    <col min="15" max="15" width="9.7109375" style="2" customWidth="1"/>
    <col min="16" max="16" width="9.28515625" style="2" customWidth="1"/>
    <col min="17" max="17" width="9.7109375" style="2" customWidth="1"/>
    <col min="18" max="18" width="8.7109375" style="2" customWidth="1"/>
    <col min="19" max="20" width="9.7109375" style="2" customWidth="1"/>
    <col min="21" max="21" width="5.7109375" style="2" customWidth="1"/>
    <col min="22" max="22" width="7.28515625" style="3" customWidth="1"/>
    <col min="23" max="23" width="6.7109375" style="3" customWidth="1"/>
    <col min="24" max="25" width="5.7109375" style="3" customWidth="1"/>
    <col min="26" max="27" width="6.7109375" style="3" customWidth="1"/>
    <col min="28" max="28" width="9.7109375" style="1" customWidth="1"/>
    <col min="29" max="16384" width="9.140625" style="1"/>
  </cols>
  <sheetData>
    <row r="4" spans="2:28" ht="24.95" customHeight="1" x14ac:dyDescent="0.3">
      <c r="B4" s="406" t="s">
        <v>100</v>
      </c>
      <c r="C4" s="406"/>
      <c r="D4" s="406"/>
      <c r="E4" s="406"/>
      <c r="F4" s="406"/>
      <c r="G4" s="406"/>
      <c r="H4" s="406"/>
      <c r="I4" s="406"/>
      <c r="J4" s="406"/>
      <c r="K4" s="406"/>
      <c r="L4" s="406"/>
      <c r="M4" s="406"/>
      <c r="N4" s="406"/>
      <c r="O4" s="406"/>
      <c r="P4" s="406"/>
      <c r="Q4" s="406"/>
      <c r="R4" s="406"/>
      <c r="S4" s="406"/>
      <c r="T4" s="406"/>
      <c r="U4" s="406"/>
      <c r="V4" s="406"/>
      <c r="W4" s="406"/>
      <c r="X4" s="406"/>
      <c r="Y4" s="406"/>
      <c r="Z4" s="406"/>
      <c r="AA4" s="406"/>
      <c r="AB4" s="406"/>
    </row>
    <row r="5" spans="2:28" ht="12" thickBot="1" x14ac:dyDescent="0.25"/>
    <row r="6" spans="2:28" ht="24.95" customHeight="1" thickTop="1" x14ac:dyDescent="0.2">
      <c r="B6" s="4" t="s">
        <v>0</v>
      </c>
      <c r="C6" s="350" t="s">
        <v>53</v>
      </c>
      <c r="D6" s="350"/>
      <c r="E6" s="350"/>
      <c r="F6" s="350"/>
      <c r="G6" s="350"/>
      <c r="H6" s="5" t="s">
        <v>58</v>
      </c>
      <c r="I6" s="5"/>
      <c r="J6" s="355" t="s">
        <v>38</v>
      </c>
      <c r="K6" s="356"/>
      <c r="L6" s="356"/>
      <c r="M6" s="356"/>
      <c r="N6" s="356"/>
      <c r="O6" s="356"/>
      <c r="P6" s="356"/>
      <c r="Q6" s="357"/>
      <c r="R6" s="31" t="s">
        <v>61</v>
      </c>
      <c r="S6" s="32" t="s">
        <v>10</v>
      </c>
      <c r="T6" s="32" t="s">
        <v>65</v>
      </c>
      <c r="U6" s="404" t="s">
        <v>64</v>
      </c>
      <c r="V6" s="410" t="s">
        <v>68</v>
      </c>
      <c r="W6" s="358" t="s">
        <v>67</v>
      </c>
      <c r="X6" s="412" t="s">
        <v>66</v>
      </c>
      <c r="Y6" s="413"/>
      <c r="Z6" s="413"/>
      <c r="AA6" s="414"/>
      <c r="AB6" s="407" t="s">
        <v>88</v>
      </c>
    </row>
    <row r="7" spans="2:28" ht="33.75" x14ac:dyDescent="0.2">
      <c r="B7" s="6"/>
      <c r="C7" s="7" t="s">
        <v>50</v>
      </c>
      <c r="D7" s="7" t="s">
        <v>51</v>
      </c>
      <c r="E7" s="8" t="s">
        <v>121</v>
      </c>
      <c r="F7" s="8" t="s">
        <v>122</v>
      </c>
      <c r="G7" s="7" t="s">
        <v>26</v>
      </c>
      <c r="H7" s="7" t="s">
        <v>54</v>
      </c>
      <c r="I7" s="7" t="s">
        <v>55</v>
      </c>
      <c r="J7" s="7" t="s">
        <v>54</v>
      </c>
      <c r="K7" s="7" t="s">
        <v>55</v>
      </c>
      <c r="L7" s="7" t="s">
        <v>51</v>
      </c>
      <c r="M7" s="8" t="s">
        <v>123</v>
      </c>
      <c r="N7" s="8" t="s">
        <v>124</v>
      </c>
      <c r="O7" s="8" t="s">
        <v>74</v>
      </c>
      <c r="P7" s="33" t="s">
        <v>72</v>
      </c>
      <c r="Q7" s="33" t="s">
        <v>87</v>
      </c>
      <c r="R7" s="8" t="s">
        <v>69</v>
      </c>
      <c r="S7" s="33" t="s">
        <v>70</v>
      </c>
      <c r="T7" s="34" t="s">
        <v>71</v>
      </c>
      <c r="U7" s="409"/>
      <c r="V7" s="411"/>
      <c r="W7" s="359"/>
      <c r="X7" s="9" t="s">
        <v>64</v>
      </c>
      <c r="Y7" s="35" t="s">
        <v>89</v>
      </c>
      <c r="Z7" s="75" t="s">
        <v>59</v>
      </c>
      <c r="AA7" s="205" t="s">
        <v>99</v>
      </c>
      <c r="AB7" s="408"/>
    </row>
    <row r="8" spans="2:28" ht="20.100000000000001" customHeight="1" thickBot="1" x14ac:dyDescent="0.25">
      <c r="B8" s="10"/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57</v>
      </c>
      <c r="I8" s="11" t="s">
        <v>57</v>
      </c>
      <c r="J8" s="11" t="s">
        <v>20</v>
      </c>
      <c r="K8" s="11" t="s">
        <v>20</v>
      </c>
      <c r="L8" s="11" t="s">
        <v>20</v>
      </c>
      <c r="M8" s="11"/>
      <c r="N8" s="11" t="s">
        <v>20</v>
      </c>
      <c r="O8" s="11" t="s">
        <v>20</v>
      </c>
      <c r="P8" s="11" t="s">
        <v>20</v>
      </c>
      <c r="Q8" s="11"/>
      <c r="R8" s="11" t="s">
        <v>20</v>
      </c>
      <c r="S8" s="11" t="s">
        <v>20</v>
      </c>
      <c r="T8" s="11" t="s">
        <v>20</v>
      </c>
      <c r="U8" s="11" t="s">
        <v>18</v>
      </c>
      <c r="V8" s="12" t="s">
        <v>21</v>
      </c>
      <c r="W8" s="12" t="s">
        <v>21</v>
      </c>
      <c r="X8" s="12" t="s">
        <v>21</v>
      </c>
      <c r="Y8" s="12" t="s">
        <v>21</v>
      </c>
      <c r="Z8" s="76" t="s">
        <v>21</v>
      </c>
      <c r="AA8" s="76" t="s">
        <v>21</v>
      </c>
      <c r="AB8" s="80" t="s">
        <v>21</v>
      </c>
    </row>
    <row r="9" spans="2:28" ht="24.95" customHeight="1" thickTop="1" thickBot="1" x14ac:dyDescent="0.25">
      <c r="B9" s="14">
        <v>2011</v>
      </c>
      <c r="C9" s="15">
        <v>69500</v>
      </c>
      <c r="D9" s="15">
        <v>0</v>
      </c>
      <c r="E9" s="15">
        <v>0</v>
      </c>
      <c r="F9" s="15">
        <v>0</v>
      </c>
      <c r="G9" s="15">
        <f t="shared" ref="G9:G14" si="0">SUM(C9:E9)</f>
        <v>69500</v>
      </c>
      <c r="H9" s="16">
        <v>2635266</v>
      </c>
      <c r="I9" s="16">
        <v>64945269</v>
      </c>
      <c r="J9" s="16">
        <v>8869831</v>
      </c>
      <c r="K9" s="16">
        <v>277561069</v>
      </c>
      <c r="L9" s="16">
        <v>0</v>
      </c>
      <c r="M9" s="67"/>
      <c r="N9" s="16">
        <v>0</v>
      </c>
      <c r="O9" s="15">
        <f t="shared" ref="O9:O14" si="1">J9+K9</f>
        <v>286430900</v>
      </c>
      <c r="P9" s="15">
        <f t="shared" ref="P9:P18" si="2">L9+N9</f>
        <v>0</v>
      </c>
      <c r="Q9" s="15">
        <f>O9+P9</f>
        <v>286430900</v>
      </c>
      <c r="R9" s="15">
        <v>9817611</v>
      </c>
      <c r="S9" s="15">
        <f>Q9-R9</f>
        <v>276613289</v>
      </c>
      <c r="T9" s="15">
        <v>248323504</v>
      </c>
      <c r="U9" s="15">
        <v>44800</v>
      </c>
      <c r="V9" s="17">
        <f t="shared" ref="V9:V14" si="3">100*3600*(O9)/(H9*42000*0.8391+I9*40200*0.936)</f>
        <v>40.651221461462058</v>
      </c>
      <c r="W9" s="17">
        <f t="shared" ref="W9:W18" si="4">100*(S9-T9)/S9</f>
        <v>10.227196640577887</v>
      </c>
      <c r="X9" s="17" t="s">
        <v>62</v>
      </c>
      <c r="Y9" s="18" t="s">
        <v>62</v>
      </c>
      <c r="Z9" s="77" t="s">
        <v>62</v>
      </c>
      <c r="AA9" s="206" t="s">
        <v>62</v>
      </c>
      <c r="AB9" s="23">
        <f>100*P9/Q9</f>
        <v>0</v>
      </c>
    </row>
    <row r="10" spans="2:28" ht="24.95" customHeight="1" thickTop="1" thickBot="1" x14ac:dyDescent="0.25">
      <c r="B10" s="6">
        <v>2012</v>
      </c>
      <c r="C10" s="19">
        <v>69500</v>
      </c>
      <c r="D10" s="19">
        <v>0</v>
      </c>
      <c r="E10" s="19">
        <v>0</v>
      </c>
      <c r="F10" s="19">
        <v>0</v>
      </c>
      <c r="G10" s="19">
        <f t="shared" si="0"/>
        <v>69500</v>
      </c>
      <c r="H10" s="19">
        <v>823352</v>
      </c>
      <c r="I10" s="20">
        <v>69303545</v>
      </c>
      <c r="J10" s="20">
        <v>1882036</v>
      </c>
      <c r="K10" s="20">
        <v>294865991</v>
      </c>
      <c r="L10" s="20">
        <v>0</v>
      </c>
      <c r="M10" s="68"/>
      <c r="N10" s="20">
        <v>0</v>
      </c>
      <c r="O10" s="19">
        <f t="shared" si="1"/>
        <v>296748027</v>
      </c>
      <c r="P10" s="19">
        <f t="shared" si="2"/>
        <v>0</v>
      </c>
      <c r="Q10" s="15">
        <f t="shared" ref="Q10:Q18" si="5">O10+P10</f>
        <v>296748027</v>
      </c>
      <c r="R10" s="19">
        <v>9348903</v>
      </c>
      <c r="S10" s="15">
        <f t="shared" ref="S10:S18" si="6">Q10-R10</f>
        <v>287399124</v>
      </c>
      <c r="T10" s="19">
        <v>256981998</v>
      </c>
      <c r="U10" s="19">
        <v>46500</v>
      </c>
      <c r="V10" s="21">
        <f t="shared" si="3"/>
        <v>40.516053614202455</v>
      </c>
      <c r="W10" s="21">
        <f t="shared" si="4"/>
        <v>10.583583407164456</v>
      </c>
      <c r="X10" s="21">
        <f t="shared" ref="X10:X18" si="7">100*(U10-U9)/U9</f>
        <v>3.7946428571428572</v>
      </c>
      <c r="Y10" s="22">
        <f>100*(O10-O9)/O9</f>
        <v>3.6019601935405712</v>
      </c>
      <c r="Z10" s="78">
        <f>100*(S10-S9)/S9</f>
        <v>3.8992468651786285</v>
      </c>
      <c r="AA10" s="78">
        <f>100*(T10-T9)/T9</f>
        <v>3.4867798901549003</v>
      </c>
      <c r="AB10" s="23">
        <f>100*P10/Q10</f>
        <v>0</v>
      </c>
    </row>
    <row r="11" spans="2:28" ht="24.95" customHeight="1" thickTop="1" thickBot="1" x14ac:dyDescent="0.25">
      <c r="B11" s="6">
        <v>2013</v>
      </c>
      <c r="C11" s="19">
        <f>+'Energy-Mahe-2021'!D8</f>
        <v>69500</v>
      </c>
      <c r="D11" s="19">
        <f>+'Energy-Mahe-2021'!D9</f>
        <v>6000</v>
      </c>
      <c r="E11" s="19">
        <f>+'Energy-Mahe-2021'!D11</f>
        <v>0</v>
      </c>
      <c r="F11" s="19">
        <v>0</v>
      </c>
      <c r="G11" s="19">
        <f t="shared" si="0"/>
        <v>75500</v>
      </c>
      <c r="H11" s="19">
        <f>+'Energy-Mahe-2021'!G8</f>
        <v>417390</v>
      </c>
      <c r="I11" s="19">
        <f>+'Energy-Mahe-2021'!H8</f>
        <v>71011498</v>
      </c>
      <c r="J11" s="19">
        <f>+'Energy-Mahe-2021'!I8</f>
        <v>1383094</v>
      </c>
      <c r="K11" s="19">
        <f>+'Energy-Mahe-2021'!J8</f>
        <v>306345004</v>
      </c>
      <c r="L11" s="19">
        <f>+'Energy-Mahe-2021'!K9</f>
        <v>6951050</v>
      </c>
      <c r="M11" s="19"/>
      <c r="N11" s="20">
        <f>+'Energy-Mahe-2021'!K11</f>
        <v>0</v>
      </c>
      <c r="O11" s="19">
        <f t="shared" si="1"/>
        <v>307728098</v>
      </c>
      <c r="P11" s="19">
        <f t="shared" si="2"/>
        <v>6951050</v>
      </c>
      <c r="Q11" s="15">
        <f t="shared" si="5"/>
        <v>314679148</v>
      </c>
      <c r="R11" s="19">
        <f>+'Energy-Mahe-2021'!L13</f>
        <v>10061845</v>
      </c>
      <c r="S11" s="15">
        <f t="shared" si="6"/>
        <v>304617303</v>
      </c>
      <c r="T11" s="19">
        <v>273038833</v>
      </c>
      <c r="U11" s="19">
        <v>49900</v>
      </c>
      <c r="V11" s="21">
        <f t="shared" si="3"/>
        <v>41.233931851368382</v>
      </c>
      <c r="W11" s="21">
        <f t="shared" si="4"/>
        <v>10.36660415839871</v>
      </c>
      <c r="X11" s="21">
        <f t="shared" si="7"/>
        <v>7.311827956989247</v>
      </c>
      <c r="Y11" s="22">
        <f>100*(O11-O10)/O10</f>
        <v>3.7001327729130948</v>
      </c>
      <c r="Z11" s="78">
        <f t="shared" ref="Z11:Z18" si="8">100*(S11-S10)/S10</f>
        <v>5.9910339183914845</v>
      </c>
      <c r="AA11" s="78">
        <f t="shared" ref="AA11:AA18" si="9">100*(T11-T10)/T10</f>
        <v>6.2482333879278187</v>
      </c>
      <c r="AB11" s="23">
        <f>100*P11/Q11</f>
        <v>2.2089325092490717</v>
      </c>
    </row>
    <row r="12" spans="2:28" ht="24.95" customHeight="1" thickTop="1" thickBot="1" x14ac:dyDescent="0.25">
      <c r="B12" s="6">
        <v>2014</v>
      </c>
      <c r="C12" s="24">
        <f>+'Energy-Mahe-2021'!D8</f>
        <v>69500</v>
      </c>
      <c r="D12" s="24">
        <f>+'Energy-Mahe-2021'!D17</f>
        <v>6000</v>
      </c>
      <c r="E12" s="24">
        <f>+'Energy-Mahe-2021'!D19</f>
        <v>645</v>
      </c>
      <c r="F12" s="24">
        <v>645</v>
      </c>
      <c r="G12" s="24">
        <f t="shared" si="0"/>
        <v>76145</v>
      </c>
      <c r="H12" s="24">
        <f>+'Energy-Mahe-2021'!G16</f>
        <v>181265</v>
      </c>
      <c r="I12" s="24">
        <f>+'Energy-Mahe-2021'!H16</f>
        <v>72099648</v>
      </c>
      <c r="J12" s="24">
        <f>+'Energy-Mahe-2021'!I16</f>
        <v>610498</v>
      </c>
      <c r="K12" s="24">
        <f>+'Energy-Mahe-2021'!J16</f>
        <v>313464712</v>
      </c>
      <c r="L12" s="24">
        <f>+'Energy-Mahe-2021'!K17</f>
        <v>7090810</v>
      </c>
      <c r="M12" s="24"/>
      <c r="N12" s="24">
        <f>+'Energy-Mahe-2021'!K19</f>
        <v>393398</v>
      </c>
      <c r="O12" s="19">
        <f t="shared" si="1"/>
        <v>314075210</v>
      </c>
      <c r="P12" s="19">
        <f t="shared" si="2"/>
        <v>7484208</v>
      </c>
      <c r="Q12" s="15">
        <f t="shared" si="5"/>
        <v>321559418</v>
      </c>
      <c r="R12" s="24">
        <f>+'Energy-Mahe-2021'!L21</f>
        <v>10573404</v>
      </c>
      <c r="S12" s="15">
        <f t="shared" si="6"/>
        <v>310986014</v>
      </c>
      <c r="T12" s="24">
        <v>278843458</v>
      </c>
      <c r="U12" s="24">
        <v>50900</v>
      </c>
      <c r="V12" s="21">
        <f t="shared" si="3"/>
        <v>41.579538752882613</v>
      </c>
      <c r="W12" s="21">
        <f t="shared" si="4"/>
        <v>10.33569181667443</v>
      </c>
      <c r="X12" s="21">
        <f t="shared" si="7"/>
        <v>2.0040080160320639</v>
      </c>
      <c r="Y12" s="22">
        <f>100*(O12-O11)/O11</f>
        <v>2.062571484778748</v>
      </c>
      <c r="Z12" s="78">
        <f t="shared" si="8"/>
        <v>2.0907252927782634</v>
      </c>
      <c r="AA12" s="78">
        <f t="shared" si="9"/>
        <v>2.1259338593788963</v>
      </c>
      <c r="AB12" s="23">
        <f t="shared" ref="AB12:AB18" si="10">100*P12/Q12</f>
        <v>2.3274728031756795</v>
      </c>
    </row>
    <row r="13" spans="2:28" ht="24.95" customHeight="1" thickTop="1" thickBot="1" x14ac:dyDescent="0.25">
      <c r="B13" s="6">
        <v>2015</v>
      </c>
      <c r="C13" s="24">
        <f>+'Energy-Mahe-2021'!D24</f>
        <v>69500</v>
      </c>
      <c r="D13" s="24">
        <f>+'Energy-Mahe-2021'!D25</f>
        <v>6000</v>
      </c>
      <c r="E13" s="24">
        <f>+'Energy-Mahe-2021'!D27</f>
        <v>1115</v>
      </c>
      <c r="F13" s="24">
        <v>1115</v>
      </c>
      <c r="G13" s="24">
        <f t="shared" si="0"/>
        <v>76615</v>
      </c>
      <c r="H13" s="24">
        <f>+'Energy-Mahe-2021'!G24</f>
        <v>306818</v>
      </c>
      <c r="I13" s="24">
        <f>+'Energy-Mahe-2021'!H24</f>
        <v>74509574</v>
      </c>
      <c r="J13" s="24">
        <f>+'Energy-Mahe-2021'!I24</f>
        <v>1012450</v>
      </c>
      <c r="K13" s="24">
        <f>+'Energy-Mahe-2021'!J24</f>
        <v>323871385</v>
      </c>
      <c r="L13" s="24">
        <f>+'Energy-Mahe-2021'!K25</f>
        <v>6795420</v>
      </c>
      <c r="M13" s="24"/>
      <c r="N13" s="24">
        <f>+'Energy-Mahe-2021'!K27</f>
        <v>1295909</v>
      </c>
      <c r="O13" s="19">
        <f t="shared" si="1"/>
        <v>324883835</v>
      </c>
      <c r="P13" s="19">
        <f t="shared" si="2"/>
        <v>8091329</v>
      </c>
      <c r="Q13" s="15">
        <f t="shared" si="5"/>
        <v>332975164</v>
      </c>
      <c r="R13" s="24">
        <f>+'Energy-Mahe-2021'!L29</f>
        <v>10856743</v>
      </c>
      <c r="S13" s="15">
        <f t="shared" si="6"/>
        <v>322118421</v>
      </c>
      <c r="T13" s="24">
        <v>287251462</v>
      </c>
      <c r="U13" s="24">
        <v>53200</v>
      </c>
      <c r="V13" s="21">
        <f t="shared" si="3"/>
        <v>41.557062920066798</v>
      </c>
      <c r="W13" s="21">
        <f t="shared" si="4"/>
        <v>10.824267327449739</v>
      </c>
      <c r="X13" s="21">
        <f t="shared" si="7"/>
        <v>4.5186640471512769</v>
      </c>
      <c r="Y13" s="22">
        <f t="shared" ref="Y13:Y18" si="11">100*(O13-O12)/O12</f>
        <v>3.4414129660217374</v>
      </c>
      <c r="Z13" s="78">
        <f t="shared" si="8"/>
        <v>3.57971307352748</v>
      </c>
      <c r="AA13" s="78">
        <f t="shared" si="9"/>
        <v>3.0153133447369598</v>
      </c>
      <c r="AB13" s="23">
        <f t="shared" si="10"/>
        <v>2.4300097649324979</v>
      </c>
    </row>
    <row r="14" spans="2:28" ht="24.95" customHeight="1" thickTop="1" thickBot="1" x14ac:dyDescent="0.25">
      <c r="B14" s="51">
        <v>2016</v>
      </c>
      <c r="C14" s="52">
        <f>+'Energy-Mahe-2021'!D32</f>
        <v>85500</v>
      </c>
      <c r="D14" s="52">
        <f>+'Energy-Mahe-2021'!D25</f>
        <v>6000</v>
      </c>
      <c r="E14" s="52">
        <f>+'Energy-Mahe-2021'!D35</f>
        <v>1710</v>
      </c>
      <c r="F14" s="52">
        <v>1710</v>
      </c>
      <c r="G14" s="52">
        <f t="shared" si="0"/>
        <v>93210</v>
      </c>
      <c r="H14" s="52">
        <f>+'Energy-Mahe-2021'!G32</f>
        <v>179434</v>
      </c>
      <c r="I14" s="52">
        <f>+'Energy-Mahe-2021'!H32</f>
        <v>80704838</v>
      </c>
      <c r="J14" s="52">
        <f>+'Energy-Mahe-2021'!I32</f>
        <v>561600</v>
      </c>
      <c r="K14" s="52">
        <f>+'Energy-Mahe-2021'!J32</f>
        <v>351586215</v>
      </c>
      <c r="L14" s="52">
        <f>+'Energy-Mahe-2021'!K33</f>
        <v>6856893</v>
      </c>
      <c r="M14" s="52"/>
      <c r="N14" s="52">
        <f>+'Energy-Mahe-2021'!K35</f>
        <v>1904530</v>
      </c>
      <c r="O14" s="56">
        <f t="shared" si="1"/>
        <v>352147815</v>
      </c>
      <c r="P14" s="56">
        <f t="shared" si="2"/>
        <v>8761423</v>
      </c>
      <c r="Q14" s="15">
        <f t="shared" si="5"/>
        <v>360909238</v>
      </c>
      <c r="R14" s="52">
        <f>+'Energy-Mahe-2021'!L37</f>
        <v>10840316</v>
      </c>
      <c r="S14" s="15">
        <f t="shared" si="6"/>
        <v>350068922</v>
      </c>
      <c r="T14" s="52">
        <v>324147578</v>
      </c>
      <c r="U14" s="52">
        <v>56900</v>
      </c>
      <c r="V14" s="54">
        <f t="shared" si="3"/>
        <v>41.660318702072161</v>
      </c>
      <c r="W14" s="54">
        <f t="shared" si="4"/>
        <v>7.4046401639731965</v>
      </c>
      <c r="X14" s="54">
        <f t="shared" si="7"/>
        <v>6.9548872180451129</v>
      </c>
      <c r="Y14" s="53">
        <f t="shared" si="11"/>
        <v>8.3919164522297631</v>
      </c>
      <c r="Z14" s="79">
        <f t="shared" si="8"/>
        <v>8.6770886660964983</v>
      </c>
      <c r="AA14" s="78">
        <f t="shared" si="9"/>
        <v>12.844535496219684</v>
      </c>
      <c r="AB14" s="23">
        <f t="shared" si="10"/>
        <v>2.4275973229590759</v>
      </c>
    </row>
    <row r="15" spans="2:28" ht="24.95" customHeight="1" thickTop="1" thickBot="1" x14ac:dyDescent="0.25">
      <c r="B15" s="51">
        <v>2017</v>
      </c>
      <c r="C15" s="52">
        <f>+'Energy-Mahe-2021'!D40</f>
        <v>85500</v>
      </c>
      <c r="D15" s="52">
        <f>+'Energy-Mahe-2021'!D41</f>
        <v>6000</v>
      </c>
      <c r="E15" s="52">
        <f>+'Energy-Mahe-2021'!D43</f>
        <v>2106</v>
      </c>
      <c r="F15" s="52">
        <v>2106</v>
      </c>
      <c r="G15" s="52">
        <f>SUM(C15:E15)</f>
        <v>93606</v>
      </c>
      <c r="H15" s="52">
        <f>+'Energy-Mahe-2021'!G40</f>
        <v>122282</v>
      </c>
      <c r="I15" s="52">
        <f>+'Energy-Mahe-2021'!H40</f>
        <v>82515694</v>
      </c>
      <c r="J15" s="52">
        <f>+'Energy-Mahe-2021'!I40</f>
        <v>383627</v>
      </c>
      <c r="K15" s="52">
        <f>+'Energy-Mahe-2021'!J40</f>
        <v>362943269</v>
      </c>
      <c r="L15" s="52">
        <f>+'Energy-Mahe-2021'!K41</f>
        <v>6616620</v>
      </c>
      <c r="M15" s="52"/>
      <c r="N15" s="52">
        <f>+'Energy-Mahe-2021'!K43</f>
        <v>2378554</v>
      </c>
      <c r="O15" s="56">
        <f>J15+K15</f>
        <v>363326896</v>
      </c>
      <c r="P15" s="56">
        <f t="shared" si="2"/>
        <v>8995174</v>
      </c>
      <c r="Q15" s="15">
        <f t="shared" si="5"/>
        <v>372322070</v>
      </c>
      <c r="R15" s="52">
        <f>+'Energy-Mahe-2021'!L42</f>
        <v>10844995</v>
      </c>
      <c r="S15" s="15">
        <f t="shared" si="6"/>
        <v>361477075</v>
      </c>
      <c r="T15" s="70">
        <v>336471769.63</v>
      </c>
      <c r="U15" s="52">
        <f>+'Energy-Mahe-2021'!F40</f>
        <v>58900</v>
      </c>
      <c r="V15" s="54">
        <f>100*3600*(O15)/(H15*42200*0.8391+I15*42500*0.936)</f>
        <v>39.794788496452831</v>
      </c>
      <c r="W15" s="54">
        <f t="shared" si="4"/>
        <v>6.9175356058195403</v>
      </c>
      <c r="X15" s="54">
        <f t="shared" si="7"/>
        <v>3.5149384885764499</v>
      </c>
      <c r="Y15" s="53">
        <f t="shared" si="11"/>
        <v>3.1745422018307852</v>
      </c>
      <c r="Z15" s="79">
        <f t="shared" si="8"/>
        <v>3.2588305568010405</v>
      </c>
      <c r="AA15" s="78">
        <f t="shared" si="9"/>
        <v>3.8020310705514495</v>
      </c>
      <c r="AB15" s="23">
        <f t="shared" si="10"/>
        <v>2.4159658330219318</v>
      </c>
    </row>
    <row r="16" spans="2:28" ht="24.95" customHeight="1" thickTop="1" x14ac:dyDescent="0.2">
      <c r="B16" s="51">
        <v>2018</v>
      </c>
      <c r="C16" s="52">
        <f>+'Energy-Mahe-2021'!D48</f>
        <v>85500</v>
      </c>
      <c r="D16" s="52">
        <f>+'Energy-Mahe-2021'!D49</f>
        <v>6000</v>
      </c>
      <c r="E16" s="52">
        <f>+'Energy-Mahe-2021'!D51</f>
        <v>3290</v>
      </c>
      <c r="F16" s="52">
        <v>3290</v>
      </c>
      <c r="G16" s="52">
        <f>SUM(C16:E16)</f>
        <v>94790</v>
      </c>
      <c r="H16" s="52">
        <f>+'Energy-Mahe-2021'!G48</f>
        <v>157857</v>
      </c>
      <c r="I16" s="52">
        <f>+'Energy-Mahe-2021'!H48</f>
        <v>84100068</v>
      </c>
      <c r="J16" s="52">
        <f>+'Energy-Mahe-2021'!I48</f>
        <v>551974</v>
      </c>
      <c r="K16" s="52">
        <f>+'Energy-Mahe-2021'!J48</f>
        <v>365606600</v>
      </c>
      <c r="L16" s="52">
        <f>+'Energy-Mahe-2021'!K49</f>
        <v>7392410</v>
      </c>
      <c r="M16" s="52"/>
      <c r="N16" s="52">
        <f>+'Energy-Mahe-2021'!K51</f>
        <v>2919796</v>
      </c>
      <c r="O16" s="56">
        <f>J16+K16</f>
        <v>366158574</v>
      </c>
      <c r="P16" s="56">
        <f t="shared" si="2"/>
        <v>10312206</v>
      </c>
      <c r="Q16" s="72">
        <f t="shared" si="5"/>
        <v>376470780</v>
      </c>
      <c r="R16" s="52">
        <f>+'Energy-Mahe-2021'!L53</f>
        <v>10808383</v>
      </c>
      <c r="S16" s="72">
        <f t="shared" si="6"/>
        <v>365662397</v>
      </c>
      <c r="T16" s="73">
        <v>341674601</v>
      </c>
      <c r="U16" s="52">
        <f>+'Energy-Mahe-2021'!F48</f>
        <v>58400</v>
      </c>
      <c r="V16" s="54">
        <f>100*3600*(O16)/(H16*42200*0.8391+I16*42500*0.936)</f>
        <v>39.335580345322015</v>
      </c>
      <c r="W16" s="54">
        <f t="shared" si="4"/>
        <v>6.5600937358620444</v>
      </c>
      <c r="X16" s="74">
        <f t="shared" si="7"/>
        <v>-0.84889643463497455</v>
      </c>
      <c r="Y16" s="53">
        <f t="shared" si="11"/>
        <v>0.77937472594927293</v>
      </c>
      <c r="Z16" s="79">
        <f t="shared" si="8"/>
        <v>1.1578388477332899</v>
      </c>
      <c r="AA16" s="78">
        <f t="shared" si="9"/>
        <v>1.5462906072985796</v>
      </c>
      <c r="AB16" s="23">
        <f t="shared" si="10"/>
        <v>2.7391783234810414</v>
      </c>
    </row>
    <row r="17" spans="2:28" ht="24.95" customHeight="1" x14ac:dyDescent="0.2">
      <c r="B17" s="51">
        <v>2019</v>
      </c>
      <c r="C17" s="52">
        <f>+'Energy-Mahe-2021'!D56</f>
        <v>85500</v>
      </c>
      <c r="D17" s="52">
        <f>+'Energy-Mahe-2021'!D57</f>
        <v>6000</v>
      </c>
      <c r="E17" s="52">
        <f>+'Energy-Mahe-2021'!D59</f>
        <v>3640</v>
      </c>
      <c r="F17" s="52">
        <v>3640</v>
      </c>
      <c r="G17" s="52">
        <f>SUM(C17:E17)</f>
        <v>95140</v>
      </c>
      <c r="H17" s="52">
        <f>+'Energy-Mahe-2021'!G56</f>
        <v>162997</v>
      </c>
      <c r="I17" s="52">
        <f>+'Energy-Mahe-2021'!H56</f>
        <v>88191028</v>
      </c>
      <c r="J17" s="52">
        <f>+'Energy-Mahe-2021'!I56</f>
        <v>532750</v>
      </c>
      <c r="K17" s="52">
        <f>+'Energy-Mahe-2021'!J56</f>
        <v>384215952</v>
      </c>
      <c r="L17" s="52">
        <f>+'Energy-Mahe-2021'!K57</f>
        <v>4884428</v>
      </c>
      <c r="M17" s="52"/>
      <c r="N17" s="52">
        <f>+'Energy-Mahe-2021'!K59</f>
        <v>3409690</v>
      </c>
      <c r="O17" s="56">
        <f>J17+K17</f>
        <v>384748702</v>
      </c>
      <c r="P17" s="56">
        <f t="shared" si="2"/>
        <v>8294118</v>
      </c>
      <c r="Q17" s="56">
        <f t="shared" si="5"/>
        <v>393042820</v>
      </c>
      <c r="R17" s="52">
        <f>+'Energy-Mahe-2021'!L61</f>
        <v>11766192</v>
      </c>
      <c r="S17" s="56">
        <f t="shared" si="6"/>
        <v>381276628</v>
      </c>
      <c r="T17" s="207">
        <v>354283272</v>
      </c>
      <c r="U17" s="52">
        <f>+'Energy-Mahe-2021'!F56</f>
        <v>60000</v>
      </c>
      <c r="V17" s="54">
        <f>100*3600*(O17)/(H17*42200*0.8391+I17*42500*0.936)</f>
        <v>39.416364883506574</v>
      </c>
      <c r="W17" s="54">
        <f t="shared" si="4"/>
        <v>7.0797300483889085</v>
      </c>
      <c r="X17" s="54">
        <f t="shared" si="7"/>
        <v>2.7397260273972601</v>
      </c>
      <c r="Y17" s="53">
        <f t="shared" si="11"/>
        <v>5.077070242249742</v>
      </c>
      <c r="Z17" s="79">
        <f t="shared" si="8"/>
        <v>4.2701221476705467</v>
      </c>
      <c r="AA17" s="79">
        <f t="shared" si="9"/>
        <v>3.6902570349383388</v>
      </c>
      <c r="AB17" s="55">
        <f t="shared" si="10"/>
        <v>2.1102326713410005</v>
      </c>
    </row>
    <row r="18" spans="2:28" ht="24.95" customHeight="1" x14ac:dyDescent="0.2">
      <c r="B18" s="51">
        <v>2020</v>
      </c>
      <c r="C18" s="52">
        <f>+'Energy-Mahe-2021'!D64</f>
        <v>85500</v>
      </c>
      <c r="D18" s="52">
        <f>+'Energy-Mahe-2021'!D65</f>
        <v>6000</v>
      </c>
      <c r="E18" s="52">
        <f>+'Energy-Mahe-2021'!D67</f>
        <v>4860</v>
      </c>
      <c r="F18" s="52">
        <v>4860</v>
      </c>
      <c r="G18" s="52">
        <f>SUM(C18:E18)</f>
        <v>96360</v>
      </c>
      <c r="H18" s="52">
        <f>+'Energy-Mahe-2021'!G64</f>
        <v>114888</v>
      </c>
      <c r="I18" s="52">
        <f>+'Energy-Mahe-2021'!H64</f>
        <v>88436223</v>
      </c>
      <c r="J18" s="52">
        <f>+'Energy-Mahe-2021'!I64</f>
        <v>396599</v>
      </c>
      <c r="K18" s="52">
        <f>+'Energy-Mahe-2021'!J64</f>
        <v>384036200</v>
      </c>
      <c r="L18" s="52">
        <f>+'Energy-Mahe-2021'!K65</f>
        <v>5985764</v>
      </c>
      <c r="M18" s="52"/>
      <c r="N18" s="52">
        <f>+'Energy-Mahe-2021'!K67</f>
        <v>4992858</v>
      </c>
      <c r="O18" s="56">
        <f>J18+K18</f>
        <v>384432799</v>
      </c>
      <c r="P18" s="56">
        <f t="shared" si="2"/>
        <v>10978622</v>
      </c>
      <c r="Q18" s="56">
        <f t="shared" si="5"/>
        <v>395411421</v>
      </c>
      <c r="R18" s="52">
        <f>+'Energy-Mahe-2021'!L69</f>
        <v>12178693</v>
      </c>
      <c r="S18" s="56">
        <f t="shared" si="6"/>
        <v>383232728</v>
      </c>
      <c r="T18" s="207">
        <v>360991086</v>
      </c>
      <c r="U18" s="52">
        <f>+'Energy-Mahe-2021'!F64</f>
        <v>61500</v>
      </c>
      <c r="V18" s="54">
        <f>100*3600*(O18)/(H18*42200*0.8391+I18*42500*0.936)</f>
        <v>39.29398220083025</v>
      </c>
      <c r="W18" s="54">
        <f t="shared" si="4"/>
        <v>5.8036906493017479</v>
      </c>
      <c r="X18" s="54">
        <f t="shared" si="7"/>
        <v>2.5</v>
      </c>
      <c r="Y18" s="53">
        <f t="shared" si="11"/>
        <v>-8.2106319880450168E-2</v>
      </c>
      <c r="Z18" s="53">
        <f t="shared" si="8"/>
        <v>0.51303957713348225</v>
      </c>
      <c r="AA18" s="53">
        <f t="shared" si="9"/>
        <v>1.8933476486578231</v>
      </c>
      <c r="AB18" s="55">
        <f t="shared" si="10"/>
        <v>2.7765060433092548</v>
      </c>
    </row>
    <row r="19" spans="2:28" ht="24.95" customHeight="1" thickBot="1" x14ac:dyDescent="0.25">
      <c r="B19" s="10">
        <v>2021</v>
      </c>
      <c r="C19" s="25">
        <f>+'Energy-Mahe-2021'!D72</f>
        <v>85500</v>
      </c>
      <c r="D19" s="25">
        <f>+'Energy-Mahe-2021'!D73</f>
        <v>6000</v>
      </c>
      <c r="E19" s="25">
        <f>+'Energy-Mahe-2021'!D74</f>
        <v>6000</v>
      </c>
      <c r="F19" s="25">
        <f>+'Energy-Mahe-2021'!D76</f>
        <v>5400</v>
      </c>
      <c r="G19" s="25">
        <f>SUM(C19:F19)</f>
        <v>102900</v>
      </c>
      <c r="H19" s="25">
        <f>+'Energy-Mahe-2021'!G72</f>
        <v>129600</v>
      </c>
      <c r="I19" s="25">
        <f>+'Energy-Mahe-2021'!H72</f>
        <v>87102737</v>
      </c>
      <c r="J19" s="25">
        <f>+'Energy-Mahe-2021'!I72</f>
        <v>441733</v>
      </c>
      <c r="K19" s="25">
        <f>+'Energy-Mahe-2021'!J72</f>
        <v>378887853</v>
      </c>
      <c r="L19" s="25">
        <f>+'Energy-Mahe-2021'!K73</f>
        <v>5078618</v>
      </c>
      <c r="M19" s="25">
        <f>+'Energy-Mahe-2021'!K74</f>
        <v>6403205</v>
      </c>
      <c r="N19" s="25">
        <f>+'Energy-Mahe-2021'!K76</f>
        <v>6169014</v>
      </c>
      <c r="O19" s="26">
        <f>J19+K19</f>
        <v>379329586</v>
      </c>
      <c r="P19" s="26">
        <f>L19+M19+N19</f>
        <v>17650837</v>
      </c>
      <c r="Q19" s="26">
        <f t="shared" ref="Q19" si="12">O19+P19</f>
        <v>396980423</v>
      </c>
      <c r="R19" s="25">
        <f>+'Energy-Mahe-2021'!L70</f>
        <v>2382370</v>
      </c>
      <c r="S19" s="26">
        <f t="shared" ref="S19" si="13">Q19-R19</f>
        <v>394598053</v>
      </c>
      <c r="T19" s="71">
        <v>363267008</v>
      </c>
      <c r="U19" s="25">
        <f>+'Energy-Mahe-2021'!F72</f>
        <v>59500</v>
      </c>
      <c r="V19" s="27">
        <f>100*3600*(O19)/(H19*42200*0.8391+I19*42500*0.936)</f>
        <v>39.359340935635231</v>
      </c>
      <c r="W19" s="27">
        <f t="shared" ref="W19" si="14">100*(S19-T19)/S19</f>
        <v>7.9399897596555045</v>
      </c>
      <c r="X19" s="342">
        <f t="shared" ref="X19" si="15">100*(U19-U18)/U18</f>
        <v>-3.2520325203252032</v>
      </c>
      <c r="Y19" s="343">
        <f t="shared" ref="Y19" si="16">100*(O19-O18)/O18</f>
        <v>-1.3274655579010572</v>
      </c>
      <c r="Z19" s="28">
        <f t="shared" ref="Z19" si="17">100*(S19-S18)/S18</f>
        <v>2.9656457211556315</v>
      </c>
      <c r="AA19" s="28">
        <f t="shared" ref="AA19" si="18">100*(T19-T18)/T18</f>
        <v>0.63046487524625472</v>
      </c>
      <c r="AB19" s="29">
        <f t="shared" ref="AB19" si="19">100*P19/Q19</f>
        <v>4.4462739161321316</v>
      </c>
    </row>
    <row r="20" spans="2:28" ht="12" thickTop="1" x14ac:dyDescent="0.2"/>
  </sheetData>
  <mergeCells count="8">
    <mergeCell ref="B4:AB4"/>
    <mergeCell ref="AB6:AB7"/>
    <mergeCell ref="C6:G6"/>
    <mergeCell ref="U6:U7"/>
    <mergeCell ref="V6:V7"/>
    <mergeCell ref="W6:W7"/>
    <mergeCell ref="J6:Q6"/>
    <mergeCell ref="X6:AA6"/>
  </mergeCells>
  <pageMargins left="0.11811023622047245" right="0.11811023622047245" top="0.15748031496062992" bottom="0.15748031496062992" header="0.31496062992125984" footer="0.31496062992125984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0"/>
  <sheetViews>
    <sheetView topLeftCell="B1" zoomScale="120" zoomScaleNormal="120" workbookViewId="0">
      <selection activeCell="W15" sqref="W15"/>
    </sheetView>
  </sheetViews>
  <sheetFormatPr defaultRowHeight="11.25" x14ac:dyDescent="0.2"/>
  <cols>
    <col min="1" max="1" width="1.7109375" style="1" customWidth="1"/>
    <col min="2" max="2" width="4.7109375" style="1" customWidth="1"/>
    <col min="3" max="5" width="5.7109375" style="2" customWidth="1"/>
    <col min="6" max="6" width="11.85546875" style="2" customWidth="1"/>
    <col min="7" max="7" width="8.7109375" style="2" customWidth="1"/>
    <col min="8" max="8" width="6.7109375" style="2" customWidth="1"/>
    <col min="9" max="9" width="9.7109375" style="2" customWidth="1"/>
    <col min="10" max="10" width="8.7109375" style="2" customWidth="1"/>
    <col min="11" max="12" width="9.7109375" style="2" customWidth="1"/>
    <col min="13" max="14" width="7.7109375" style="2" customWidth="1"/>
    <col min="15" max="17" width="6.7109375" style="2" customWidth="1"/>
    <col min="18" max="18" width="7.7109375" style="2" customWidth="1"/>
    <col min="19" max="19" width="6.7109375" style="2" customWidth="1"/>
    <col min="20" max="20" width="7.7109375" style="3" customWidth="1"/>
    <col min="21" max="21" width="1.7109375" style="3" customWidth="1"/>
    <col min="22" max="22" width="6.7109375" style="3" customWidth="1"/>
    <col min="23" max="16384" width="9.140625" style="1"/>
  </cols>
  <sheetData>
    <row r="2" spans="2:25" ht="18" x14ac:dyDescent="0.25">
      <c r="B2" s="349" t="s">
        <v>104</v>
      </c>
      <c r="C2" s="349"/>
      <c r="D2" s="349"/>
      <c r="E2" s="349"/>
      <c r="F2" s="349"/>
      <c r="G2" s="349"/>
      <c r="H2" s="349"/>
      <c r="I2" s="349"/>
      <c r="J2" s="349"/>
      <c r="K2" s="349"/>
      <c r="L2" s="349"/>
      <c r="M2" s="349"/>
      <c r="N2" s="349"/>
      <c r="O2" s="349"/>
      <c r="P2" s="349"/>
      <c r="Q2" s="349"/>
      <c r="R2" s="349"/>
      <c r="S2" s="349"/>
      <c r="T2" s="349"/>
      <c r="U2" s="36"/>
      <c r="V2" s="36"/>
    </row>
    <row r="3" spans="2:25" ht="12" thickBot="1" x14ac:dyDescent="0.25"/>
    <row r="4" spans="2:25" s="41" customFormat="1" ht="24.95" customHeight="1" thickTop="1" x14ac:dyDescent="0.2">
      <c r="B4" s="37" t="s">
        <v>0</v>
      </c>
      <c r="C4" s="417" t="s">
        <v>53</v>
      </c>
      <c r="D4" s="418"/>
      <c r="E4" s="419"/>
      <c r="F4" s="64" t="s">
        <v>58</v>
      </c>
      <c r="G4" s="417" t="s">
        <v>38</v>
      </c>
      <c r="H4" s="418"/>
      <c r="I4" s="418"/>
      <c r="J4" s="38" t="s">
        <v>61</v>
      </c>
      <c r="K4" s="39" t="s">
        <v>10</v>
      </c>
      <c r="L4" s="39" t="s">
        <v>65</v>
      </c>
      <c r="M4" s="38"/>
      <c r="N4" s="38"/>
      <c r="O4" s="404" t="s">
        <v>91</v>
      </c>
      <c r="P4" s="420" t="s">
        <v>60</v>
      </c>
      <c r="Q4" s="421"/>
      <c r="R4" s="421"/>
      <c r="S4" s="383"/>
      <c r="T4" s="415" t="s">
        <v>105</v>
      </c>
      <c r="U4" s="40"/>
      <c r="V4" s="40"/>
    </row>
    <row r="5" spans="2:25" s="41" customFormat="1" ht="24.95" customHeight="1" x14ac:dyDescent="0.2">
      <c r="B5" s="42"/>
      <c r="C5" s="43" t="s">
        <v>50</v>
      </c>
      <c r="D5" s="44" t="s">
        <v>46</v>
      </c>
      <c r="E5" s="43" t="s">
        <v>26</v>
      </c>
      <c r="F5" s="65" t="s">
        <v>54</v>
      </c>
      <c r="G5" s="43" t="s">
        <v>54</v>
      </c>
      <c r="H5" s="43" t="s">
        <v>46</v>
      </c>
      <c r="I5" s="44" t="s">
        <v>85</v>
      </c>
      <c r="J5" s="44" t="s">
        <v>9</v>
      </c>
      <c r="K5" s="44" t="s">
        <v>73</v>
      </c>
      <c r="L5" s="44" t="s">
        <v>71</v>
      </c>
      <c r="M5" s="44" t="s">
        <v>41</v>
      </c>
      <c r="N5" s="45" t="s">
        <v>106</v>
      </c>
      <c r="O5" s="409"/>
      <c r="P5" s="44" t="s">
        <v>64</v>
      </c>
      <c r="Q5" s="45" t="s">
        <v>92</v>
      </c>
      <c r="R5" s="45" t="s">
        <v>59</v>
      </c>
      <c r="S5" s="45" t="s">
        <v>99</v>
      </c>
      <c r="T5" s="416"/>
      <c r="U5" s="46"/>
      <c r="V5" s="47"/>
    </row>
    <row r="6" spans="2:25" ht="24.95" customHeight="1" thickBot="1" x14ac:dyDescent="0.25">
      <c r="B6" s="10"/>
      <c r="C6" s="11" t="s">
        <v>18</v>
      </c>
      <c r="D6" s="11" t="s">
        <v>56</v>
      </c>
      <c r="E6" s="11" t="s">
        <v>56</v>
      </c>
      <c r="F6" s="66" t="s">
        <v>57</v>
      </c>
      <c r="G6" s="11" t="s">
        <v>20</v>
      </c>
      <c r="H6" s="11" t="s">
        <v>20</v>
      </c>
      <c r="I6" s="11" t="s">
        <v>20</v>
      </c>
      <c r="J6" s="11" t="s">
        <v>20</v>
      </c>
      <c r="K6" s="11" t="s">
        <v>20</v>
      </c>
      <c r="L6" s="11" t="s">
        <v>20</v>
      </c>
      <c r="M6" s="11" t="s">
        <v>18</v>
      </c>
      <c r="N6" s="12" t="s">
        <v>21</v>
      </c>
      <c r="O6" s="12" t="s">
        <v>21</v>
      </c>
      <c r="P6" s="12" t="s">
        <v>21</v>
      </c>
      <c r="Q6" s="12" t="s">
        <v>21</v>
      </c>
      <c r="R6" s="48" t="s">
        <v>21</v>
      </c>
      <c r="S6" s="66" t="s">
        <v>21</v>
      </c>
      <c r="T6" s="13" t="s">
        <v>21</v>
      </c>
      <c r="U6" s="49"/>
      <c r="V6" s="49"/>
    </row>
    <row r="7" spans="2:25" ht="24.95" customHeight="1" thickTop="1" x14ac:dyDescent="0.2">
      <c r="B7" s="14">
        <v>2013</v>
      </c>
      <c r="C7" s="16">
        <f>+'Energy-Praslin-2021 '!D7</f>
        <v>12800</v>
      </c>
      <c r="D7" s="16">
        <v>0</v>
      </c>
      <c r="E7" s="16">
        <f>+'Energy-Praslin-2021 '!E7</f>
        <v>9800</v>
      </c>
      <c r="F7" s="67">
        <f>+'Energy-Praslin-2021 '!H7</f>
        <v>10796541</v>
      </c>
      <c r="G7" s="16">
        <f>+'Energy-Praslin-2021 '!I7</f>
        <v>39545503</v>
      </c>
      <c r="H7" s="16">
        <v>0</v>
      </c>
      <c r="I7" s="15">
        <f t="shared" ref="I7:I14" si="0">SUM(G7:H7)</f>
        <v>39545503</v>
      </c>
      <c r="J7" s="15">
        <f>+'Energy-Praslin-2021 '!J7</f>
        <v>929315</v>
      </c>
      <c r="K7" s="15">
        <f>+'Energy-Praslin-2021 '!K7</f>
        <v>38616188</v>
      </c>
      <c r="L7" s="15">
        <v>33780444</v>
      </c>
      <c r="M7" s="15">
        <v>7250</v>
      </c>
      <c r="N7" s="17">
        <f>+'Energy-Praslin-2021 '!N7</f>
        <v>37.460177881199954</v>
      </c>
      <c r="O7" s="17">
        <f t="shared" ref="O7:O14" si="1">100*(K7-L7)/K7</f>
        <v>12.522582498303562</v>
      </c>
      <c r="P7" s="17" t="s">
        <v>62</v>
      </c>
      <c r="Q7" s="17" t="s">
        <v>62</v>
      </c>
      <c r="R7" s="81" t="s">
        <v>62</v>
      </c>
      <c r="S7" s="81" t="s">
        <v>62</v>
      </c>
      <c r="T7" s="264" t="s">
        <v>62</v>
      </c>
      <c r="U7" s="49"/>
      <c r="V7" s="49"/>
    </row>
    <row r="8" spans="2:25" ht="24.95" customHeight="1" x14ac:dyDescent="0.2">
      <c r="B8" s="6">
        <v>2014</v>
      </c>
      <c r="C8" s="24">
        <f>+'Energy-Praslin-2021 '!E8</f>
        <v>10800</v>
      </c>
      <c r="D8" s="24">
        <f>+'Energy-Praslin-2021 '!D9</f>
        <v>120</v>
      </c>
      <c r="E8" s="20">
        <f t="shared" ref="E8:E14" si="2">SUM(C8:D8)</f>
        <v>10920</v>
      </c>
      <c r="F8" s="68">
        <f>+'Energy-Praslin-2021 '!H10</f>
        <v>11204306</v>
      </c>
      <c r="G8" s="24">
        <f>+'Energy-Praslin-2021 '!I8</f>
        <v>40806376</v>
      </c>
      <c r="H8" s="24">
        <f>+'Energy-Praslin-2021 '!I9</f>
        <v>77805</v>
      </c>
      <c r="I8" s="20">
        <f t="shared" si="0"/>
        <v>40884181</v>
      </c>
      <c r="J8" s="24">
        <f>+'Energy-Praslin-2021 '!J10</f>
        <v>932578</v>
      </c>
      <c r="K8" s="24">
        <f>+'Energy-Praslin-2021 '!K8</f>
        <v>39873798</v>
      </c>
      <c r="L8" s="24">
        <v>33737751</v>
      </c>
      <c r="M8" s="24">
        <f>+'Energy-Praslin-2021 '!F10</f>
        <v>8060</v>
      </c>
      <c r="N8" s="22">
        <f>+'Energy-Praslin-2021 '!N8</f>
        <v>37.24778358774158</v>
      </c>
      <c r="O8" s="21">
        <f t="shared" si="1"/>
        <v>15.388669521774675</v>
      </c>
      <c r="P8" s="21">
        <f t="shared" ref="P8:P15" si="3">100*(M8-M7)/M7</f>
        <v>11.172413793103448</v>
      </c>
      <c r="Q8" s="22">
        <f>+'Energy-Praslin-2021 '!P10</f>
        <v>3.3851586108286447</v>
      </c>
      <c r="R8" s="78">
        <f t="shared" ref="R8:R15" si="4">100*(K8-K7)/K7</f>
        <v>3.2566912093964322</v>
      </c>
      <c r="S8" s="274">
        <f>100*(L8-L7)/L7</f>
        <v>-0.12638377399657624</v>
      </c>
      <c r="T8" s="23">
        <f>100*H8/I8</f>
        <v>0.19030587894129516</v>
      </c>
      <c r="U8" s="30"/>
      <c r="V8" s="30"/>
      <c r="Y8" s="2"/>
    </row>
    <row r="9" spans="2:25" ht="24.95" customHeight="1" x14ac:dyDescent="0.2">
      <c r="B9" s="6">
        <v>2015</v>
      </c>
      <c r="C9" s="24">
        <f>+'Energy-Praslin-2021 '!E11</f>
        <v>13300</v>
      </c>
      <c r="D9" s="24">
        <f>+'Energy-Praslin-2021 '!D12</f>
        <v>239</v>
      </c>
      <c r="E9" s="20">
        <f t="shared" si="2"/>
        <v>13539</v>
      </c>
      <c r="F9" s="68">
        <f>+'Energy-Praslin-2021 '!H13</f>
        <v>12269651</v>
      </c>
      <c r="G9" s="24">
        <f>+'Energy-Praslin-2021 '!I11</f>
        <v>44411393</v>
      </c>
      <c r="H9" s="24">
        <f>+'Energy-Praslin-2021 '!I12</f>
        <v>245295</v>
      </c>
      <c r="I9" s="20">
        <f t="shared" si="0"/>
        <v>44656688</v>
      </c>
      <c r="J9" s="24">
        <f>+'Energy-Praslin-2021 '!J13</f>
        <v>1493907</v>
      </c>
      <c r="K9" s="24">
        <f>+'Energy-Praslin-2021 '!K11</f>
        <v>42917486</v>
      </c>
      <c r="L9" s="24">
        <v>36969996</v>
      </c>
      <c r="M9" s="24">
        <f>+'Energy-Praslin-2021 '!F13</f>
        <v>7700</v>
      </c>
      <c r="N9" s="22">
        <f>+'Energy-Praslin-2021 '!N11</f>
        <v>37.01856293220802</v>
      </c>
      <c r="O9" s="21">
        <f t="shared" si="1"/>
        <v>13.857964560179504</v>
      </c>
      <c r="P9" s="273">
        <f t="shared" si="3"/>
        <v>-4.4665012406947895</v>
      </c>
      <c r="Q9" s="22">
        <f>+'Energy-Praslin-2021 '!P13</f>
        <v>9.2273023642078087</v>
      </c>
      <c r="R9" s="78">
        <f t="shared" si="4"/>
        <v>7.6333034540627409</v>
      </c>
      <c r="S9" s="78">
        <f t="shared" ref="S9:S15" si="5">100*(L9-L8)/L8</f>
        <v>9.5804993047698996</v>
      </c>
      <c r="T9" s="23">
        <f t="shared" ref="T9:T14" si="6">100*H9/I9</f>
        <v>0.54929062361274983</v>
      </c>
      <c r="U9" s="30"/>
      <c r="V9" s="30"/>
      <c r="Y9" s="2"/>
    </row>
    <row r="10" spans="2:25" ht="24.95" customHeight="1" x14ac:dyDescent="0.2">
      <c r="B10" s="51">
        <v>2016</v>
      </c>
      <c r="C10" s="52">
        <f>+'Energy-Praslin-2021 '!E14</f>
        <v>13300</v>
      </c>
      <c r="D10" s="52">
        <f>+'Energy-Praslin-2021 '!D15</f>
        <v>347</v>
      </c>
      <c r="E10" s="58">
        <f t="shared" si="2"/>
        <v>13647</v>
      </c>
      <c r="F10" s="63">
        <f>+'Energy-Praslin-2021 '!H16</f>
        <v>12893104</v>
      </c>
      <c r="G10" s="52">
        <f>+'Energy-Praslin-2021 '!I16</f>
        <v>48366687</v>
      </c>
      <c r="H10" s="52">
        <v>394510</v>
      </c>
      <c r="I10" s="58">
        <f t="shared" si="0"/>
        <v>48761197</v>
      </c>
      <c r="J10" s="52">
        <f>+'Energy-Praslin-2021 '!J16</f>
        <v>1107807</v>
      </c>
      <c r="K10" s="52">
        <f>+'Energy-Praslin-2021 '!K14</f>
        <v>46864370</v>
      </c>
      <c r="L10" s="52">
        <v>41736760</v>
      </c>
      <c r="M10" s="52">
        <f>+'Energy-Praslin-2021 '!F14</f>
        <v>8200</v>
      </c>
      <c r="N10" s="59">
        <f>+'Energy-Praslin-2021 '!N14</f>
        <v>38.053035938934578</v>
      </c>
      <c r="O10" s="54">
        <f t="shared" si="1"/>
        <v>10.941382547124819</v>
      </c>
      <c r="P10" s="54">
        <f t="shared" si="3"/>
        <v>6.4935064935064934</v>
      </c>
      <c r="Q10" s="59">
        <f>+'Energy-Praslin-2021 '!P14</f>
        <v>8.0177264424018411</v>
      </c>
      <c r="R10" s="79">
        <f t="shared" si="4"/>
        <v>9.1964473408344567</v>
      </c>
      <c r="S10" s="78">
        <f t="shared" si="5"/>
        <v>12.893601611425655</v>
      </c>
      <c r="T10" s="23">
        <f t="shared" si="6"/>
        <v>0.80906545423813114</v>
      </c>
      <c r="Y10" s="2"/>
    </row>
    <row r="11" spans="2:25" ht="24.95" customHeight="1" x14ac:dyDescent="0.2">
      <c r="B11" s="6">
        <v>2017</v>
      </c>
      <c r="C11" s="24">
        <f>+'Energy-Praslin-2021 '!E17</f>
        <v>13300</v>
      </c>
      <c r="D11" s="24">
        <f>+'Energy-Praslin-2021 '!D18</f>
        <v>523</v>
      </c>
      <c r="E11" s="57">
        <f t="shared" si="2"/>
        <v>13823</v>
      </c>
      <c r="F11" s="68">
        <f>+'Energy-Praslin-2021 '!H19</f>
        <v>13677902</v>
      </c>
      <c r="G11" s="24">
        <f>+'Energy-Praslin-2021 '!I19</f>
        <v>51506203</v>
      </c>
      <c r="H11" s="24">
        <f>+'Energy-Praslin-2021 '!I18</f>
        <v>603211</v>
      </c>
      <c r="I11" s="62">
        <f t="shared" si="0"/>
        <v>52109414</v>
      </c>
      <c r="J11" s="24">
        <f>+'Energy-Praslin-2021 '!J19</f>
        <v>1178606</v>
      </c>
      <c r="K11" s="24">
        <f>+'Energy-Praslin-2021 '!K19</f>
        <v>50327597</v>
      </c>
      <c r="L11" s="60">
        <v>45023696.719999999</v>
      </c>
      <c r="M11" s="24">
        <f>+'Energy-Praslin-2021 '!F17</f>
        <v>8680</v>
      </c>
      <c r="N11" s="61">
        <f>+'Energy-Praslin-2021 '!N19</f>
        <v>38.059035445749458</v>
      </c>
      <c r="O11" s="21">
        <f t="shared" si="1"/>
        <v>10.53875129384779</v>
      </c>
      <c r="P11" s="21">
        <f t="shared" si="3"/>
        <v>5.8536585365853657</v>
      </c>
      <c r="Q11" s="61">
        <f>+'Energy-Praslin-2021 '!P17</f>
        <v>6.1094058749929152</v>
      </c>
      <c r="R11" s="78">
        <f t="shared" si="4"/>
        <v>7.3898934307662731</v>
      </c>
      <c r="S11" s="78">
        <f t="shared" si="5"/>
        <v>7.8753998154145144</v>
      </c>
      <c r="T11" s="23">
        <f t="shared" si="6"/>
        <v>1.1575854604697724</v>
      </c>
      <c r="Y11" s="2"/>
    </row>
    <row r="12" spans="2:25" ht="24.95" customHeight="1" x14ac:dyDescent="0.2">
      <c r="B12" s="82">
        <v>2018</v>
      </c>
      <c r="C12" s="52">
        <f>+'Energy-Praslin-2021 '!E20</f>
        <v>13300</v>
      </c>
      <c r="D12" s="52">
        <f>+'Energy-Praslin-2021 '!D21</f>
        <v>604</v>
      </c>
      <c r="E12" s="63">
        <f t="shared" si="2"/>
        <v>13904</v>
      </c>
      <c r="F12" s="63">
        <f>+'Energy-Praslin-2021 '!H22</f>
        <v>13685281</v>
      </c>
      <c r="G12" s="52">
        <f>+'Energy-Praslin-2021 '!I20</f>
        <v>50737907</v>
      </c>
      <c r="H12" s="52">
        <f>+'Energy-Praslin-2021 '!I21</f>
        <v>615017</v>
      </c>
      <c r="I12" s="62">
        <f t="shared" si="0"/>
        <v>51352924</v>
      </c>
      <c r="J12" s="52">
        <f>+'Energy-Praslin-2021 '!J22</f>
        <v>1347084</v>
      </c>
      <c r="K12" s="52">
        <f>+'Energy-Praslin-2021 '!K22</f>
        <v>50005840</v>
      </c>
      <c r="L12" s="83">
        <v>44358770</v>
      </c>
      <c r="M12" s="52">
        <f>+'Energy-Praslin-2021 '!F22</f>
        <v>9050</v>
      </c>
      <c r="N12" s="59">
        <f>+'Energy-Praslin-2021 '!N22</f>
        <v>37.925314238537041</v>
      </c>
      <c r="O12" s="54">
        <f t="shared" si="1"/>
        <v>11.292820998507374</v>
      </c>
      <c r="P12" s="54">
        <f t="shared" si="3"/>
        <v>4.2626728110599075</v>
      </c>
      <c r="Q12" s="271">
        <f>+'Energy-Praslin-2021 '!P22</f>
        <v>-0.29759328211400093</v>
      </c>
      <c r="R12" s="272">
        <f t="shared" si="4"/>
        <v>-0.63932517978158188</v>
      </c>
      <c r="S12" s="78">
        <f t="shared" si="5"/>
        <v>-1.4768372400319394</v>
      </c>
      <c r="T12" s="23">
        <f t="shared" si="6"/>
        <v>1.1976280065376608</v>
      </c>
    </row>
    <row r="13" spans="2:25" ht="24.95" customHeight="1" x14ac:dyDescent="0.2">
      <c r="B13" s="51">
        <v>2019</v>
      </c>
      <c r="C13" s="52">
        <f>+'Energy-Praslin-2021 '!E23</f>
        <v>13300</v>
      </c>
      <c r="D13" s="52">
        <f>+'Energy-Praslin-2021 '!D24</f>
        <v>738</v>
      </c>
      <c r="E13" s="63">
        <f t="shared" si="2"/>
        <v>14038</v>
      </c>
      <c r="F13" s="63">
        <f>+'Energy-Praslin-2021 '!H25</f>
        <v>14684368</v>
      </c>
      <c r="G13" s="52">
        <f>+'Energy-Praslin-2021 '!I23</f>
        <v>53639171</v>
      </c>
      <c r="H13" s="52">
        <f>+'Energy-Praslin-2021 '!I24</f>
        <v>623149</v>
      </c>
      <c r="I13" s="63">
        <f t="shared" si="0"/>
        <v>54262320</v>
      </c>
      <c r="J13" s="52">
        <f>+'Energy-Praslin-2021 '!J25</f>
        <v>1280308</v>
      </c>
      <c r="K13" s="52">
        <f>+'Energy-Praslin-2021 '!K25</f>
        <v>52358863</v>
      </c>
      <c r="L13" s="83">
        <v>46056670</v>
      </c>
      <c r="M13" s="52">
        <f>+'Energy-Praslin-2021 '!F23</f>
        <v>9880</v>
      </c>
      <c r="N13" s="59">
        <f>+'Energy-Praslin-2021 '!N23</f>
        <v>36.918540823441738</v>
      </c>
      <c r="O13" s="54">
        <f t="shared" si="1"/>
        <v>12.036535247146219</v>
      </c>
      <c r="P13" s="54">
        <f t="shared" si="3"/>
        <v>9.1712707182320443</v>
      </c>
      <c r="Q13" s="262">
        <f>+'Energy-Praslin-2021 '!P23</f>
        <v>5.7181389054932836</v>
      </c>
      <c r="R13" s="263">
        <f t="shared" si="4"/>
        <v>4.7054963980207116</v>
      </c>
      <c r="S13" s="78">
        <f t="shared" si="5"/>
        <v>3.8276534719064572</v>
      </c>
      <c r="T13" s="23">
        <f t="shared" si="6"/>
        <v>1.1484009530001666</v>
      </c>
    </row>
    <row r="14" spans="2:25" ht="24.95" customHeight="1" thickBot="1" x14ac:dyDescent="0.25">
      <c r="B14" s="10">
        <v>2020</v>
      </c>
      <c r="C14" s="25">
        <f>+'Energy-Praslin-2021 '!E28</f>
        <v>13300</v>
      </c>
      <c r="D14" s="25">
        <f>+'Energy-Praslin-2021 '!D29</f>
        <v>794</v>
      </c>
      <c r="E14" s="69">
        <f t="shared" si="2"/>
        <v>14094</v>
      </c>
      <c r="F14" s="69">
        <f>+'Energy-Praslin-2021 '!H31</f>
        <v>12513446</v>
      </c>
      <c r="G14" s="25">
        <f>+'Energy-Praslin-2021 '!I28</f>
        <v>45696625</v>
      </c>
      <c r="H14" s="25">
        <f>+'Energy-Praslin-2021 '!I29</f>
        <v>726338</v>
      </c>
      <c r="I14" s="69">
        <f t="shared" si="0"/>
        <v>46422963</v>
      </c>
      <c r="J14" s="25">
        <f>+'Energy-Praslin-2021 '!J31</f>
        <v>952293</v>
      </c>
      <c r="K14" s="25">
        <f>+'Energy-Praslin-2021 '!K26</f>
        <v>44744332</v>
      </c>
      <c r="L14" s="25">
        <v>41030104</v>
      </c>
      <c r="M14" s="25">
        <f>+'Energy-Praslin-2021 '!F31</f>
        <v>9470</v>
      </c>
      <c r="N14" s="50">
        <f>+'Energy-Praslin-2021 '!N31</f>
        <v>37.495026303480806</v>
      </c>
      <c r="O14" s="27">
        <f t="shared" si="1"/>
        <v>8.3010022364396896</v>
      </c>
      <c r="P14" s="268">
        <f t="shared" si="3"/>
        <v>-4.1497975708502022</v>
      </c>
      <c r="Q14" s="269">
        <f>+'Energy-Praslin-2021 '!P31</f>
        <v>-13.453242966786343</v>
      </c>
      <c r="R14" s="270">
        <f t="shared" si="4"/>
        <v>-14.542964769880507</v>
      </c>
      <c r="S14" s="270">
        <f t="shared" si="5"/>
        <v>-10.913871975546646</v>
      </c>
      <c r="T14" s="29">
        <f t="shared" si="6"/>
        <v>1.5646093076824932</v>
      </c>
    </row>
    <row r="15" spans="2:25" ht="24.95" customHeight="1" thickTop="1" thickBot="1" x14ac:dyDescent="0.25">
      <c r="B15" s="10">
        <v>2021</v>
      </c>
      <c r="C15" s="25">
        <f>+'Energy-Praslin-2021 '!E38</f>
        <v>15600</v>
      </c>
      <c r="D15" s="25">
        <f>+'Energy-Praslin-2021 '!D37</f>
        <v>1013</v>
      </c>
      <c r="E15" s="330">
        <f t="shared" ref="E15" si="7">SUM(C15:D15)</f>
        <v>16613</v>
      </c>
      <c r="F15" s="330">
        <f>+'Energy-Praslin-2021 '!H38</f>
        <v>12318190</v>
      </c>
      <c r="G15" s="25">
        <f>+'Energy-Praslin-2021 '!I38</f>
        <v>45580207</v>
      </c>
      <c r="H15" s="25">
        <f>+'Energy-Praslin-2021 '!I37</f>
        <v>970701</v>
      </c>
      <c r="I15" s="330">
        <f t="shared" ref="I15" si="8">SUM(G15:H15)</f>
        <v>46550908</v>
      </c>
      <c r="J15" s="25">
        <f>+'Energy-Praslin-2021 '!J38</f>
        <v>960089</v>
      </c>
      <c r="K15" s="25">
        <f>+'Energy-Praslin-2021 '!K38</f>
        <v>44620118</v>
      </c>
      <c r="L15" s="25">
        <v>38390814</v>
      </c>
      <c r="M15" s="25">
        <f>+'Energy-Praslin-2021 '!F32</f>
        <v>8690</v>
      </c>
      <c r="N15" s="50">
        <f>+'Energy-Praslin-2021 '!N32</f>
        <v>36.752108857594834</v>
      </c>
      <c r="O15" s="27">
        <f t="shared" ref="O15" si="9">100*(K15-L15)/K15</f>
        <v>13.960751963945949</v>
      </c>
      <c r="P15" s="268">
        <f t="shared" si="3"/>
        <v>-8.2365364308342137</v>
      </c>
      <c r="Q15" s="269">
        <f>+'Energy-Praslin-2021 '!P38</f>
        <v>-1.8153860622812896</v>
      </c>
      <c r="R15" s="270">
        <f t="shared" si="4"/>
        <v>-0.27760834601352413</v>
      </c>
      <c r="S15" s="270">
        <f t="shared" si="5"/>
        <v>-6.4325696079152026</v>
      </c>
      <c r="T15" s="29">
        <f t="shared" ref="T15" si="10">100*H15/I15</f>
        <v>2.0852461137814968</v>
      </c>
    </row>
    <row r="16" spans="2:25" ht="12" thickTop="1" x14ac:dyDescent="0.2">
      <c r="W16" s="2"/>
    </row>
    <row r="18" spans="23:23" x14ac:dyDescent="0.2">
      <c r="W18" s="2"/>
    </row>
    <row r="20" spans="23:23" x14ac:dyDescent="0.2">
      <c r="W20" s="2"/>
    </row>
  </sheetData>
  <mergeCells count="6">
    <mergeCell ref="T4:T5"/>
    <mergeCell ref="C4:E4"/>
    <mergeCell ref="G4:I4"/>
    <mergeCell ref="O4:O5"/>
    <mergeCell ref="B2:T2"/>
    <mergeCell ref="P4:S4"/>
  </mergeCells>
  <pageMargins left="0.11811023622047245" right="0.11811023622047245" top="0.15748031496062992" bottom="0.15748031496062992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Summary-PUC-2013-2021</vt:lpstr>
      <vt:lpstr>Energy-Mahe-2021</vt:lpstr>
      <vt:lpstr>Energy-Praslin-2021 </vt:lpstr>
      <vt:lpstr>Statistics- Mahe-2011-2021</vt:lpstr>
      <vt:lpstr>Statistics- Praslin-2013-2021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K. Singh</dc:creator>
  <cp:lastModifiedBy>Anil K. Singh</cp:lastModifiedBy>
  <cp:lastPrinted>2018-02-10T10:45:42Z</cp:lastPrinted>
  <dcterms:created xsi:type="dcterms:W3CDTF">2016-01-25T12:52:00Z</dcterms:created>
  <dcterms:modified xsi:type="dcterms:W3CDTF">2022-03-07T13:02:16Z</dcterms:modified>
</cp:coreProperties>
</file>