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9.xml" ContentType="application/vnd.openxmlformats-officedocument.drawingml.chart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275" windowHeight="6585"/>
  </bookViews>
  <sheets>
    <sheet name="Growth 2010-2021" sheetId="1" r:id="rId1"/>
    <sheet name="Structures" sheetId="2" r:id="rId2"/>
    <sheet name="Charts-ELECTRICITY" sheetId="10" r:id="rId3"/>
    <sheet name="Charts-National" sheetId="4" r:id="rId4"/>
    <sheet name="Charts-TRANSP" sheetId="6" r:id="rId5"/>
    <sheet name="Charts-RESIDENTIAL" sheetId="7" r:id="rId6"/>
    <sheet name="Charts-SERVICE" sheetId="8" r:id="rId7"/>
    <sheet name="Key Energy Figures" sheetId="3" r:id="rId8"/>
    <sheet name="Booklet-2019" sheetId="12" r:id="rId9"/>
  </sheets>
  <externalReferences>
    <externalReference r:id="rId10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7" i="1"/>
  <c r="F337"/>
  <c r="G337"/>
  <c r="H337"/>
  <c r="I337"/>
  <c r="J337"/>
  <c r="K337"/>
  <c r="L337"/>
  <c r="M337"/>
  <c r="N337"/>
  <c r="O337"/>
  <c r="D337"/>
  <c r="E332"/>
  <c r="F332"/>
  <c r="G332"/>
  <c r="H332"/>
  <c r="I332"/>
  <c r="J332"/>
  <c r="K332"/>
  <c r="L332"/>
  <c r="M332"/>
  <c r="N332"/>
  <c r="O332"/>
  <c r="D332"/>
  <c r="E315"/>
  <c r="F315"/>
  <c r="G315"/>
  <c r="H315"/>
  <c r="I315"/>
  <c r="J315"/>
  <c r="K315"/>
  <c r="L315"/>
  <c r="M315"/>
  <c r="N315"/>
  <c r="O315"/>
  <c r="D315"/>
  <c r="G274"/>
  <c r="H274"/>
  <c r="I274"/>
  <c r="J274"/>
  <c r="K274"/>
  <c r="L274"/>
  <c r="M274"/>
  <c r="N274"/>
  <c r="O274"/>
  <c r="F274"/>
  <c r="F270"/>
  <c r="G270"/>
  <c r="H270"/>
  <c r="I270"/>
  <c r="J270"/>
  <c r="K270"/>
  <c r="L270"/>
  <c r="M270"/>
  <c r="N270"/>
  <c r="O270"/>
  <c r="F271"/>
  <c r="G271"/>
  <c r="H271"/>
  <c r="I271"/>
  <c r="J271"/>
  <c r="K271"/>
  <c r="L271"/>
  <c r="M271"/>
  <c r="N271"/>
  <c r="O271"/>
  <c r="F272"/>
  <c r="G272"/>
  <c r="H272"/>
  <c r="I272"/>
  <c r="J272"/>
  <c r="K272"/>
  <c r="L272"/>
  <c r="M272"/>
  <c r="N272"/>
  <c r="O272"/>
  <c r="F273"/>
  <c r="G273"/>
  <c r="H273"/>
  <c r="I273"/>
  <c r="J273"/>
  <c r="K273"/>
  <c r="L273"/>
  <c r="M273"/>
  <c r="N273"/>
  <c r="O273"/>
  <c r="G269"/>
  <c r="H269"/>
  <c r="I269"/>
  <c r="J269"/>
  <c r="K269"/>
  <c r="L269"/>
  <c r="M269"/>
  <c r="N269"/>
  <c r="O269"/>
  <c r="F269"/>
  <c r="R145"/>
  <c r="R146"/>
  <c r="I11"/>
  <c r="J11"/>
  <c r="K11"/>
  <c r="L11"/>
  <c r="M11"/>
  <c r="N11"/>
  <c r="O11"/>
  <c r="H11"/>
  <c r="I21"/>
  <c r="J21"/>
  <c r="K21"/>
  <c r="L21"/>
  <c r="M21"/>
  <c r="N21"/>
  <c r="O21"/>
  <c r="H21"/>
  <c r="O181"/>
  <c r="F181"/>
  <c r="G181"/>
  <c r="H181"/>
  <c r="I181"/>
  <c r="J181"/>
  <c r="K181"/>
  <c r="L181"/>
  <c r="M181"/>
  <c r="N181"/>
  <c r="E181"/>
  <c r="P79" l="1"/>
  <c r="N66" l="1"/>
  <c r="O66"/>
  <c r="O65"/>
  <c r="T75"/>
  <c r="S75"/>
  <c r="M65"/>
  <c r="M66" s="1"/>
  <c r="O38" l="1"/>
  <c r="O37"/>
  <c r="O36"/>
  <c r="O31"/>
  <c r="I10"/>
  <c r="J10"/>
  <c r="K10"/>
  <c r="L10"/>
  <c r="M10"/>
  <c r="N10"/>
  <c r="O10"/>
  <c r="H10"/>
  <c r="O8"/>
  <c r="Q79" l="1"/>
  <c r="Q48"/>
  <c r="Q6"/>
  <c r="N29"/>
  <c r="O29"/>
  <c r="N27"/>
  <c r="O27"/>
  <c r="N26"/>
  <c r="O26"/>
  <c r="N226"/>
  <c r="O226"/>
  <c r="N215"/>
  <c r="O215"/>
  <c r="N214"/>
  <c r="O214"/>
  <c r="N209"/>
  <c r="O209"/>
  <c r="M209"/>
  <c r="N185"/>
  <c r="O357"/>
  <c r="N357"/>
  <c r="O112"/>
  <c r="O56"/>
  <c r="N207"/>
  <c r="O207"/>
  <c r="N221"/>
  <c r="N223" s="1"/>
  <c r="O221"/>
  <c r="O223" s="1"/>
  <c r="N190"/>
  <c r="N196"/>
  <c r="O196"/>
  <c r="N195"/>
  <c r="O195"/>
  <c r="N194"/>
  <c r="O190"/>
  <c r="N173"/>
  <c r="O173"/>
  <c r="O144"/>
  <c r="O145" s="1"/>
  <c r="N144"/>
  <c r="N145" s="1"/>
  <c r="Q155"/>
  <c r="N146"/>
  <c r="O146"/>
  <c r="O128"/>
  <c r="O124"/>
  <c r="O125" s="1"/>
  <c r="O245"/>
  <c r="O244"/>
  <c r="O243"/>
  <c r="O242"/>
  <c r="O241"/>
  <c r="O246" s="1"/>
  <c r="O239"/>
  <c r="M190"/>
  <c r="O34"/>
  <c r="O33"/>
  <c r="O32"/>
  <c r="N166"/>
  <c r="O166"/>
  <c r="N162"/>
  <c r="O162"/>
  <c r="O105"/>
  <c r="O177" s="1"/>
  <c r="O101"/>
  <c r="O99"/>
  <c r="O95"/>
  <c r="O87"/>
  <c r="O86"/>
  <c r="O100" s="1"/>
  <c r="O85"/>
  <c r="O94" s="1"/>
  <c r="O96" s="1"/>
  <c r="N203" l="1"/>
  <c r="O224"/>
  <c r="N224"/>
  <c r="O107"/>
  <c r="O198"/>
  <c r="O157"/>
  <c r="O149"/>
  <c r="O153" s="1"/>
  <c r="N157"/>
  <c r="N149"/>
  <c r="N153" s="1"/>
  <c r="N156"/>
  <c r="N148"/>
  <c r="O156"/>
  <c r="O148"/>
  <c r="O178"/>
  <c r="O179" s="1"/>
  <c r="O203"/>
  <c r="O194"/>
  <c r="O199" s="1"/>
  <c r="O200" s="1"/>
  <c r="O102"/>
  <c r="O106" s="1"/>
  <c r="O213" s="1"/>
  <c r="O108"/>
  <c r="O23"/>
  <c r="O16"/>
  <c r="O20" s="1"/>
  <c r="O15"/>
  <c r="O13"/>
  <c r="O110" l="1"/>
  <c r="O111"/>
  <c r="O206"/>
  <c r="N206"/>
  <c r="O152"/>
  <c r="O154" s="1"/>
  <c r="O150"/>
  <c r="O168" s="1"/>
  <c r="O169" s="1"/>
  <c r="N152"/>
  <c r="N154" s="1"/>
  <c r="N150"/>
  <c r="N168" s="1"/>
  <c r="N169" s="1"/>
  <c r="O52"/>
  <c r="O48"/>
  <c r="O46" s="1"/>
  <c r="O57" s="1"/>
  <c r="O81" l="1"/>
  <c r="O82" s="1"/>
  <c r="O54"/>
  <c r="O53"/>
  <c r="N245"/>
  <c r="N244"/>
  <c r="N243"/>
  <c r="N242"/>
  <c r="N241"/>
  <c r="N246" s="1"/>
  <c r="N239"/>
  <c r="N128"/>
  <c r="N124"/>
  <c r="N125" s="1"/>
  <c r="N37" l="1"/>
  <c r="N38" s="1"/>
  <c r="N36"/>
  <c r="N15"/>
  <c r="N16"/>
  <c r="N20" s="1"/>
  <c r="N33"/>
  <c r="N32"/>
  <c r="N23"/>
  <c r="N13"/>
  <c r="N31"/>
  <c r="E42"/>
  <c r="F42"/>
  <c r="G42"/>
  <c r="H42"/>
  <c r="D42"/>
  <c r="R14"/>
  <c r="Q14"/>
  <c r="N65" l="1"/>
  <c r="N8" l="1"/>
  <c r="N105" l="1"/>
  <c r="N177" s="1"/>
  <c r="N178" s="1"/>
  <c r="N179" s="1"/>
  <c r="N99"/>
  <c r="N95"/>
  <c r="N87"/>
  <c r="N86"/>
  <c r="N100" s="1"/>
  <c r="N85"/>
  <c r="N94" s="1"/>
  <c r="N96" s="1"/>
  <c r="N107" l="1"/>
  <c r="N198"/>
  <c r="N199" s="1"/>
  <c r="N200" s="1"/>
  <c r="AD308"/>
  <c r="AB308"/>
  <c r="N56"/>
  <c r="N91" s="1"/>
  <c r="N101" s="1"/>
  <c r="N102" s="1"/>
  <c r="N106" s="1"/>
  <c r="N108" l="1"/>
  <c r="N213"/>
  <c r="N110"/>
  <c r="N111"/>
  <c r="AE304"/>
  <c r="AD304"/>
  <c r="AC304"/>
  <c r="AB304"/>
  <c r="AA308"/>
  <c r="Z308"/>
  <c r="AA304"/>
  <c r="Z304"/>
  <c r="O327" s="1"/>
  <c r="N48"/>
  <c r="N52"/>
  <c r="N328" l="1"/>
  <c r="O328"/>
  <c r="O321"/>
  <c r="O313"/>
  <c r="N313"/>
  <c r="O311"/>
  <c r="O320"/>
  <c r="O338"/>
  <c r="N338"/>
  <c r="AB307"/>
  <c r="O322"/>
  <c r="O333"/>
  <c r="M326"/>
  <c r="O326"/>
  <c r="O325" s="1"/>
  <c r="N326"/>
  <c r="O312"/>
  <c r="N312"/>
  <c r="AD307"/>
  <c r="O319"/>
  <c r="O318" s="1"/>
  <c r="N319"/>
  <c r="O301"/>
  <c r="N301"/>
  <c r="N302"/>
  <c r="O302"/>
  <c r="O303"/>
  <c r="N303"/>
  <c r="N53"/>
  <c r="N46"/>
  <c r="N57" s="1"/>
  <c r="N82"/>
  <c r="N54"/>
  <c r="E327"/>
  <c r="F327"/>
  <c r="G327"/>
  <c r="H327"/>
  <c r="I327"/>
  <c r="J327"/>
  <c r="K327"/>
  <c r="L327"/>
  <c r="M327"/>
  <c r="N327"/>
  <c r="D327"/>
  <c r="E328"/>
  <c r="F328"/>
  <c r="G328"/>
  <c r="H328"/>
  <c r="I328"/>
  <c r="J328"/>
  <c r="K328"/>
  <c r="L328"/>
  <c r="M328"/>
  <c r="D328"/>
  <c r="E313"/>
  <c r="F313"/>
  <c r="G313"/>
  <c r="H313"/>
  <c r="I313"/>
  <c r="J313"/>
  <c r="K313"/>
  <c r="L313"/>
  <c r="M313"/>
  <c r="D313"/>
  <c r="I302"/>
  <c r="M302"/>
  <c r="AC306"/>
  <c r="E333"/>
  <c r="F333"/>
  <c r="G333"/>
  <c r="H333"/>
  <c r="I333"/>
  <c r="J333"/>
  <c r="K333"/>
  <c r="L333"/>
  <c r="S345" s="1"/>
  <c r="M333"/>
  <c r="N333"/>
  <c r="D333"/>
  <c r="M303"/>
  <c r="L303"/>
  <c r="F303"/>
  <c r="H303"/>
  <c r="J303"/>
  <c r="D303"/>
  <c r="AD306"/>
  <c r="AA307"/>
  <c r="F321"/>
  <c r="J321"/>
  <c r="N321"/>
  <c r="F311"/>
  <c r="J311"/>
  <c r="N311"/>
  <c r="I321"/>
  <c r="N320"/>
  <c r="E311"/>
  <c r="I311"/>
  <c r="D311"/>
  <c r="E321"/>
  <c r="M321"/>
  <c r="M311"/>
  <c r="H321"/>
  <c r="L321"/>
  <c r="H311"/>
  <c r="L311"/>
  <c r="G321"/>
  <c r="K321"/>
  <c r="D321"/>
  <c r="G311"/>
  <c r="K311"/>
  <c r="AB306"/>
  <c r="E322"/>
  <c r="I322"/>
  <c r="M322"/>
  <c r="H322"/>
  <c r="L322"/>
  <c r="G322"/>
  <c r="K322"/>
  <c r="D322"/>
  <c r="F322"/>
  <c r="J322"/>
  <c r="N322"/>
  <c r="Z306"/>
  <c r="F301"/>
  <c r="E301"/>
  <c r="I301"/>
  <c r="M301"/>
  <c r="M300" s="1"/>
  <c r="H301"/>
  <c r="N300"/>
  <c r="N306" s="1"/>
  <c r="L301"/>
  <c r="G301"/>
  <c r="K301"/>
  <c r="D301"/>
  <c r="J301"/>
  <c r="E302"/>
  <c r="K302"/>
  <c r="G302"/>
  <c r="I303"/>
  <c r="E303"/>
  <c r="D302"/>
  <c r="L302"/>
  <c r="H302"/>
  <c r="AA306"/>
  <c r="K303"/>
  <c r="G303"/>
  <c r="J302"/>
  <c r="F302"/>
  <c r="Z307"/>
  <c r="N186"/>
  <c r="N310" l="1"/>
  <c r="N314"/>
  <c r="O300"/>
  <c r="O314"/>
  <c r="O310"/>
  <c r="J300"/>
  <c r="G300"/>
  <c r="L300"/>
  <c r="N343"/>
  <c r="N325"/>
  <c r="I300"/>
  <c r="K300"/>
  <c r="H300"/>
  <c r="F300"/>
  <c r="E300"/>
  <c r="N318"/>
  <c r="N297" s="1"/>
  <c r="N79"/>
  <c r="N112" s="1"/>
  <c r="O343" l="1"/>
  <c r="O306"/>
  <c r="O307"/>
  <c r="O297"/>
  <c r="N307"/>
  <c r="N34"/>
  <c r="N298"/>
  <c r="N345" s="1"/>
  <c r="E343"/>
  <c r="F343"/>
  <c r="H343"/>
  <c r="S339"/>
  <c r="Q301"/>
  <c r="G343"/>
  <c r="C23" i="12"/>
  <c r="D23" s="1"/>
  <c r="Q74" i="1"/>
  <c r="Q73"/>
  <c r="Q72"/>
  <c r="Q71"/>
  <c r="M50"/>
  <c r="O298" l="1"/>
  <c r="O345" s="1"/>
  <c r="D22" i="12"/>
  <c r="D21"/>
  <c r="D20"/>
  <c r="E124" i="1"/>
  <c r="E125" s="1"/>
  <c r="F124"/>
  <c r="F125" s="1"/>
  <c r="G124"/>
  <c r="G125" s="1"/>
  <c r="H124"/>
  <c r="H125" s="1"/>
  <c r="I124"/>
  <c r="I125" s="1"/>
  <c r="J124"/>
  <c r="J125" s="1"/>
  <c r="K124"/>
  <c r="K125" s="1"/>
  <c r="L124"/>
  <c r="L125" s="1"/>
  <c r="M124"/>
  <c r="M125" s="1"/>
  <c r="D124"/>
  <c r="D125" s="1"/>
  <c r="E128"/>
  <c r="F128"/>
  <c r="G128"/>
  <c r="H128"/>
  <c r="I128"/>
  <c r="J128"/>
  <c r="K128"/>
  <c r="L128"/>
  <c r="M128"/>
  <c r="D128"/>
  <c r="R124" l="1"/>
  <c r="M29"/>
  <c r="E195" l="1"/>
  <c r="F195"/>
  <c r="G195"/>
  <c r="H195"/>
  <c r="I195"/>
  <c r="J195"/>
  <c r="K195"/>
  <c r="L195"/>
  <c r="M195"/>
  <c r="M250" s="1"/>
  <c r="D195"/>
  <c r="E95"/>
  <c r="F95"/>
  <c r="G95"/>
  <c r="H95"/>
  <c r="I95"/>
  <c r="J95"/>
  <c r="K95"/>
  <c r="L95"/>
  <c r="M95"/>
  <c r="D95"/>
  <c r="N99" i="10"/>
  <c r="L99"/>
  <c r="M99" s="1"/>
  <c r="J90"/>
  <c r="J91"/>
  <c r="J92"/>
  <c r="J93"/>
  <c r="J94"/>
  <c r="J95"/>
  <c r="J96"/>
  <c r="J97"/>
  <c r="J98"/>
  <c r="J99"/>
  <c r="J100"/>
  <c r="J101"/>
  <c r="J102"/>
  <c r="J103"/>
  <c r="I90"/>
  <c r="I91"/>
  <c r="I92"/>
  <c r="I93"/>
  <c r="I94"/>
  <c r="I95"/>
  <c r="I96"/>
  <c r="I97"/>
  <c r="I98"/>
  <c r="I99"/>
  <c r="I100"/>
  <c r="I101"/>
  <c r="I102"/>
  <c r="I103"/>
  <c r="I89"/>
  <c r="J89"/>
  <c r="Q133" i="1" l="1"/>
  <c r="M185"/>
  <c r="M186" s="1"/>
  <c r="E185"/>
  <c r="E186" s="1"/>
  <c r="F185"/>
  <c r="F186" s="1"/>
  <c r="G185"/>
  <c r="G186" s="1"/>
  <c r="H185"/>
  <c r="H186" s="1"/>
  <c r="I185"/>
  <c r="I186" s="1"/>
  <c r="J185"/>
  <c r="J186" s="1"/>
  <c r="K185"/>
  <c r="K186" s="1"/>
  <c r="L185"/>
  <c r="L186" s="1"/>
  <c r="D185"/>
  <c r="D186" s="1"/>
  <c r="R83" l="1"/>
  <c r="C146" i="2" l="1"/>
  <c r="C131"/>
  <c r="D116"/>
  <c r="D101"/>
  <c r="E101" l="1"/>
  <c r="E98"/>
  <c r="E99"/>
  <c r="E100"/>
  <c r="E97"/>
  <c r="D143"/>
  <c r="D144"/>
  <c r="D145"/>
  <c r="E113"/>
  <c r="E112"/>
  <c r="E114"/>
  <c r="E116"/>
  <c r="E115"/>
  <c r="E196" i="1"/>
  <c r="F196"/>
  <c r="G196"/>
  <c r="H196"/>
  <c r="I196"/>
  <c r="J196"/>
  <c r="K196"/>
  <c r="L196"/>
  <c r="M196"/>
  <c r="D196"/>
  <c r="E207"/>
  <c r="F207"/>
  <c r="G207"/>
  <c r="H207"/>
  <c r="I207"/>
  <c r="J207"/>
  <c r="K207"/>
  <c r="L207"/>
  <c r="M207"/>
  <c r="D207"/>
  <c r="D263" l="1"/>
  <c r="E263"/>
  <c r="F263"/>
  <c r="G263"/>
  <c r="H263"/>
  <c r="I263"/>
  <c r="J263"/>
  <c r="K263"/>
  <c r="L263"/>
  <c r="M263"/>
  <c r="E254"/>
  <c r="E262" s="1"/>
  <c r="F254"/>
  <c r="F262" s="1"/>
  <c r="G254"/>
  <c r="G262" s="1"/>
  <c r="H254"/>
  <c r="H262" s="1"/>
  <c r="I254"/>
  <c r="I262" s="1"/>
  <c r="J254"/>
  <c r="J262" s="1"/>
  <c r="K254"/>
  <c r="K262" s="1"/>
  <c r="L254"/>
  <c r="L262" s="1"/>
  <c r="M254"/>
  <c r="M262" s="1"/>
  <c r="D254"/>
  <c r="D262" s="1"/>
  <c r="E250"/>
  <c r="E258" s="1"/>
  <c r="F250"/>
  <c r="F258" s="1"/>
  <c r="G250"/>
  <c r="G258" s="1"/>
  <c r="H250"/>
  <c r="H258" s="1"/>
  <c r="I250"/>
  <c r="I258" s="1"/>
  <c r="J250"/>
  <c r="J258" s="1"/>
  <c r="K250"/>
  <c r="K258" s="1"/>
  <c r="L250"/>
  <c r="L258" s="1"/>
  <c r="M258"/>
  <c r="D250"/>
  <c r="D258" s="1"/>
  <c r="E173" l="1"/>
  <c r="F173"/>
  <c r="G173"/>
  <c r="H173"/>
  <c r="I173"/>
  <c r="J173"/>
  <c r="K173"/>
  <c r="L173"/>
  <c r="M173"/>
  <c r="D173"/>
  <c r="E221"/>
  <c r="E223" s="1"/>
  <c r="F221"/>
  <c r="F223" s="1"/>
  <c r="G221"/>
  <c r="G223" s="1"/>
  <c r="H221"/>
  <c r="H223" s="1"/>
  <c r="I221"/>
  <c r="I223" s="1"/>
  <c r="J221"/>
  <c r="J223" s="1"/>
  <c r="K221"/>
  <c r="K223" s="1"/>
  <c r="L221"/>
  <c r="L223" s="1"/>
  <c r="M221"/>
  <c r="M223" s="1"/>
  <c r="D221"/>
  <c r="D223" s="1"/>
  <c r="E146"/>
  <c r="E319" s="1"/>
  <c r="F146"/>
  <c r="F319" s="1"/>
  <c r="G146"/>
  <c r="G319" s="1"/>
  <c r="H146"/>
  <c r="H319" s="1"/>
  <c r="I146"/>
  <c r="I319" s="1"/>
  <c r="J146"/>
  <c r="J319" s="1"/>
  <c r="K146"/>
  <c r="K319" s="1"/>
  <c r="L146"/>
  <c r="L319" s="1"/>
  <c r="M146"/>
  <c r="M319" s="1"/>
  <c r="D146"/>
  <c r="D319" s="1"/>
  <c r="E144"/>
  <c r="F144"/>
  <c r="G144"/>
  <c r="H144"/>
  <c r="I144"/>
  <c r="J144"/>
  <c r="K144"/>
  <c r="L144"/>
  <c r="M144"/>
  <c r="D144"/>
  <c r="D224" l="1"/>
  <c r="D338"/>
  <c r="M224"/>
  <c r="M338"/>
  <c r="L224"/>
  <c r="L338"/>
  <c r="S346" s="1"/>
  <c r="K224"/>
  <c r="K338"/>
  <c r="J224"/>
  <c r="J338"/>
  <c r="I224"/>
  <c r="I338"/>
  <c r="H224"/>
  <c r="H338"/>
  <c r="G224"/>
  <c r="G338"/>
  <c r="F224"/>
  <c r="F338"/>
  <c r="E224"/>
  <c r="E338"/>
  <c r="I252"/>
  <c r="I260" s="1"/>
  <c r="I157"/>
  <c r="E252"/>
  <c r="E260" s="1"/>
  <c r="E157"/>
  <c r="D252"/>
  <c r="D260" s="1"/>
  <c r="D157"/>
  <c r="J252"/>
  <c r="J260" s="1"/>
  <c r="J157"/>
  <c r="F252"/>
  <c r="F260" s="1"/>
  <c r="F157"/>
  <c r="G252"/>
  <c r="G260" s="1"/>
  <c r="G157"/>
  <c r="M252"/>
  <c r="M260" s="1"/>
  <c r="M157"/>
  <c r="K252"/>
  <c r="K260" s="1"/>
  <c r="K157"/>
  <c r="L252"/>
  <c r="L260" s="1"/>
  <c r="L157"/>
  <c r="H252"/>
  <c r="H260" s="1"/>
  <c r="H157"/>
  <c r="H100"/>
  <c r="I100"/>
  <c r="E99"/>
  <c r="F99"/>
  <c r="G99"/>
  <c r="H99"/>
  <c r="I99"/>
  <c r="J99"/>
  <c r="K99"/>
  <c r="L99"/>
  <c r="M99"/>
  <c r="D99"/>
  <c r="E105"/>
  <c r="F105"/>
  <c r="G105"/>
  <c r="H105"/>
  <c r="I105"/>
  <c r="J105"/>
  <c r="K105"/>
  <c r="L105"/>
  <c r="M105"/>
  <c r="M177" s="1"/>
  <c r="D105"/>
  <c r="E85"/>
  <c r="E94" s="1"/>
  <c r="E96" s="1"/>
  <c r="F85"/>
  <c r="F94" s="1"/>
  <c r="F96" s="1"/>
  <c r="G85"/>
  <c r="G94" s="1"/>
  <c r="G96" s="1"/>
  <c r="H85"/>
  <c r="H94" s="1"/>
  <c r="H96" s="1"/>
  <c r="I85"/>
  <c r="I94" s="1"/>
  <c r="I96" s="1"/>
  <c r="J85"/>
  <c r="J94" s="1"/>
  <c r="J96" s="1"/>
  <c r="K85"/>
  <c r="K94" s="1"/>
  <c r="K96" s="1"/>
  <c r="L85"/>
  <c r="L94" s="1"/>
  <c r="L96" s="1"/>
  <c r="L97" s="1"/>
  <c r="M85"/>
  <c r="M94" s="1"/>
  <c r="M96" s="1"/>
  <c r="D85"/>
  <c r="D94" s="1"/>
  <c r="D96" s="1"/>
  <c r="E79"/>
  <c r="E34" s="1"/>
  <c r="F79"/>
  <c r="F34" s="1"/>
  <c r="G79"/>
  <c r="G34" s="1"/>
  <c r="H79"/>
  <c r="H34" s="1"/>
  <c r="I79"/>
  <c r="J79"/>
  <c r="K79"/>
  <c r="L79"/>
  <c r="M79"/>
  <c r="M34" s="1"/>
  <c r="D79"/>
  <c r="D112" l="1"/>
  <c r="D34"/>
  <c r="L112"/>
  <c r="L34"/>
  <c r="K112"/>
  <c r="K34"/>
  <c r="J112"/>
  <c r="J34"/>
  <c r="I112"/>
  <c r="I34"/>
  <c r="M307"/>
  <c r="S96"/>
  <c r="S99"/>
  <c r="F81"/>
  <c r="F112"/>
  <c r="G81"/>
  <c r="G112"/>
  <c r="H81"/>
  <c r="H112"/>
  <c r="R99"/>
  <c r="M112"/>
  <c r="E81"/>
  <c r="E112"/>
  <c r="M107"/>
  <c r="M198"/>
  <c r="E107"/>
  <c r="E198"/>
  <c r="D107"/>
  <c r="D198"/>
  <c r="F107"/>
  <c r="F198"/>
  <c r="K107"/>
  <c r="K198"/>
  <c r="G107"/>
  <c r="G198"/>
  <c r="I107"/>
  <c r="I198"/>
  <c r="J107"/>
  <c r="J198"/>
  <c r="L107"/>
  <c r="L198"/>
  <c r="H107"/>
  <c r="H198"/>
  <c r="D81"/>
  <c r="D82" s="1"/>
  <c r="M87"/>
  <c r="E87"/>
  <c r="F87"/>
  <c r="G87"/>
  <c r="J87"/>
  <c r="K87"/>
  <c r="L87"/>
  <c r="D87"/>
  <c r="M86"/>
  <c r="M100" s="1"/>
  <c r="E86"/>
  <c r="F86"/>
  <c r="G86"/>
  <c r="G100" s="1"/>
  <c r="J86"/>
  <c r="J100" s="1"/>
  <c r="K86"/>
  <c r="K100" s="1"/>
  <c r="L86"/>
  <c r="L100" s="1"/>
  <c r="D86"/>
  <c r="D100" s="1"/>
  <c r="S100" l="1"/>
  <c r="F100"/>
  <c r="E100"/>
  <c r="D88" i="2"/>
  <c r="E31"/>
  <c r="E32" s="1"/>
  <c r="E9"/>
  <c r="E29"/>
  <c r="F26" l="1"/>
  <c r="F27"/>
  <c r="F28"/>
  <c r="F25"/>
  <c r="F29" s="1"/>
  <c r="E13"/>
  <c r="F9"/>
  <c r="E88"/>
  <c r="E84"/>
  <c r="E85"/>
  <c r="E86"/>
  <c r="E87"/>
  <c r="E83"/>
  <c r="R100" i="1"/>
  <c r="E190"/>
  <c r="E326" s="1"/>
  <c r="E325" s="1"/>
  <c r="F190"/>
  <c r="F326" s="1"/>
  <c r="F325" s="1"/>
  <c r="G190"/>
  <c r="G326" s="1"/>
  <c r="G325" s="1"/>
  <c r="H190"/>
  <c r="H326" s="1"/>
  <c r="H325" s="1"/>
  <c r="I190"/>
  <c r="I326" s="1"/>
  <c r="I325" s="1"/>
  <c r="J190"/>
  <c r="J326" s="1"/>
  <c r="J325" s="1"/>
  <c r="K190"/>
  <c r="K326" s="1"/>
  <c r="K325" s="1"/>
  <c r="L190"/>
  <c r="L326" s="1"/>
  <c r="L325" s="1"/>
  <c r="S343" s="1"/>
  <c r="M325"/>
  <c r="D190"/>
  <c r="D326" s="1"/>
  <c r="D325" s="1"/>
  <c r="E82"/>
  <c r="F13" i="2" l="1"/>
  <c r="F11"/>
  <c r="F7"/>
  <c r="F8"/>
  <c r="F6"/>
  <c r="J194" i="1"/>
  <c r="J199" s="1"/>
  <c r="J203"/>
  <c r="F194"/>
  <c r="F199" s="1"/>
  <c r="F203"/>
  <c r="K194"/>
  <c r="K199" s="1"/>
  <c r="K203"/>
  <c r="G194"/>
  <c r="G199" s="1"/>
  <c r="G203"/>
  <c r="L194"/>
  <c r="L199" s="1"/>
  <c r="L203"/>
  <c r="H194"/>
  <c r="H199" s="1"/>
  <c r="H203"/>
  <c r="D194"/>
  <c r="D199" s="1"/>
  <c r="D203"/>
  <c r="M194"/>
  <c r="M199" s="1"/>
  <c r="M203"/>
  <c r="I194"/>
  <c r="I199" s="1"/>
  <c r="I203"/>
  <c r="E194"/>
  <c r="E199" s="1"/>
  <c r="E203"/>
  <c r="G82"/>
  <c r="F82"/>
  <c r="E253" l="1"/>
  <c r="E261" s="1"/>
  <c r="E312"/>
  <c r="E310" s="1"/>
  <c r="I253"/>
  <c r="I261" s="1"/>
  <c r="I312"/>
  <c r="I310" s="1"/>
  <c r="M253"/>
  <c r="M261" s="1"/>
  <c r="M312"/>
  <c r="M310" s="1"/>
  <c r="D253"/>
  <c r="D261" s="1"/>
  <c r="D312"/>
  <c r="D310" s="1"/>
  <c r="H253"/>
  <c r="H261" s="1"/>
  <c r="H312"/>
  <c r="H310" s="1"/>
  <c r="L253"/>
  <c r="L261" s="1"/>
  <c r="L312"/>
  <c r="G253"/>
  <c r="G261" s="1"/>
  <c r="G312"/>
  <c r="G310" s="1"/>
  <c r="K253"/>
  <c r="K261" s="1"/>
  <c r="K312"/>
  <c r="K310" s="1"/>
  <c r="F253"/>
  <c r="F261" s="1"/>
  <c r="F312"/>
  <c r="F310" s="1"/>
  <c r="J253"/>
  <c r="J261" s="1"/>
  <c r="J312"/>
  <c r="J310" s="1"/>
  <c r="R199"/>
  <c r="E37"/>
  <c r="F37"/>
  <c r="F38" s="1"/>
  <c r="G37"/>
  <c r="G38" s="1"/>
  <c r="H37"/>
  <c r="H38" s="1"/>
  <c r="I37"/>
  <c r="I38" s="1"/>
  <c r="J37"/>
  <c r="J38" s="1"/>
  <c r="K37"/>
  <c r="K38" s="1"/>
  <c r="L37"/>
  <c r="L38" s="1"/>
  <c r="M37"/>
  <c r="M38" s="1"/>
  <c r="D37"/>
  <c r="E36"/>
  <c r="F36"/>
  <c r="G36"/>
  <c r="H36"/>
  <c r="I36"/>
  <c r="J36"/>
  <c r="K36"/>
  <c r="L36"/>
  <c r="D36"/>
  <c r="H8"/>
  <c r="I8"/>
  <c r="J8"/>
  <c r="K8"/>
  <c r="L8"/>
  <c r="E52"/>
  <c r="F52"/>
  <c r="G52"/>
  <c r="H52"/>
  <c r="I52"/>
  <c r="J52"/>
  <c r="K52"/>
  <c r="L52"/>
  <c r="M52"/>
  <c r="T52" s="1"/>
  <c r="D52"/>
  <c r="M48"/>
  <c r="M42" l="1"/>
  <c r="M343"/>
  <c r="S347"/>
  <c r="L310"/>
  <c r="M81"/>
  <c r="M306"/>
  <c r="M53"/>
  <c r="M54"/>
  <c r="M56"/>
  <c r="E206"/>
  <c r="F206"/>
  <c r="G206"/>
  <c r="H206"/>
  <c r="I206"/>
  <c r="J206"/>
  <c r="K206"/>
  <c r="L206"/>
  <c r="M206"/>
  <c r="D206"/>
  <c r="M91" l="1"/>
  <c r="M314"/>
  <c r="M46"/>
  <c r="M57" s="1"/>
  <c r="M101"/>
  <c r="M102" l="1"/>
  <c r="M106" l="1"/>
  <c r="M213" s="1"/>
  <c r="M214" s="1"/>
  <c r="M166"/>
  <c r="M233" s="1"/>
  <c r="M162" l="1"/>
  <c r="M149"/>
  <c r="M153" l="1"/>
  <c r="M234"/>
  <c r="E357"/>
  <c r="F357"/>
  <c r="G357"/>
  <c r="H357"/>
  <c r="I357"/>
  <c r="J357"/>
  <c r="K357"/>
  <c r="L357"/>
  <c r="M357"/>
  <c r="D357" l="1"/>
  <c r="H358" s="1"/>
  <c r="E145" l="1"/>
  <c r="E320" s="1"/>
  <c r="E318" s="1"/>
  <c r="E297" s="1"/>
  <c r="F145"/>
  <c r="F320" s="1"/>
  <c r="F318" s="1"/>
  <c r="F297" s="1"/>
  <c r="G145"/>
  <c r="G320" s="1"/>
  <c r="G318" s="1"/>
  <c r="G297" s="1"/>
  <c r="H145"/>
  <c r="H320" s="1"/>
  <c r="H318" s="1"/>
  <c r="H297" s="1"/>
  <c r="I145"/>
  <c r="I320" s="1"/>
  <c r="I318" s="1"/>
  <c r="I297" s="1"/>
  <c r="J145"/>
  <c r="J320" s="1"/>
  <c r="J318" s="1"/>
  <c r="J297" s="1"/>
  <c r="K145"/>
  <c r="K320" s="1"/>
  <c r="K318" s="1"/>
  <c r="K297" s="1"/>
  <c r="L145"/>
  <c r="L320" s="1"/>
  <c r="L318" s="1"/>
  <c r="S342" l="1"/>
  <c r="S348" s="1"/>
  <c r="L297"/>
  <c r="K298"/>
  <c r="K345" s="1"/>
  <c r="J298"/>
  <c r="J345" s="1"/>
  <c r="I298"/>
  <c r="I345" s="1"/>
  <c r="H298"/>
  <c r="H345" s="1"/>
  <c r="G298"/>
  <c r="G345" s="1"/>
  <c r="F298"/>
  <c r="F345" s="1"/>
  <c r="E298"/>
  <c r="E345" s="1"/>
  <c r="F156"/>
  <c r="F251"/>
  <c r="F259" s="1"/>
  <c r="K156"/>
  <c r="K251"/>
  <c r="K259" s="1"/>
  <c r="I156"/>
  <c r="I251"/>
  <c r="I259" s="1"/>
  <c r="E156"/>
  <c r="E251"/>
  <c r="E259" s="1"/>
  <c r="J156"/>
  <c r="J251"/>
  <c r="J259" s="1"/>
  <c r="G156"/>
  <c r="G251"/>
  <c r="G259" s="1"/>
  <c r="L156"/>
  <c r="L251"/>
  <c r="L259" s="1"/>
  <c r="H156"/>
  <c r="H251"/>
  <c r="H259" s="1"/>
  <c r="M145"/>
  <c r="M238"/>
  <c r="M245" s="1"/>
  <c r="M320" l="1"/>
  <c r="M318" s="1"/>
  <c r="M148"/>
  <c r="M297"/>
  <c r="L298"/>
  <c r="L345" s="1"/>
  <c r="M156"/>
  <c r="M251"/>
  <c r="M259" s="1"/>
  <c r="M237"/>
  <c r="M244" s="1"/>
  <c r="M23"/>
  <c r="M298" l="1"/>
  <c r="M345" s="1"/>
  <c r="M152"/>
  <c r="M154" s="1"/>
  <c r="M150"/>
  <c r="M200"/>
  <c r="T19"/>
  <c r="Q149" l="1"/>
  <c r="M168"/>
  <c r="M232"/>
  <c r="M241" s="1"/>
  <c r="M33"/>
  <c r="M32"/>
  <c r="M15"/>
  <c r="M16"/>
  <c r="M20" s="1"/>
  <c r="M13"/>
  <c r="M226" l="1"/>
  <c r="M26" s="1"/>
  <c r="S162"/>
  <c r="M169"/>
  <c r="M108"/>
  <c r="M111" s="1"/>
  <c r="M82"/>
  <c r="Y63"/>
  <c r="Y64"/>
  <c r="Y65"/>
  <c r="Y66"/>
  <c r="Y67"/>
  <c r="Y68"/>
  <c r="Y62"/>
  <c r="M110" l="1"/>
  <c r="M27" s="1"/>
  <c r="M178"/>
  <c r="Z64"/>
  <c r="Z67"/>
  <c r="Z63"/>
  <c r="M236" l="1"/>
  <c r="M242" s="1"/>
  <c r="M179"/>
  <c r="M31" l="1"/>
  <c r="M36" l="1"/>
  <c r="M8"/>
  <c r="E306"/>
  <c r="F306"/>
  <c r="G306"/>
  <c r="H306"/>
  <c r="D300"/>
  <c r="D343" l="1"/>
  <c r="D306"/>
  <c r="E65" l="1"/>
  <c r="E66" s="1"/>
  <c r="F65"/>
  <c r="F66" s="1"/>
  <c r="G65"/>
  <c r="G66" s="1"/>
  <c r="H65"/>
  <c r="H66" s="1"/>
  <c r="I65"/>
  <c r="I66" s="1"/>
  <c r="J65"/>
  <c r="J66" s="1"/>
  <c r="K65"/>
  <c r="K66" s="1"/>
  <c r="L65"/>
  <c r="L66" s="1"/>
  <c r="D65"/>
  <c r="D66" s="1"/>
  <c r="P61"/>
  <c r="E13" l="1"/>
  <c r="F13"/>
  <c r="G13"/>
  <c r="H13"/>
  <c r="I13"/>
  <c r="J13"/>
  <c r="K13"/>
  <c r="L13"/>
  <c r="D13"/>
  <c r="H29"/>
  <c r="I29"/>
  <c r="J29"/>
  <c r="K29"/>
  <c r="L29"/>
  <c r="G29"/>
  <c r="T13" l="1"/>
  <c r="Q13"/>
  <c r="E149"/>
  <c r="E153" s="1"/>
  <c r="F149"/>
  <c r="F153" s="1"/>
  <c r="G149"/>
  <c r="G153" s="1"/>
  <c r="H149"/>
  <c r="H153" s="1"/>
  <c r="I149"/>
  <c r="I153" s="1"/>
  <c r="J149"/>
  <c r="J153" s="1"/>
  <c r="K149"/>
  <c r="K153" s="1"/>
  <c r="L149"/>
  <c r="L153" s="1"/>
  <c r="D149"/>
  <c r="D145"/>
  <c r="D320" s="1"/>
  <c r="D318" s="1"/>
  <c r="S65"/>
  <c r="R62" s="1"/>
  <c r="E166"/>
  <c r="E233" s="1"/>
  <c r="F166"/>
  <c r="F233" s="1"/>
  <c r="G166"/>
  <c r="G233" s="1"/>
  <c r="H166"/>
  <c r="H233" s="1"/>
  <c r="I166"/>
  <c r="I233" s="1"/>
  <c r="J166"/>
  <c r="J233" s="1"/>
  <c r="K166"/>
  <c r="K233" s="1"/>
  <c r="L166"/>
  <c r="L233" s="1"/>
  <c r="D166"/>
  <c r="D233" s="1"/>
  <c r="L162"/>
  <c r="L234" s="1"/>
  <c r="E162"/>
  <c r="E234" s="1"/>
  <c r="F162"/>
  <c r="F234" s="1"/>
  <c r="G162"/>
  <c r="G234" s="1"/>
  <c r="H162"/>
  <c r="H234" s="1"/>
  <c r="I162"/>
  <c r="I234" s="1"/>
  <c r="J162"/>
  <c r="J234" s="1"/>
  <c r="K162"/>
  <c r="K234" s="1"/>
  <c r="D162"/>
  <c r="D234" s="1"/>
  <c r="D297" l="1"/>
  <c r="D153"/>
  <c r="R149"/>
  <c r="D156"/>
  <c r="D251"/>
  <c r="D259" s="1"/>
  <c r="E148"/>
  <c r="J148"/>
  <c r="F148"/>
  <c r="D148"/>
  <c r="R148" s="1"/>
  <c r="I148"/>
  <c r="K148"/>
  <c r="G148"/>
  <c r="L148"/>
  <c r="H148"/>
  <c r="R63"/>
  <c r="R64"/>
  <c r="R61"/>
  <c r="E54"/>
  <c r="F54"/>
  <c r="G54"/>
  <c r="H54"/>
  <c r="D54"/>
  <c r="E53"/>
  <c r="F53"/>
  <c r="G53"/>
  <c r="H53"/>
  <c r="D53"/>
  <c r="D298" l="1"/>
  <c r="D345" s="1"/>
  <c r="R297"/>
  <c r="Q297"/>
  <c r="L152"/>
  <c r="L154" s="1"/>
  <c r="L150"/>
  <c r="I152"/>
  <c r="I154" s="1"/>
  <c r="I150"/>
  <c r="F152"/>
  <c r="F154" s="1"/>
  <c r="F150"/>
  <c r="H152"/>
  <c r="H154" s="1"/>
  <c r="H150"/>
  <c r="E152"/>
  <c r="E154" s="1"/>
  <c r="E150"/>
  <c r="K152"/>
  <c r="K154" s="1"/>
  <c r="K150"/>
  <c r="D152"/>
  <c r="D154" s="1"/>
  <c r="D150"/>
  <c r="R150" s="1"/>
  <c r="J152"/>
  <c r="J154" s="1"/>
  <c r="J150"/>
  <c r="G152"/>
  <c r="G154" s="1"/>
  <c r="G150"/>
  <c r="E15"/>
  <c r="F15"/>
  <c r="G15"/>
  <c r="H15"/>
  <c r="I15"/>
  <c r="J15"/>
  <c r="K15"/>
  <c r="L15"/>
  <c r="D15"/>
  <c r="D183"/>
  <c r="T31"/>
  <c r="Q299" l="1"/>
  <c r="R299"/>
  <c r="G168"/>
  <c r="G232"/>
  <c r="G241" s="1"/>
  <c r="D168"/>
  <c r="S168" s="1"/>
  <c r="D232"/>
  <c r="D241" s="1"/>
  <c r="E168"/>
  <c r="E232"/>
  <c r="E241" s="1"/>
  <c r="F168"/>
  <c r="F232"/>
  <c r="F241" s="1"/>
  <c r="L168"/>
  <c r="L232"/>
  <c r="L241" s="1"/>
  <c r="J168"/>
  <c r="J232"/>
  <c r="J241" s="1"/>
  <c r="K168"/>
  <c r="K232"/>
  <c r="K241" s="1"/>
  <c r="H168"/>
  <c r="T168" s="1"/>
  <c r="H232"/>
  <c r="H241" s="1"/>
  <c r="I168"/>
  <c r="I232"/>
  <c r="I241" s="1"/>
  <c r="C45" i="3"/>
  <c r="C29" l="1"/>
  <c r="C23" l="1"/>
  <c r="C20"/>
  <c r="C18"/>
  <c r="C17"/>
  <c r="C31" i="2"/>
  <c r="C43"/>
  <c r="C47" s="1"/>
  <c r="C73" s="1"/>
  <c r="C74"/>
  <c r="C64"/>
  <c r="C66" s="1"/>
  <c r="C75" s="1"/>
  <c r="C76" l="1"/>
  <c r="C32"/>
  <c r="D75" l="1"/>
  <c r="D74"/>
  <c r="D76"/>
  <c r="D73"/>
  <c r="C29"/>
  <c r="L285" i="1"/>
  <c r="K285"/>
  <c r="J285"/>
  <c r="I285"/>
  <c r="H285"/>
  <c r="G285"/>
  <c r="F285"/>
  <c r="D27" i="2" l="1"/>
  <c r="D26"/>
  <c r="D28"/>
  <c r="D29"/>
  <c r="D25"/>
  <c r="D43" s="1"/>
  <c r="G289" i="1"/>
  <c r="G292"/>
  <c r="G291"/>
  <c r="G290"/>
  <c r="G288"/>
  <c r="K289"/>
  <c r="K292"/>
  <c r="K291"/>
  <c r="K290"/>
  <c r="K288"/>
  <c r="L290"/>
  <c r="L288"/>
  <c r="L289"/>
  <c r="L292"/>
  <c r="L291"/>
  <c r="I291"/>
  <c r="I290"/>
  <c r="I288"/>
  <c r="I289"/>
  <c r="I292"/>
  <c r="H290"/>
  <c r="H288"/>
  <c r="H289"/>
  <c r="H292"/>
  <c r="H291"/>
  <c r="F292"/>
  <c r="F291"/>
  <c r="F288"/>
  <c r="F290"/>
  <c r="F289"/>
  <c r="J292"/>
  <c r="J291"/>
  <c r="J290"/>
  <c r="J288"/>
  <c r="J289"/>
  <c r="R39"/>
  <c r="X32"/>
  <c r="W32"/>
  <c r="E238"/>
  <c r="E245" s="1"/>
  <c r="F238"/>
  <c r="F245" s="1"/>
  <c r="G238"/>
  <c r="G245" s="1"/>
  <c r="H238"/>
  <c r="H245" s="1"/>
  <c r="I238"/>
  <c r="I245" s="1"/>
  <c r="J238"/>
  <c r="J245" s="1"/>
  <c r="K238"/>
  <c r="K245" s="1"/>
  <c r="L238"/>
  <c r="L245" s="1"/>
  <c r="D238"/>
  <c r="D245" s="1"/>
  <c r="E209" l="1"/>
  <c r="F209"/>
  <c r="G209"/>
  <c r="H209"/>
  <c r="I209"/>
  <c r="J209"/>
  <c r="K209"/>
  <c r="L209"/>
  <c r="D209"/>
  <c r="L226" l="1"/>
  <c r="D226"/>
  <c r="I226"/>
  <c r="E226"/>
  <c r="H226"/>
  <c r="J226"/>
  <c r="F226"/>
  <c r="K226"/>
  <c r="G226"/>
  <c r="E237"/>
  <c r="E244" s="1"/>
  <c r="D237"/>
  <c r="D244" s="1"/>
  <c r="I237"/>
  <c r="I244" s="1"/>
  <c r="L237"/>
  <c r="L244" s="1"/>
  <c r="J237"/>
  <c r="J244" s="1"/>
  <c r="H237"/>
  <c r="H244" s="1"/>
  <c r="F237"/>
  <c r="F244" s="1"/>
  <c r="K237"/>
  <c r="K244" s="1"/>
  <c r="G237"/>
  <c r="G244" s="1"/>
  <c r="C9" i="2"/>
  <c r="C13" l="1"/>
  <c r="D13" s="1"/>
  <c r="D9"/>
  <c r="D8"/>
  <c r="D6"/>
  <c r="D11"/>
  <c r="D7"/>
  <c r="J56" i="1"/>
  <c r="K56"/>
  <c r="L56"/>
  <c r="D56"/>
  <c r="I56"/>
  <c r="J91" l="1"/>
  <c r="J314"/>
  <c r="I91"/>
  <c r="I314"/>
  <c r="K91"/>
  <c r="K314"/>
  <c r="L91"/>
  <c r="L314"/>
  <c r="D91"/>
  <c r="D314"/>
  <c r="L101"/>
  <c r="L102" s="1"/>
  <c r="D101"/>
  <c r="I101"/>
  <c r="I102" s="1"/>
  <c r="J101"/>
  <c r="J102" s="1"/>
  <c r="K101"/>
  <c r="K102" s="1"/>
  <c r="D46"/>
  <c r="D57" s="1"/>
  <c r="E56"/>
  <c r="H56"/>
  <c r="F56"/>
  <c r="G56"/>
  <c r="G91" l="1"/>
  <c r="G101" s="1"/>
  <c r="G102" s="1"/>
  <c r="G314"/>
  <c r="E91"/>
  <c r="E314"/>
  <c r="H91"/>
  <c r="H314"/>
  <c r="F91"/>
  <c r="F314"/>
  <c r="D102"/>
  <c r="S101"/>
  <c r="L106"/>
  <c r="L108" s="1"/>
  <c r="L111" s="1"/>
  <c r="I106"/>
  <c r="I213" s="1"/>
  <c r="I214" s="1"/>
  <c r="K106"/>
  <c r="K213" s="1"/>
  <c r="K214" s="1"/>
  <c r="J106"/>
  <c r="J213" s="1"/>
  <c r="J214" s="1"/>
  <c r="E101"/>
  <c r="E102" s="1"/>
  <c r="H101"/>
  <c r="H102" s="1"/>
  <c r="F101"/>
  <c r="F102" s="1"/>
  <c r="G46"/>
  <c r="G57" s="1"/>
  <c r="F46"/>
  <c r="F57" s="1"/>
  <c r="E46"/>
  <c r="E57" s="1"/>
  <c r="H46"/>
  <c r="H57" s="1"/>
  <c r="E307"/>
  <c r="F307"/>
  <c r="G307"/>
  <c r="D177"/>
  <c r="D178" s="1"/>
  <c r="D236" s="1"/>
  <c r="D242" s="1"/>
  <c r="D106" l="1"/>
  <c r="R102"/>
  <c r="S102"/>
  <c r="R101"/>
  <c r="I108"/>
  <c r="I111" s="1"/>
  <c r="L213"/>
  <c r="L214" s="1"/>
  <c r="K108"/>
  <c r="J108"/>
  <c r="E106"/>
  <c r="E108" s="1"/>
  <c r="E111" s="1"/>
  <c r="G106"/>
  <c r="G108" s="1"/>
  <c r="H106"/>
  <c r="H108" s="1"/>
  <c r="F106"/>
  <c r="F213" s="1"/>
  <c r="F214" s="1"/>
  <c r="H307"/>
  <c r="H82"/>
  <c r="J307"/>
  <c r="L307"/>
  <c r="D307"/>
  <c r="I307"/>
  <c r="K307"/>
  <c r="L110"/>
  <c r="L25" s="1"/>
  <c r="L169" s="1"/>
  <c r="L177"/>
  <c r="J177"/>
  <c r="F177"/>
  <c r="K177"/>
  <c r="G177"/>
  <c r="H177"/>
  <c r="I177"/>
  <c r="E177"/>
  <c r="F16"/>
  <c r="F20" s="1"/>
  <c r="E16"/>
  <c r="E20" s="1"/>
  <c r="D16"/>
  <c r="D20" s="1"/>
  <c r="I110" l="1"/>
  <c r="I25" s="1"/>
  <c r="I169" s="1"/>
  <c r="D213"/>
  <c r="D214" s="1"/>
  <c r="D108"/>
  <c r="D111" s="1"/>
  <c r="G110"/>
  <c r="G25" s="1"/>
  <c r="G169" s="1"/>
  <c r="G111"/>
  <c r="H110"/>
  <c r="H25" s="1"/>
  <c r="H169" s="1"/>
  <c r="H111"/>
  <c r="K110"/>
  <c r="K25" s="1"/>
  <c r="K169" s="1"/>
  <c r="K111"/>
  <c r="J110"/>
  <c r="J25" s="1"/>
  <c r="J169" s="1"/>
  <c r="J111"/>
  <c r="E213"/>
  <c r="E214" s="1"/>
  <c r="F108"/>
  <c r="H213"/>
  <c r="H214" s="1"/>
  <c r="G213"/>
  <c r="G214" s="1"/>
  <c r="K178"/>
  <c r="K236" s="1"/>
  <c r="K242" s="1"/>
  <c r="E178"/>
  <c r="E236" s="1"/>
  <c r="E242" s="1"/>
  <c r="H178"/>
  <c r="H236" s="1"/>
  <c r="H242" s="1"/>
  <c r="J178"/>
  <c r="J236" s="1"/>
  <c r="J242" s="1"/>
  <c r="I178"/>
  <c r="G178"/>
  <c r="G236" s="1"/>
  <c r="G242" s="1"/>
  <c r="F178"/>
  <c r="F236" s="1"/>
  <c r="F242" s="1"/>
  <c r="L178"/>
  <c r="L236" s="1"/>
  <c r="L242" s="1"/>
  <c r="G23"/>
  <c r="L23"/>
  <c r="D110"/>
  <c r="E110"/>
  <c r="E25" s="1"/>
  <c r="E169" s="1"/>
  <c r="L200"/>
  <c r="L27"/>
  <c r="L26"/>
  <c r="I27"/>
  <c r="H16"/>
  <c r="H20" s="1"/>
  <c r="G16"/>
  <c r="G20" s="1"/>
  <c r="H31"/>
  <c r="H32"/>
  <c r="H33"/>
  <c r="R214" l="1"/>
  <c r="J27"/>
  <c r="H26"/>
  <c r="H200"/>
  <c r="J26"/>
  <c r="K27"/>
  <c r="G26"/>
  <c r="G27"/>
  <c r="G200"/>
  <c r="K200"/>
  <c r="K23"/>
  <c r="K26"/>
  <c r="H27"/>
  <c r="J200"/>
  <c r="J23"/>
  <c r="I26"/>
  <c r="I23"/>
  <c r="I200"/>
  <c r="I179"/>
  <c r="H23"/>
  <c r="F110"/>
  <c r="F25" s="1"/>
  <c r="F179" s="1"/>
  <c r="F111"/>
  <c r="D25"/>
  <c r="D169" s="1"/>
  <c r="I236"/>
  <c r="I242" s="1"/>
  <c r="Q178"/>
  <c r="R178"/>
  <c r="K179"/>
  <c r="L179"/>
  <c r="H179"/>
  <c r="G179"/>
  <c r="J179"/>
  <c r="E23"/>
  <c r="E179"/>
  <c r="E26"/>
  <c r="E200"/>
  <c r="E27"/>
  <c r="G31"/>
  <c r="G32"/>
  <c r="G33"/>
  <c r="F23" l="1"/>
  <c r="D23"/>
  <c r="F169"/>
  <c r="D27"/>
  <c r="D179"/>
  <c r="F26"/>
  <c r="F200"/>
  <c r="S25"/>
  <c r="D200"/>
  <c r="D26"/>
  <c r="F27"/>
  <c r="F33"/>
  <c r="E33"/>
  <c r="D33"/>
  <c r="F32"/>
  <c r="E32"/>
  <c r="D32"/>
  <c r="F31"/>
  <c r="E31"/>
  <c r="D31"/>
  <c r="T23" l="1"/>
  <c r="Q23"/>
  <c r="P37"/>
  <c r="J31"/>
  <c r="K31"/>
  <c r="L31"/>
  <c r="I31"/>
  <c r="J33"/>
  <c r="K33"/>
  <c r="L33"/>
  <c r="I33"/>
  <c r="J32"/>
  <c r="K32"/>
  <c r="L32"/>
  <c r="I32"/>
  <c r="J48" l="1"/>
  <c r="K48"/>
  <c r="L48"/>
  <c r="I48"/>
  <c r="I81" l="1"/>
  <c r="I82" s="1"/>
  <c r="I42"/>
  <c r="I343"/>
  <c r="L81"/>
  <c r="L82" s="1"/>
  <c r="L42"/>
  <c r="L343"/>
  <c r="K81"/>
  <c r="K82" s="1"/>
  <c r="K42"/>
  <c r="K343"/>
  <c r="J81"/>
  <c r="J82" s="1"/>
  <c r="J42"/>
  <c r="J343"/>
  <c r="I54"/>
  <c r="I306"/>
  <c r="L54"/>
  <c r="L306"/>
  <c r="K54"/>
  <c r="K306"/>
  <c r="J54"/>
  <c r="J306"/>
  <c r="K46"/>
  <c r="K57" s="1"/>
  <c r="K53"/>
  <c r="L46"/>
  <c r="L57" s="1"/>
  <c r="L53"/>
  <c r="J46"/>
  <c r="J57" s="1"/>
  <c r="J53"/>
  <c r="I46"/>
  <c r="I57" s="1"/>
  <c r="I53"/>
  <c r="J16"/>
  <c r="J20" s="1"/>
  <c r="K16"/>
  <c r="K20" s="1"/>
  <c r="L16"/>
  <c r="L20" s="1"/>
  <c r="I16"/>
  <c r="I20" s="1"/>
  <c r="S24"/>
  <c r="Q24"/>
  <c r="S26"/>
  <c r="Q26"/>
  <c r="S23"/>
  <c r="H235" l="1"/>
  <c r="E235"/>
  <c r="M235"/>
  <c r="I235"/>
  <c r="G235"/>
  <c r="J235" l="1"/>
  <c r="J243" s="1"/>
  <c r="J246" s="1"/>
  <c r="K235"/>
  <c r="K239" s="1"/>
  <c r="K215" s="1"/>
  <c r="E239"/>
  <c r="E215" s="1"/>
  <c r="E243"/>
  <c r="E246" s="1"/>
  <c r="H243"/>
  <c r="H246" s="1"/>
  <c r="H239"/>
  <c r="H215" s="1"/>
  <c r="I239"/>
  <c r="I215" s="1"/>
  <c r="I243"/>
  <c r="I246" s="1"/>
  <c r="G243"/>
  <c r="G246" s="1"/>
  <c r="G239"/>
  <c r="G215" s="1"/>
  <c r="M243"/>
  <c r="M246" s="1"/>
  <c r="M239"/>
  <c r="D235"/>
  <c r="K243"/>
  <c r="K246" s="1"/>
  <c r="F235"/>
  <c r="L235"/>
  <c r="J239"/>
  <c r="J215" s="1"/>
  <c r="R162" l="1"/>
  <c r="M215"/>
  <c r="D89" i="2"/>
  <c r="E89" s="1"/>
  <c r="D117"/>
  <c r="E117" s="1"/>
  <c r="D102"/>
  <c r="E102" s="1"/>
  <c r="C147"/>
  <c r="D147" s="1"/>
  <c r="L239" i="1"/>
  <c r="L215" s="1"/>
  <c r="L243"/>
  <c r="L246" s="1"/>
  <c r="D239"/>
  <c r="D215" s="1"/>
  <c r="D243"/>
  <c r="D246" s="1"/>
  <c r="F239"/>
  <c r="F215" s="1"/>
  <c r="F243"/>
  <c r="F246" s="1"/>
</calcChain>
</file>

<file path=xl/comments1.xml><?xml version="1.0" encoding="utf-8"?>
<comments xmlns="http://schemas.openxmlformats.org/spreadsheetml/2006/main">
  <authors>
    <author>ACER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Covid year, PEC decreased. Don't assume it increase by 4.7%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data from TB-Elec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data are from SEYPEC PowerPoint presentation made in 2012 at the IAEA TC</t>
        </r>
      </text>
    </comment>
    <comment ref="N14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estimation Covid year</t>
        </r>
      </text>
    </comment>
    <comment ref="AE30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value of 50% for lub oil is as per IPCCC guidelines</t>
        </r>
      </text>
    </comment>
    <comment ref="AD30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Seypec Supply &amp; Sales Stats</t>
        </r>
      </text>
    </comment>
  </commentList>
</comments>
</file>

<file path=xl/sharedStrings.xml><?xml version="1.0" encoding="utf-8"?>
<sst xmlns="http://schemas.openxmlformats.org/spreadsheetml/2006/main" count="723" uniqueCount="438">
  <si>
    <t>ANALYSIS OF GROWTH FOR 2010-2021</t>
  </si>
  <si>
    <t>STATISTICS FOR ANALYSIS IN THE ENERGY REPORT</t>
  </si>
  <si>
    <t>MACRO DATA</t>
  </si>
  <si>
    <t>Growth for</t>
  </si>
  <si>
    <t xml:space="preserve">AAGR for </t>
  </si>
  <si>
    <t>Formula of AAGR</t>
  </si>
  <si>
    <t>Year</t>
  </si>
  <si>
    <t>Unit</t>
  </si>
  <si>
    <t>2017-2021</t>
  </si>
  <si>
    <t>2015-2018</t>
  </si>
  <si>
    <t>2010-2018</t>
  </si>
  <si>
    <t>a = (yn / y0)^(1/n)  -  1</t>
  </si>
  <si>
    <r>
      <t>Population</t>
    </r>
    <r>
      <rPr>
        <vertAlign val="superscript"/>
        <sz val="11"/>
        <color theme="1"/>
        <rFont val="Calibri"/>
        <family val="2"/>
        <scheme val="minor"/>
      </rPr>
      <t>1</t>
    </r>
  </si>
  <si>
    <t xml:space="preserve">GDP Deflator </t>
  </si>
  <si>
    <t>Base year 2006</t>
  </si>
  <si>
    <r>
      <t>Nominal GDP</t>
    </r>
    <r>
      <rPr>
        <vertAlign val="superscript"/>
        <sz val="11"/>
        <color theme="1"/>
        <rFont val="Calibri"/>
        <family val="2"/>
        <scheme val="minor"/>
      </rPr>
      <t xml:space="preserve"> (at current market price)</t>
    </r>
  </si>
  <si>
    <t>MSR</t>
  </si>
  <si>
    <t>Growth Index for Real GDP at const prices 2006</t>
  </si>
  <si>
    <t>Growth Index for Population</t>
  </si>
  <si>
    <t>Index</t>
  </si>
  <si>
    <t>PEC</t>
  </si>
  <si>
    <t>kTOE</t>
  </si>
  <si>
    <t>Primary Energy Consumption (PEC) or TPES</t>
  </si>
  <si>
    <t>TOE</t>
  </si>
  <si>
    <t>Share of Petroleum Fuel in PEC</t>
  </si>
  <si>
    <t>Share of Renewable Energy in PEC</t>
  </si>
  <si>
    <t>All RE incl solar water heaters and biomass</t>
  </si>
  <si>
    <t>Wind energy production</t>
  </si>
  <si>
    <t>GWh</t>
  </si>
  <si>
    <t>Solar PV production</t>
  </si>
  <si>
    <t>Energy Independence Rate (Share of RE)</t>
  </si>
  <si>
    <t>Growth Index for PEC</t>
  </si>
  <si>
    <t>FEC</t>
  </si>
  <si>
    <t>Year 2010</t>
  </si>
  <si>
    <t>Final Energy Consumption (FEC)</t>
  </si>
  <si>
    <t>No. of Houses</t>
  </si>
  <si>
    <t>Ventilated FEC</t>
  </si>
  <si>
    <t>Share of Petroleum Fuel in FEC</t>
  </si>
  <si>
    <t>No. of Households</t>
  </si>
  <si>
    <t>Share of Electricity in FEC</t>
  </si>
  <si>
    <t>Share of Renewable Energy in FEC</t>
  </si>
  <si>
    <t>%</t>
  </si>
  <si>
    <t>Source: Energy Indicators - Macro.xls  takes into account T&amp;D losses</t>
  </si>
  <si>
    <t>Projection for</t>
  </si>
  <si>
    <t>Per capita GDP</t>
  </si>
  <si>
    <t>Year 2017</t>
  </si>
  <si>
    <t>Year 2025</t>
  </si>
  <si>
    <t>Per capita PEC</t>
  </si>
  <si>
    <t>Population</t>
  </si>
  <si>
    <t>Per capita FEC</t>
  </si>
  <si>
    <t>Male</t>
  </si>
  <si>
    <t>Per capita Electricity Consumption</t>
  </si>
  <si>
    <t>kWh</t>
  </si>
  <si>
    <t>Female</t>
  </si>
  <si>
    <t>Energy Intensity of GDP</t>
  </si>
  <si>
    <t>TOE/MSR_2006</t>
  </si>
  <si>
    <t>Energy System Efficiency</t>
  </si>
  <si>
    <t>Ratio FEC/PEC</t>
  </si>
  <si>
    <t>Primary energy to produce 1 kToe Total Final energy</t>
  </si>
  <si>
    <t>kToe</t>
  </si>
  <si>
    <t>1. source: NBS Seychelles in Figures 2015, 2016, 2018</t>
  </si>
  <si>
    <t>2. Million Seychelles Rupee at constant 2006 market prices</t>
  </si>
  <si>
    <t>3. PEC and FEC values for 2012 are from the AFREC energy balance</t>
  </si>
  <si>
    <t>ELECTRICITY GENERATION</t>
  </si>
  <si>
    <t>Total Elec Generation (incl. auto-producers)</t>
  </si>
  <si>
    <t>PUC</t>
  </si>
  <si>
    <t>Growth Annual Average rate for Energy Generation.</t>
  </si>
  <si>
    <t>Electricity Generation by PUC</t>
  </si>
  <si>
    <t>HFO&amp;LFO</t>
  </si>
  <si>
    <t>SFC of Auto-producers</t>
  </si>
  <si>
    <t>Wind</t>
  </si>
  <si>
    <t>3.5 kWh/ litre of LFO</t>
  </si>
  <si>
    <t>Solar PV</t>
  </si>
  <si>
    <t>GWh / MT of LFO</t>
  </si>
  <si>
    <t>Elec from Renewable Energy</t>
  </si>
  <si>
    <t>HFO savings</t>
  </si>
  <si>
    <t>Share of Renewable Energy in elec generation mix</t>
  </si>
  <si>
    <t>Share of HFO&amp;LFO</t>
  </si>
  <si>
    <t>AUTO-PRODUCERS</t>
  </si>
  <si>
    <t>assumption for the Covid year</t>
  </si>
  <si>
    <t>Production of Auto-producers with LFO</t>
  </si>
  <si>
    <t>Share of Auto-producers in national total elec generation</t>
  </si>
  <si>
    <t>No. of Consumers</t>
  </si>
  <si>
    <t>NUMBER OF PUC CONSUMERS</t>
  </si>
  <si>
    <t>Share in Consumption</t>
  </si>
  <si>
    <t>Residential</t>
  </si>
  <si>
    <t>Commercial &amp; Industrial</t>
  </si>
  <si>
    <t>Street</t>
  </si>
  <si>
    <t>Government</t>
  </si>
  <si>
    <t>Gov</t>
  </si>
  <si>
    <t>Street lighting</t>
  </si>
  <si>
    <t>Com High</t>
  </si>
  <si>
    <t>Total</t>
  </si>
  <si>
    <t>Share of Residential</t>
  </si>
  <si>
    <t>C1 &amp; C3</t>
  </si>
  <si>
    <t>Prepaid</t>
  </si>
  <si>
    <t>Domestic</t>
  </si>
  <si>
    <t>ELECTRICITY CONSUMPTION</t>
  </si>
  <si>
    <t>(incl. EOI, IOT, BBC)</t>
  </si>
  <si>
    <t xml:space="preserve">Industry &amp; Commerce </t>
  </si>
  <si>
    <t>Government (incl. PUC)</t>
  </si>
  <si>
    <t>Street Lights</t>
  </si>
  <si>
    <t>BBC</t>
  </si>
  <si>
    <t>EOI</t>
  </si>
  <si>
    <t>as from 2012, a new tariff was introduced, EOI and IOT and NPO were included in the Industry &amp; Commerce</t>
  </si>
  <si>
    <t>IOT</t>
  </si>
  <si>
    <t>NPO</t>
  </si>
  <si>
    <t>Total for PUC Consumers</t>
  </si>
  <si>
    <t>PUC Stations' consumption</t>
  </si>
  <si>
    <t>Losses (technical &amp; non-technical)</t>
  </si>
  <si>
    <t>Tot elec gen - tot sales - stations cons</t>
  </si>
  <si>
    <t>Losses (in % of tot gen)</t>
  </si>
  <si>
    <t>Breaking down the Industry &amp; Commerce (Re. Ecowatt study)</t>
  </si>
  <si>
    <t>Manufacturing &amp; Construction (27%)</t>
  </si>
  <si>
    <t>Assumption of 27%</t>
  </si>
  <si>
    <t>may need to be revised</t>
  </si>
  <si>
    <t>Tourism (38%)</t>
  </si>
  <si>
    <t>Assumption of 38%</t>
  </si>
  <si>
    <t>Services (35%)</t>
  </si>
  <si>
    <t>Assumption of 35%</t>
  </si>
  <si>
    <t>Breakdown of the consumption of Auto-producers</t>
  </si>
  <si>
    <t>Auto-producers in Industry (IOT)</t>
  </si>
  <si>
    <t>Auto-producers in Commerce (Commerce,..)</t>
  </si>
  <si>
    <t xml:space="preserve">Definition the Industrial Sector </t>
  </si>
  <si>
    <t>Manufacturing &amp; Construction</t>
  </si>
  <si>
    <t>Sub-total</t>
  </si>
  <si>
    <t>GWh for IOT in 2018</t>
  </si>
  <si>
    <t xml:space="preserve">Definition the Service Sector </t>
  </si>
  <si>
    <t>average</t>
  </si>
  <si>
    <t>growth</t>
  </si>
  <si>
    <t>Public services (Gov&amp;PUC+Street Lights)</t>
  </si>
  <si>
    <t>Private services (Tourism + services+BBC+NPO)</t>
  </si>
  <si>
    <t>Comprehensive sectors including Auto-producers</t>
  </si>
  <si>
    <t>RESIDENTIAL</t>
  </si>
  <si>
    <t>SERVICE</t>
  </si>
  <si>
    <t>INDUSTRIAL</t>
  </si>
  <si>
    <t>Total (incl auto-producers)</t>
  </si>
  <si>
    <t>TOTAL FOR ELECTRICITY FOR ALL SECTORS incl Auto</t>
  </si>
  <si>
    <t>Per Capita Electricity Consumption (inc. auto-producers)</t>
  </si>
  <si>
    <t>Per Capita Electricity Consumption (excl. auto-producers)</t>
  </si>
  <si>
    <t>FUEL CONSUMPTION</t>
  </si>
  <si>
    <t>TOTAL DOMESTIC DEMAND</t>
  </si>
  <si>
    <t>Total Domestic Demand for FUEL OIL</t>
  </si>
  <si>
    <t>MT</t>
  </si>
  <si>
    <t>Total Domestic Demand for GASOIL</t>
  </si>
  <si>
    <t>Total Domestic Demand for GASOLINE</t>
  </si>
  <si>
    <t>corrected (incl intl sales for 2016 only!)</t>
  </si>
  <si>
    <t>Total Domestic Demand for LPG</t>
  </si>
  <si>
    <t>Total Domestic Demand for JET A-1</t>
  </si>
  <si>
    <t>Total Domestic Demand for Kerosene</t>
  </si>
  <si>
    <t>Total Domestic Demand for AVGAS</t>
  </si>
  <si>
    <t>AAGR</t>
  </si>
  <si>
    <t>Per Capita Fuel consumption</t>
  </si>
  <si>
    <t>Per Capita LPG consumption</t>
  </si>
  <si>
    <t>kg</t>
  </si>
  <si>
    <t>TOTAL RETAIL SALES</t>
  </si>
  <si>
    <t>GASOIL</t>
  </si>
  <si>
    <t>Total Retail Sales for GASOIL</t>
  </si>
  <si>
    <t>FUEL OIL</t>
  </si>
  <si>
    <t>Total Retail Sales for GASOLINE</t>
  </si>
  <si>
    <t>GASOLINE</t>
  </si>
  <si>
    <t>Total Retail Sales for LPG</t>
  </si>
  <si>
    <t>JET A-1</t>
  </si>
  <si>
    <t>Total Retail Sales for Kerosene</t>
  </si>
  <si>
    <t>LPG</t>
  </si>
  <si>
    <t>FUEL FOR ELECTRICITY GENERATION</t>
  </si>
  <si>
    <t>KEROSENE</t>
  </si>
  <si>
    <t>Fuel Oil (HFO) for PUC</t>
  </si>
  <si>
    <t>AVGAS</t>
  </si>
  <si>
    <t>Gasoil (LFO) for PUC</t>
  </si>
  <si>
    <t>Lub. Oil</t>
  </si>
  <si>
    <t>Gasoil (LFO) for Auto-producers</t>
  </si>
  <si>
    <t>Source: TB-Gasoil</t>
  </si>
  <si>
    <t>ROAD TRANSPORT</t>
  </si>
  <si>
    <t>Gasoil SPTC buses</t>
  </si>
  <si>
    <t>extrapolation/estimation from 2014 to 2018</t>
  </si>
  <si>
    <t>Gasoil used by road vehicles</t>
  </si>
  <si>
    <t>95% Retail Sales of Gasoil (asumed to be used by Road Transports)</t>
  </si>
  <si>
    <t>Total Gasoil used in Road Transp</t>
  </si>
  <si>
    <t>Gasoline used by road vehicles</t>
  </si>
  <si>
    <t>Gasoil</t>
  </si>
  <si>
    <t>Gasoline</t>
  </si>
  <si>
    <t>Sub-total for Road Transports</t>
  </si>
  <si>
    <t>million L</t>
  </si>
  <si>
    <t>AIR TRANSPORT</t>
  </si>
  <si>
    <t>Domestic Air Jet A-1</t>
  </si>
  <si>
    <t>MARINE TRANSPORT</t>
  </si>
  <si>
    <t>Passenger &amp; Freight Gasoil</t>
  </si>
  <si>
    <t>TRANSPORTS (ROAD, AIR, MARINE)</t>
  </si>
  <si>
    <t>Share of the Transports sector in the FEC</t>
  </si>
  <si>
    <t>LPG for cooking</t>
  </si>
  <si>
    <t>Kerosene for cooking</t>
  </si>
  <si>
    <t>derived from a simple model in the Energ Balance for 2019</t>
  </si>
  <si>
    <t>Solar Thermal for water heating</t>
  </si>
  <si>
    <t>derived from a simple model in the Energ Balance for 2020</t>
  </si>
  <si>
    <t>Charcoal &amp; woodfuel for cooking</t>
  </si>
  <si>
    <t>derived from a simple model in the Energ Balance for 2021</t>
  </si>
  <si>
    <t>Electricity</t>
  </si>
  <si>
    <t>FEC for Residential sector</t>
  </si>
  <si>
    <t>Share of the Residential sector in the FEC</t>
  </si>
  <si>
    <t>No. Households</t>
  </si>
  <si>
    <t>No. Houses</t>
  </si>
  <si>
    <t>Average size of household</t>
  </si>
  <si>
    <t>persons</t>
  </si>
  <si>
    <t>No. Domestic Consumers in PUC</t>
  </si>
  <si>
    <t>data for 2019 was estimated or extrapolated</t>
  </si>
  <si>
    <t>Average electricity consumption per consumer</t>
  </si>
  <si>
    <t>kWh/yr</t>
  </si>
  <si>
    <t>kWh/mth</t>
  </si>
  <si>
    <t>INDUSTRY</t>
  </si>
  <si>
    <t>It is assumed that Industry consumes 5% of total sales (Ref meeting with Seypec in 2014..)</t>
  </si>
  <si>
    <t>Fuel Oil (HFO) for steam boilers</t>
  </si>
  <si>
    <t xml:space="preserve">Gasoil used by equipment </t>
  </si>
  <si>
    <t>There should not be any steam boiler using gasoil except for starting only, HFO is the fuel for boilers</t>
  </si>
  <si>
    <t>FEC for Industrial sector</t>
  </si>
  <si>
    <t>Share of the Industrial sector in FEC</t>
  </si>
  <si>
    <t>provide an assumption or a formula used for estimation</t>
  </si>
  <si>
    <t>Gasoil used by vehicles in public services</t>
  </si>
  <si>
    <t>Kerosene</t>
  </si>
  <si>
    <t>Solar Thermal</t>
  </si>
  <si>
    <t>NA</t>
  </si>
  <si>
    <t>has not been estimated but deemed negligible</t>
  </si>
  <si>
    <t>Cooking Charcoal &amp; woodfuel</t>
  </si>
  <si>
    <t>FEC for Service sector</t>
  </si>
  <si>
    <t>Share of the Service sector in FEC</t>
  </si>
  <si>
    <t>Agriculture &amp; Fishing</t>
  </si>
  <si>
    <t>Kerosene for Heating in Agro</t>
  </si>
  <si>
    <t>HFO for heating in Agro</t>
  </si>
  <si>
    <t>Gasoil for Fishing boat Diesel (5% of sales from Service stations)</t>
  </si>
  <si>
    <t>Gasoil sold by SFA for Fishing boats</t>
  </si>
  <si>
    <t>TB-Gasoil &amp; Seypec for 2018-2019</t>
  </si>
  <si>
    <t>TOTAL FOR ALL FINAL FUEL CONSUMPTION IN ALL SECTORS</t>
  </si>
  <si>
    <t>FINAL ENERGY CONSUMPTION BY SECTOR</t>
  </si>
  <si>
    <t>Sector</t>
  </si>
  <si>
    <t xml:space="preserve">ROAD TRANSPORTS </t>
  </si>
  <si>
    <t>MARINE TRANSPORTS</t>
  </si>
  <si>
    <t>AIR TRANSPORTS</t>
  </si>
  <si>
    <t>AGRICULTURE &amp; FISHING</t>
  </si>
  <si>
    <t>TOTAL VENTILATED FEC</t>
  </si>
  <si>
    <t>TRANSPORTS</t>
  </si>
  <si>
    <t>VENTILATED CONSUMPTION OF FUEL</t>
  </si>
  <si>
    <t>FUELOIL</t>
  </si>
  <si>
    <t>CHECK &amp; BALANCE FOR FUEL (Statistical Difference)</t>
  </si>
  <si>
    <t>ok</t>
  </si>
  <si>
    <t xml:space="preserve">Breakdown of consumption &amp; </t>
  </si>
  <si>
    <t>Units</t>
  </si>
  <si>
    <t>customer data</t>
  </si>
  <si>
    <t>Gwh</t>
  </si>
  <si>
    <t>Electricty sales by customer category</t>
  </si>
  <si>
    <t>Commercial/Industrial</t>
  </si>
  <si>
    <t>Public Lighting</t>
  </si>
  <si>
    <t>Total Consumption</t>
  </si>
  <si>
    <t>Share of each sector in total Electricty sales</t>
  </si>
  <si>
    <r>
      <t>CO</t>
    </r>
    <r>
      <rPr>
        <b/>
        <u/>
        <vertAlign val="subscript"/>
        <sz val="20"/>
        <color theme="1"/>
        <rFont val="Calibri"/>
        <family val="2"/>
        <scheme val="minor"/>
      </rPr>
      <t>2</t>
    </r>
    <r>
      <rPr>
        <b/>
        <u/>
        <sz val="20"/>
        <color theme="1"/>
        <rFont val="Calibri"/>
        <family val="2"/>
        <scheme val="minor"/>
      </rPr>
      <t xml:space="preserve"> EMISSION </t>
    </r>
  </si>
  <si>
    <t>IPCCC Method for estimating CO2 emissions from combustion</t>
  </si>
  <si>
    <t>Gg</t>
  </si>
  <si>
    <t>ELECTRICITY GENERATION - CO2 EMISSION</t>
  </si>
  <si>
    <t>HFO</t>
  </si>
  <si>
    <t>Jet A-1</t>
  </si>
  <si>
    <t>CO2 Emissions from Electricity Generation (PUC)</t>
  </si>
  <si>
    <t>Fraction of carbon stored (FCS)</t>
  </si>
  <si>
    <t>-</t>
  </si>
  <si>
    <t>Fraction of carbon oxidised (FCO)</t>
  </si>
  <si>
    <t>LFO</t>
  </si>
  <si>
    <t>Carbon emission Factor (CEF)</t>
  </si>
  <si>
    <t>t C/TJ</t>
  </si>
  <si>
    <t>Lubricants</t>
  </si>
  <si>
    <t>Net Calorific Value (NCV)</t>
  </si>
  <si>
    <t>TJ/1000 t</t>
  </si>
  <si>
    <t>Carbon dioxide emission factor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</si>
  <si>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/TJ</t>
    </r>
  </si>
  <si>
    <t>Volumetric weight of fuel</t>
  </si>
  <si>
    <t>kg/l</t>
  </si>
  <si>
    <t xml:space="preserve">Carbon Intensity of elec generation </t>
  </si>
  <si>
    <t>g CO2/kWh</t>
  </si>
  <si>
    <t>CO2 emission per ton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</si>
  <si>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</t>
    </r>
  </si>
  <si>
    <t>Carbon Intensity of elec consumption</t>
  </si>
  <si>
    <t>CO2 emission per litre</t>
  </si>
  <si>
    <r>
      <t>kg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/L</t>
    </r>
  </si>
  <si>
    <t>Energy content of 1 litre of fuel</t>
  </si>
  <si>
    <t>TJ/L</t>
  </si>
  <si>
    <t>SERVICE SECTOR - CO2 EMISSION</t>
  </si>
  <si>
    <t xml:space="preserve">CO2 Emissions from Service </t>
  </si>
  <si>
    <t>Auto-producers of Electricity in hotels &amp; industries</t>
  </si>
  <si>
    <t>should not be accounted in national electricity generation but in the sectors where the auto-producers operate according to CRF (common reporting format)</t>
  </si>
  <si>
    <t>LPG - for cooking</t>
  </si>
  <si>
    <t>Road vehicles in hotels /government</t>
  </si>
  <si>
    <t>Carbon intensity of auto-producers</t>
  </si>
  <si>
    <t>Share of Auto-producers in CO2 emission from elec generation</t>
  </si>
  <si>
    <t>TRANSPORT SECTOR - CO2 EMISSION</t>
  </si>
  <si>
    <t>Road transport - Gasoline</t>
  </si>
  <si>
    <t>Road transport - Gasoil</t>
  </si>
  <si>
    <t>Maritime transport</t>
  </si>
  <si>
    <t>Air Transport</t>
  </si>
  <si>
    <t>INDUSTRIAL SECTOR-CO2 EMISSION</t>
  </si>
  <si>
    <t>Gasoil used by equipment (tractors, forklift, roadvehicles)</t>
  </si>
  <si>
    <t>LFO for elec generation (IOT)</t>
  </si>
  <si>
    <t>RESIDENTIAL COMBUSTION -CO2 EMISSION</t>
  </si>
  <si>
    <t>Residential - LPG for cooking</t>
  </si>
  <si>
    <t>Residential - Kerosene for cooking</t>
  </si>
  <si>
    <t>AGRICULTURE &amp; FISHING SECTOR</t>
  </si>
  <si>
    <t>Fishing boats - LFO</t>
  </si>
  <si>
    <t>Source Category</t>
  </si>
  <si>
    <t>Elec gen by PUC</t>
  </si>
  <si>
    <t>EMISSION INDICATORS</t>
  </si>
  <si>
    <t>Elec gen by Auto-producers</t>
  </si>
  <si>
    <t>Transport</t>
  </si>
  <si>
    <t>Industry</t>
  </si>
  <si>
    <t>Carbon Intensity of the Primary Energy Supply</t>
  </si>
  <si>
    <t>Artisanal Fishing</t>
  </si>
  <si>
    <t>Domestic Primary Consumption</t>
  </si>
  <si>
    <t>Service</t>
  </si>
  <si>
    <t>TOTAL</t>
  </si>
  <si>
    <t>Structure of Total Electricity Generation</t>
  </si>
  <si>
    <t>Fuel Oil &amp; Gasoil</t>
  </si>
  <si>
    <t xml:space="preserve"> Wind</t>
  </si>
  <si>
    <t xml:space="preserve"> Solar PV</t>
  </si>
  <si>
    <t>Total for PUC</t>
  </si>
  <si>
    <t>Auto-producers</t>
  </si>
  <si>
    <t>Total Elec Generation</t>
  </si>
  <si>
    <t>Structure of Electricity Consumption - PUC</t>
  </si>
  <si>
    <t>Electricity Consumption by Sector in 2018</t>
  </si>
  <si>
    <t>Unit:  GWh</t>
  </si>
  <si>
    <t>Year 2018</t>
  </si>
  <si>
    <t>Year 2019</t>
  </si>
  <si>
    <t>Industry &amp; Commerce</t>
  </si>
  <si>
    <t>Industry 27% of Ind&amp;Com</t>
  </si>
  <si>
    <t>Commerce</t>
  </si>
  <si>
    <t>Service sector</t>
  </si>
  <si>
    <t>Auto-producers in Com</t>
  </si>
  <si>
    <t>Industrial sector</t>
  </si>
  <si>
    <t>Auto-producers in Ind</t>
  </si>
  <si>
    <t>Complete Electricity Consumption by Sector in 2018</t>
  </si>
  <si>
    <t>Standard Sector</t>
  </si>
  <si>
    <t>Share</t>
  </si>
  <si>
    <t>Final Energy Consumption in the Residential Sector</t>
  </si>
  <si>
    <t>Solar Hot Water</t>
  </si>
  <si>
    <t>National FEC</t>
  </si>
  <si>
    <t>Final Energy Consumption in the Industrial Sector</t>
  </si>
  <si>
    <t>Fuel Oil</t>
  </si>
  <si>
    <t>Gasoil for construction equipment</t>
  </si>
  <si>
    <t>Final Energy Consumption in the Service Sector</t>
  </si>
  <si>
    <t xml:space="preserve">Gasoil </t>
  </si>
  <si>
    <t>Final Energy Consumption in the Road Transport Sector</t>
  </si>
  <si>
    <t>RATIO OF FUEL CONSUMPTION</t>
  </si>
  <si>
    <t>Final Energy Consumption in the Transport Sector</t>
  </si>
  <si>
    <t>ELECTRICITY</t>
  </si>
  <si>
    <t>Consumption of Gasoil by Auto-producers</t>
  </si>
  <si>
    <t>Electricity Production by Auto-producers</t>
  </si>
  <si>
    <t>Generator produced (MWh)</t>
  </si>
  <si>
    <t>PUC Purchased (MWh)</t>
  </si>
  <si>
    <t>Generator     (% of total)</t>
  </si>
  <si>
    <t>Month</t>
  </si>
  <si>
    <t>Total consumption (MWh)</t>
  </si>
  <si>
    <t>Gen</t>
  </si>
  <si>
    <t>Cons</t>
  </si>
  <si>
    <t>Tot 2018</t>
  </si>
  <si>
    <t>Tot2018</t>
  </si>
  <si>
    <t>AAGR (PEC) = 4%/yr</t>
  </si>
  <si>
    <t>AAGR (FEC) = 4%/yr</t>
  </si>
  <si>
    <t>Estimation of National Total Electricity Generation</t>
  </si>
  <si>
    <t>Electricity Consumption in 2018</t>
  </si>
  <si>
    <t>Electricity Production in 2018</t>
  </si>
  <si>
    <t>TRANSPORTS SECTOR</t>
  </si>
  <si>
    <t>FUEL CONSUMPTION IN THE ROAD TRANSPORT SECTOR</t>
  </si>
  <si>
    <t>FEC TRANSPORTS SECTOR</t>
  </si>
  <si>
    <t>Trend of Fuel Consumption in the Road Transports sector</t>
  </si>
  <si>
    <t>RESIDENTIAL SECTOR</t>
  </si>
  <si>
    <t>SERVICE SECTOR</t>
  </si>
  <si>
    <t>KEY ENERGY FIGURES FOR 2018</t>
  </si>
  <si>
    <t>Comment</t>
  </si>
  <si>
    <t>POPULATION</t>
  </si>
  <si>
    <t>Gross Domestic Product (GDP)</t>
  </si>
  <si>
    <t>Million SCR, constant rupee of 2006</t>
  </si>
  <si>
    <t>Share of petroleum fuel in PEC</t>
  </si>
  <si>
    <t>Share of Renewable Energy (RE) in PEC</t>
  </si>
  <si>
    <t>Energy Independence Rate</t>
  </si>
  <si>
    <t>Share of petroleum fuel in FEC</t>
  </si>
  <si>
    <t>Share of electricity in FEC</t>
  </si>
  <si>
    <t>Per Capita PEC</t>
  </si>
  <si>
    <t>Per Capita FEC</t>
  </si>
  <si>
    <t>Energy Intensity of the GDP</t>
  </si>
  <si>
    <t>TOE/MSR</t>
  </si>
  <si>
    <t>It measures the primary energy necessary to produce 1 Million rupee of the GDP</t>
  </si>
  <si>
    <t>if it's low or decreasing over time, the country is energy-efficient</t>
  </si>
  <si>
    <t xml:space="preserve">It is the ratio FEC/PEC and indicates the efficiency of the energy sector </t>
  </si>
  <si>
    <t>in converting Primary energy to Final energy</t>
  </si>
  <si>
    <t>National Electricity Generation (PUC only)</t>
  </si>
  <si>
    <t>Share of RE in the Electricity Generation Mix</t>
  </si>
  <si>
    <t>The target set by the Energy Policy for 2020 was 5%</t>
  </si>
  <si>
    <t>National Electricity consumption (PUC consumers only)</t>
  </si>
  <si>
    <t>Electricity sold by PUC</t>
  </si>
  <si>
    <t>Per capita electricity consumption</t>
  </si>
  <si>
    <t>Total Number of electricity consumers (with PUC)</t>
  </si>
  <si>
    <t>Auto-producers of Electricity</t>
  </si>
  <si>
    <t>Fuel Consumption</t>
  </si>
  <si>
    <t>Estimate only based on ventilation of gasoil</t>
  </si>
  <si>
    <t>Electricity Generation</t>
  </si>
  <si>
    <t>based on 3.5 kWh / litre of gasoil</t>
  </si>
  <si>
    <t>Number of consumers</t>
  </si>
  <si>
    <t>Access to electricity</t>
  </si>
  <si>
    <t>Electricity consumption</t>
  </si>
  <si>
    <t>LPG consumption</t>
  </si>
  <si>
    <t>Kerosene consumption</t>
  </si>
  <si>
    <t>TRANSPORTS SECTOR (Road, Sea, and Air)</t>
  </si>
  <si>
    <t>Fuel consumption</t>
  </si>
  <si>
    <t>share of the transports sector in the FEC</t>
  </si>
  <si>
    <t>including auto-producers</t>
  </si>
  <si>
    <t>Share of the Service sector in the FEC</t>
  </si>
  <si>
    <t>INDUSTRIAL SECTOR</t>
  </si>
  <si>
    <t>mainly Fuel Oil for steam boilers at IOT and Seybrew, and LPG</t>
  </si>
  <si>
    <t>Share of the Industrial sector in the FEC</t>
  </si>
  <si>
    <t>ELECTRICITY 2019</t>
  </si>
  <si>
    <t>Fuel Oil &amp; Gasoil 437.8 GWh  97.8%</t>
  </si>
  <si>
    <t xml:space="preserve"> Wind                         5.7 GWh  1.27%</t>
  </si>
  <si>
    <t xml:space="preserve"> Solar PV                   4.03  GWh   0.9%</t>
  </si>
  <si>
    <t>Share of Renewable Energy in Electricity Generation in 2019</t>
  </si>
  <si>
    <t>Reunion</t>
  </si>
  <si>
    <t>Mauritius</t>
  </si>
  <si>
    <t>2017 figure</t>
  </si>
  <si>
    <t>Check IOC doc for more accurate figure</t>
  </si>
  <si>
    <t>Seychelles</t>
  </si>
  <si>
    <t>Power Stations</t>
  </si>
  <si>
    <r>
      <t>Real GDP</t>
    </r>
    <r>
      <rPr>
        <vertAlign val="superscript"/>
        <sz val="11"/>
        <color theme="1"/>
        <rFont val="Calibri"/>
        <family val="2"/>
        <scheme val="minor"/>
      </rPr>
      <t xml:space="preserve"> (at constant prices of 2014)</t>
    </r>
  </si>
  <si>
    <t>MSR_2014</t>
  </si>
  <si>
    <t>Source: SA 2021</t>
  </si>
  <si>
    <t>gov</t>
  </si>
  <si>
    <t>str lights</t>
  </si>
  <si>
    <t>bbc</t>
  </si>
  <si>
    <t>CO2 Emissions from Transport</t>
  </si>
  <si>
    <t>CO2 Emissions from Industry</t>
  </si>
  <si>
    <t>CO2 Emissions from Residential</t>
  </si>
  <si>
    <t>CO2 Emissions from Agriculture &amp; Fishing</t>
  </si>
  <si>
    <t>Farming - HFO</t>
  </si>
  <si>
    <r>
      <t>Total CO</t>
    </r>
    <r>
      <rPr>
        <b/>
        <u/>
        <vertAlign val="subscript"/>
        <sz val="11"/>
        <color theme="1"/>
        <rFont val="Calibri"/>
        <family val="2"/>
        <scheme val="minor"/>
      </rPr>
      <t>2</t>
    </r>
    <r>
      <rPr>
        <b/>
        <u/>
        <sz val="11"/>
        <color theme="1"/>
        <rFont val="Calibri"/>
        <family val="2"/>
        <scheme val="minor"/>
      </rPr>
      <t xml:space="preserve"> Emission from ALL sectors</t>
    </r>
  </si>
  <si>
    <r>
      <t>Carbon Intensity of PUC elec generation (MT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/GWh or 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/kWh)</t>
    </r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</si>
  <si>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/TOE</t>
    </r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</si>
</sst>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0.0"/>
    <numFmt numFmtId="170" formatCode="0.000%"/>
    <numFmt numFmtId="171" formatCode="_(* #,##0.0000_);_(* \(#,##0.0000\);_(* &quot;-&quot;??_);_(@_)"/>
    <numFmt numFmtId="172" formatCode="_-* #,##0_-;\-* #,##0_-;_-* &quot;-&quot;??_-;_-@_-"/>
  </numFmts>
  <fonts count="4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0"/>
      <color rgb="FF000000"/>
      <name val="Times New Roman"/>
      <family val="1"/>
    </font>
    <font>
      <b/>
      <u/>
      <vertAlign val="subscript"/>
      <sz val="20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2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2" fillId="0" borderId="0" xfId="0" applyFont="1"/>
    <xf numFmtId="168" fontId="0" fillId="0" borderId="0" xfId="2" applyNumberFormat="1" applyFont="1"/>
    <xf numFmtId="164" fontId="0" fillId="0" borderId="0" xfId="1" applyFont="1"/>
    <xf numFmtId="0" fontId="0" fillId="4" borderId="0" xfId="0" applyFill="1"/>
    <xf numFmtId="165" fontId="0" fillId="3" borderId="0" xfId="1" applyNumberFormat="1" applyFont="1" applyFill="1"/>
    <xf numFmtId="0" fontId="0" fillId="5" borderId="0" xfId="0" applyFill="1"/>
    <xf numFmtId="167" fontId="0" fillId="5" borderId="0" xfId="1" applyNumberFormat="1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6" fillId="0" borderId="0" xfId="0" applyFont="1"/>
    <xf numFmtId="0" fontId="0" fillId="2" borderId="1" xfId="0" applyFill="1" applyBorder="1"/>
    <xf numFmtId="0" fontId="0" fillId="2" borderId="2" xfId="0" applyFill="1" applyBorder="1"/>
    <xf numFmtId="0" fontId="5" fillId="3" borderId="0" xfId="0" applyFont="1" applyFill="1"/>
    <xf numFmtId="166" fontId="0" fillId="0" borderId="0" xfId="0" applyNumberFormat="1"/>
    <xf numFmtId="0" fontId="8" fillId="0" borderId="0" xfId="0" applyFont="1"/>
    <xf numFmtId="0" fontId="8" fillId="4" borderId="0" xfId="0" applyFont="1" applyFill="1"/>
    <xf numFmtId="0" fontId="0" fillId="0" borderId="0" xfId="0" quotePrefix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9" borderId="3" xfId="0" applyFill="1" applyBorder="1"/>
    <xf numFmtId="0" fontId="0" fillId="8" borderId="3" xfId="0" applyFill="1" applyBorder="1"/>
    <xf numFmtId="0" fontId="0" fillId="6" borderId="3" xfId="0" applyFill="1" applyBorder="1"/>
    <xf numFmtId="0" fontId="0" fillId="7" borderId="3" xfId="0" applyFill="1" applyBorder="1"/>
    <xf numFmtId="164" fontId="0" fillId="0" borderId="0" xfId="0" applyNumberFormat="1"/>
    <xf numFmtId="165" fontId="4" fillId="3" borderId="0" xfId="1" applyNumberFormat="1" applyFont="1" applyFill="1"/>
    <xf numFmtId="164" fontId="0" fillId="3" borderId="0" xfId="1" applyFont="1" applyFill="1"/>
    <xf numFmtId="168" fontId="0" fillId="4" borderId="0" xfId="2" applyNumberFormat="1" applyFont="1" applyFill="1"/>
    <xf numFmtId="164" fontId="0" fillId="4" borderId="0" xfId="1" applyFont="1" applyFill="1"/>
    <xf numFmtId="166" fontId="0" fillId="0" borderId="0" xfId="1" applyNumberFormat="1" applyFont="1"/>
    <xf numFmtId="0" fontId="0" fillId="12" borderId="0" xfId="0" applyFill="1"/>
    <xf numFmtId="0" fontId="2" fillId="12" borderId="0" xfId="0" applyFont="1" applyFill="1"/>
    <xf numFmtId="166" fontId="0" fillId="12" borderId="0" xfId="1" applyNumberFormat="1" applyFont="1" applyFill="1" applyBorder="1"/>
    <xf numFmtId="164" fontId="0" fillId="3" borderId="0" xfId="0" applyNumberFormat="1" applyFill="1"/>
    <xf numFmtId="166" fontId="0" fillId="9" borderId="0" xfId="1" applyNumberFormat="1" applyFont="1" applyFill="1"/>
    <xf numFmtId="166" fontId="0" fillId="8" borderId="0" xfId="1" applyNumberFormat="1" applyFont="1" applyFill="1"/>
    <xf numFmtId="166" fontId="0" fillId="6" borderId="0" xfId="1" applyNumberFormat="1" applyFont="1" applyFill="1"/>
    <xf numFmtId="166" fontId="0" fillId="8" borderId="0" xfId="0" applyNumberFormat="1" applyFill="1"/>
    <xf numFmtId="166" fontId="0" fillId="9" borderId="3" xfId="1" applyNumberFormat="1" applyFont="1" applyFill="1" applyBorder="1"/>
    <xf numFmtId="166" fontId="2" fillId="9" borderId="0" xfId="0" applyNumberFormat="1" applyFont="1" applyFill="1"/>
    <xf numFmtId="166" fontId="0" fillId="8" borderId="3" xfId="0" applyNumberFormat="1" applyFill="1" applyBorder="1"/>
    <xf numFmtId="166" fontId="2" fillId="8" borderId="0" xfId="0" applyNumberFormat="1" applyFont="1" applyFill="1"/>
    <xf numFmtId="0" fontId="0" fillId="8" borderId="0" xfId="0" applyFill="1" applyAlignment="1">
      <alignment horizontal="right"/>
    </xf>
    <xf numFmtId="166" fontId="0" fillId="6" borderId="3" xfId="0" applyNumberFormat="1" applyFill="1" applyBorder="1"/>
    <xf numFmtId="166" fontId="2" fillId="6" borderId="0" xfId="0" applyNumberFormat="1" applyFont="1" applyFill="1"/>
    <xf numFmtId="169" fontId="0" fillId="9" borderId="0" xfId="0" applyNumberFormat="1" applyFill="1"/>
    <xf numFmtId="166" fontId="2" fillId="7" borderId="0" xfId="1" applyNumberFormat="1" applyFont="1" applyFill="1"/>
    <xf numFmtId="0" fontId="2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164" fontId="0" fillId="13" borderId="0" xfId="1" applyFont="1" applyFill="1"/>
    <xf numFmtId="0" fontId="2" fillId="13" borderId="0" xfId="0" applyFont="1" applyFill="1"/>
    <xf numFmtId="0" fontId="0" fillId="4" borderId="0" xfId="0" applyFill="1" applyAlignment="1">
      <alignment horizontal="left"/>
    </xf>
    <xf numFmtId="0" fontId="0" fillId="4" borderId="4" xfId="0" applyFill="1" applyBorder="1"/>
    <xf numFmtId="164" fontId="0" fillId="4" borderId="4" xfId="1" applyFont="1" applyFill="1" applyBorder="1"/>
    <xf numFmtId="168" fontId="0" fillId="0" borderId="4" xfId="2" applyNumberFormat="1" applyFont="1" applyBorder="1"/>
    <xf numFmtId="165" fontId="2" fillId="4" borderId="4" xfId="1" applyNumberFormat="1" applyFont="1" applyFill="1" applyBorder="1"/>
    <xf numFmtId="0" fontId="0" fillId="0" borderId="4" xfId="0" applyBorder="1"/>
    <xf numFmtId="164" fontId="0" fillId="0" borderId="4" xfId="0" applyNumberFormat="1" applyBorder="1"/>
    <xf numFmtId="164" fontId="0" fillId="4" borderId="4" xfId="1" applyFont="1" applyFill="1" applyBorder="1" applyAlignment="1"/>
    <xf numFmtId="164" fontId="2" fillId="0" borderId="4" xfId="0" applyNumberFormat="1" applyFont="1" applyBorder="1"/>
    <xf numFmtId="0" fontId="9" fillId="0" borderId="4" xfId="0" applyFont="1" applyBorder="1"/>
    <xf numFmtId="0" fontId="9" fillId="4" borderId="4" xfId="0" applyFont="1" applyFill="1" applyBorder="1"/>
    <xf numFmtId="0" fontId="2" fillId="0" borderId="4" xfId="0" applyFont="1" applyBorder="1"/>
    <xf numFmtId="0" fontId="0" fillId="11" borderId="0" xfId="0" applyFill="1"/>
    <xf numFmtId="165" fontId="0" fillId="11" borderId="0" xfId="1" applyNumberFormat="1" applyFont="1" applyFill="1"/>
    <xf numFmtId="168" fontId="2" fillId="4" borderId="0" xfId="0" applyNumberFormat="1" applyFont="1" applyFill="1"/>
    <xf numFmtId="166" fontId="2" fillId="0" borderId="0" xfId="1" applyNumberFormat="1" applyFont="1" applyFill="1"/>
    <xf numFmtId="168" fontId="2" fillId="0" borderId="0" xfId="0" applyNumberFormat="1" applyFont="1"/>
    <xf numFmtId="166" fontId="2" fillId="11" borderId="0" xfId="1" applyNumberFormat="1" applyFont="1" applyFill="1"/>
    <xf numFmtId="166" fontId="2" fillId="11" borderId="0" xfId="1" applyNumberFormat="1" applyFont="1" applyFill="1" applyBorder="1"/>
    <xf numFmtId="164" fontId="2" fillId="11" borderId="0" xfId="1" applyFont="1" applyFill="1"/>
    <xf numFmtId="9" fontId="2" fillId="11" borderId="0" xfId="2" applyFont="1" applyFill="1"/>
    <xf numFmtId="168" fontId="2" fillId="11" borderId="0" xfId="0" applyNumberFormat="1" applyFont="1" applyFill="1"/>
    <xf numFmtId="0" fontId="12" fillId="0" borderId="0" xfId="0" applyFont="1"/>
    <xf numFmtId="0" fontId="2" fillId="11" borderId="0" xfId="0" applyFont="1" applyFill="1"/>
    <xf numFmtId="0" fontId="4" fillId="11" borderId="0" xfId="2" applyNumberFormat="1" applyFont="1" applyFill="1"/>
    <xf numFmtId="164" fontId="0" fillId="11" borderId="0" xfId="1" applyFont="1" applyFill="1"/>
    <xf numFmtId="165" fontId="2" fillId="11" borderId="0" xfId="1" applyNumberFormat="1" applyFont="1" applyFill="1"/>
    <xf numFmtId="166" fontId="4" fillId="11" borderId="0" xfId="1" applyNumberFormat="1" applyFont="1" applyFill="1"/>
    <xf numFmtId="166" fontId="0" fillId="11" borderId="0" xfId="1" applyNumberFormat="1" applyFont="1" applyFill="1"/>
    <xf numFmtId="169" fontId="0" fillId="11" borderId="0" xfId="0" applyNumberFormat="1" applyFill="1"/>
    <xf numFmtId="166" fontId="0" fillId="12" borderId="0" xfId="1" applyNumberFormat="1" applyFont="1" applyFill="1"/>
    <xf numFmtId="9" fontId="0" fillId="4" borderId="0" xfId="2" applyFont="1" applyFill="1"/>
    <xf numFmtId="166" fontId="0" fillId="15" borderId="0" xfId="1" applyNumberFormat="1" applyFont="1" applyFill="1"/>
    <xf numFmtId="166" fontId="4" fillId="12" borderId="0" xfId="1" applyNumberFormat="1" applyFont="1" applyFill="1" applyBorder="1"/>
    <xf numFmtId="164" fontId="0" fillId="9" borderId="0" xfId="1" applyFont="1" applyFill="1"/>
    <xf numFmtId="0" fontId="13" fillId="14" borderId="0" xfId="0" applyFont="1" applyFill="1"/>
    <xf numFmtId="164" fontId="14" fillId="14" borderId="0" xfId="1" applyFont="1" applyFill="1"/>
    <xf numFmtId="0" fontId="14" fillId="0" borderId="0" xfId="0" applyFont="1"/>
    <xf numFmtId="164" fontId="13" fillId="14" borderId="0" xfId="0" applyNumberFormat="1" applyFont="1" applyFill="1"/>
    <xf numFmtId="165" fontId="4" fillId="10" borderId="0" xfId="1" applyNumberFormat="1" applyFont="1" applyFill="1"/>
    <xf numFmtId="165" fontId="0" fillId="10" borderId="0" xfId="1" applyNumberFormat="1" applyFont="1" applyFill="1"/>
    <xf numFmtId="9" fontId="0" fillId="10" borderId="0" xfId="2" applyFont="1" applyFill="1"/>
    <xf numFmtId="10" fontId="0" fillId="10" borderId="0" xfId="2" applyNumberFormat="1" applyFont="1" applyFill="1"/>
    <xf numFmtId="0" fontId="0" fillId="16" borderId="0" xfId="0" applyFill="1"/>
    <xf numFmtId="165" fontId="0" fillId="16" borderId="0" xfId="1" applyNumberFormat="1" applyFont="1" applyFill="1"/>
    <xf numFmtId="9" fontId="0" fillId="16" borderId="0" xfId="2" applyFont="1" applyFill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2" fillId="15" borderId="0" xfId="0" applyFont="1" applyFill="1"/>
    <xf numFmtId="164" fontId="2" fillId="3" borderId="0" xfId="0" applyNumberFormat="1" applyFont="1" applyFill="1"/>
    <xf numFmtId="166" fontId="2" fillId="3" borderId="0" xfId="1" applyNumberFormat="1" applyFont="1" applyFill="1"/>
    <xf numFmtId="2" fontId="0" fillId="4" borderId="0" xfId="2" applyNumberFormat="1" applyFont="1" applyFill="1"/>
    <xf numFmtId="0" fontId="15" fillId="11" borderId="0" xfId="0" applyFont="1" applyFill="1" applyAlignment="1">
      <alignment horizontal="left"/>
    </xf>
    <xf numFmtId="3" fontId="15" fillId="11" borderId="0" xfId="0" applyNumberFormat="1" applyFont="1" applyFill="1" applyAlignment="1">
      <alignment horizontal="right"/>
    </xf>
    <xf numFmtId="165" fontId="0" fillId="0" borderId="0" xfId="1" applyNumberFormat="1" applyFont="1"/>
    <xf numFmtId="9" fontId="0" fillId="4" borderId="0" xfId="0" applyNumberFormat="1" applyFill="1"/>
    <xf numFmtId="165" fontId="2" fillId="0" borderId="0" xfId="1" applyNumberFormat="1" applyFont="1"/>
    <xf numFmtId="170" fontId="0" fillId="0" borderId="0" xfId="2" applyNumberFormat="1" applyFont="1"/>
    <xf numFmtId="166" fontId="0" fillId="3" borderId="0" xfId="0" applyNumberFormat="1" applyFill="1"/>
    <xf numFmtId="166" fontId="0" fillId="10" borderId="0" xfId="1" applyNumberFormat="1" applyFont="1" applyFill="1"/>
    <xf numFmtId="166" fontId="4" fillId="10" borderId="0" xfId="1" applyNumberFormat="1" applyFont="1" applyFill="1"/>
    <xf numFmtId="165" fontId="0" fillId="10" borderId="0" xfId="0" applyNumberFormat="1" applyFill="1"/>
    <xf numFmtId="9" fontId="0" fillId="2" borderId="0" xfId="2" applyFont="1" applyFill="1"/>
    <xf numFmtId="2" fontId="0" fillId="10" borderId="0" xfId="1" applyNumberFormat="1" applyFont="1" applyFill="1"/>
    <xf numFmtId="164" fontId="0" fillId="10" borderId="0" xfId="1" applyFont="1" applyFill="1"/>
    <xf numFmtId="3" fontId="0" fillId="12" borderId="0" xfId="0" applyNumberFormat="1" applyFill="1"/>
    <xf numFmtId="165" fontId="0" fillId="0" borderId="0" xfId="0" applyNumberFormat="1"/>
    <xf numFmtId="165" fontId="0" fillId="16" borderId="0" xfId="0" applyNumberFormat="1" applyFill="1"/>
    <xf numFmtId="0" fontId="16" fillId="0" borderId="0" xfId="0" applyFont="1"/>
    <xf numFmtId="165" fontId="17" fillId="0" borderId="0" xfId="1" applyNumberFormat="1" applyFont="1"/>
    <xf numFmtId="165" fontId="18" fillId="0" borderId="0" xfId="1" applyNumberFormat="1" applyFont="1"/>
    <xf numFmtId="0" fontId="17" fillId="0" borderId="0" xfId="0" applyFont="1"/>
    <xf numFmtId="3" fontId="0" fillId="0" borderId="0" xfId="0" applyNumberFormat="1"/>
    <xf numFmtId="167" fontId="0" fillId="15" borderId="0" xfId="1" applyNumberFormat="1" applyFont="1" applyFill="1" applyBorder="1"/>
    <xf numFmtId="167" fontId="0" fillId="0" borderId="0" xfId="1" applyNumberFormat="1" applyFont="1"/>
    <xf numFmtId="9" fontId="0" fillId="0" borderId="0" xfId="2" applyFont="1"/>
    <xf numFmtId="166" fontId="22" fillId="0" borderId="0" xfId="1" applyNumberFormat="1" applyFont="1"/>
    <xf numFmtId="166" fontId="22" fillId="0" borderId="0" xfId="1" applyNumberFormat="1" applyFont="1" applyFill="1" applyBorder="1"/>
    <xf numFmtId="166" fontId="8" fillId="0" borderId="0" xfId="1" applyNumberFormat="1" applyFont="1" applyFill="1" applyAlignment="1">
      <alignment horizontal="center"/>
    </xf>
    <xf numFmtId="166" fontId="23" fillId="2" borderId="0" xfId="1" applyNumberFormat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24" fillId="0" borderId="0" xfId="0" applyFont="1"/>
    <xf numFmtId="0" fontId="0" fillId="0" borderId="3" xfId="0" applyBorder="1"/>
    <xf numFmtId="165" fontId="0" fillId="0" borderId="3" xfId="1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0" fillId="0" borderId="9" xfId="0" applyBorder="1"/>
    <xf numFmtId="168" fontId="0" fillId="0" borderId="3" xfId="2" applyNumberFormat="1" applyFont="1" applyBorder="1"/>
    <xf numFmtId="0" fontId="25" fillId="1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166" fontId="26" fillId="12" borderId="0" xfId="1" applyNumberFormat="1" applyFont="1" applyFill="1" applyBorder="1"/>
    <xf numFmtId="166" fontId="2" fillId="9" borderId="0" xfId="1" applyNumberFormat="1" applyFont="1" applyFill="1"/>
    <xf numFmtId="165" fontId="0" fillId="9" borderId="0" xfId="1" applyNumberFormat="1" applyFont="1" applyFill="1"/>
    <xf numFmtId="2" fontId="0" fillId="10" borderId="0" xfId="2" applyNumberFormat="1" applyFont="1" applyFill="1"/>
    <xf numFmtId="2" fontId="0" fillId="0" borderId="0" xfId="2" applyNumberFormat="1" applyFont="1"/>
    <xf numFmtId="0" fontId="0" fillId="3" borderId="3" xfId="0" applyFill="1" applyBorder="1"/>
    <xf numFmtId="164" fontId="0" fillId="3" borderId="3" xfId="1" applyFont="1" applyFill="1" applyBorder="1"/>
    <xf numFmtId="9" fontId="0" fillId="3" borderId="0" xfId="2" applyFont="1" applyFill="1"/>
    <xf numFmtId="0" fontId="0" fillId="0" borderId="0" xfId="0" applyAlignment="1">
      <alignment horizontal="center"/>
    </xf>
    <xf numFmtId="9" fontId="2" fillId="4" borderId="4" xfId="2" applyFont="1" applyFill="1" applyBorder="1"/>
    <xf numFmtId="0" fontId="27" fillId="0" borderId="0" xfId="0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66" fontId="0" fillId="9" borderId="0" xfId="1" applyNumberFormat="1" applyFont="1" applyFill="1" applyBorder="1"/>
    <xf numFmtId="165" fontId="0" fillId="9" borderId="3" xfId="1" applyNumberFormat="1" applyFont="1" applyFill="1" applyBorder="1"/>
    <xf numFmtId="9" fontId="2" fillId="19" borderId="0" xfId="2" applyFont="1" applyFill="1"/>
    <xf numFmtId="0" fontId="0" fillId="19" borderId="0" xfId="0" applyFill="1"/>
    <xf numFmtId="9" fontId="0" fillId="19" borderId="0" xfId="2" applyFont="1" applyFill="1"/>
    <xf numFmtId="2" fontId="0" fillId="19" borderId="0" xfId="2" applyNumberFormat="1" applyFont="1" applyFill="1"/>
    <xf numFmtId="2" fontId="2" fillId="19" borderId="0" xfId="2" applyNumberFormat="1" applyFont="1" applyFill="1"/>
    <xf numFmtId="165" fontId="0" fillId="19" borderId="0" xfId="2" applyNumberFormat="1" applyFont="1" applyFill="1"/>
    <xf numFmtId="9" fontId="0" fillId="19" borderId="0" xfId="2" applyFont="1" applyFill="1" applyAlignment="1">
      <alignment horizontal="right"/>
    </xf>
    <xf numFmtId="164" fontId="0" fillId="19" borderId="0" xfId="2" applyNumberFormat="1" applyFont="1" applyFill="1"/>
    <xf numFmtId="2" fontId="0" fillId="19" borderId="3" xfId="2" applyNumberFormat="1" applyFont="1" applyFill="1" applyBorder="1"/>
    <xf numFmtId="2" fontId="0" fillId="19" borderId="0" xfId="2" applyNumberFormat="1" applyFont="1" applyFill="1" applyBorder="1"/>
    <xf numFmtId="164" fontId="0" fillId="3" borderId="0" xfId="1" applyFont="1" applyFill="1" applyBorder="1"/>
    <xf numFmtId="164" fontId="0" fillId="20" borderId="0" xfId="1" applyFont="1" applyFill="1" applyBorder="1"/>
    <xf numFmtId="164" fontId="0" fillId="20" borderId="3" xfId="1" applyFont="1" applyFill="1" applyBorder="1"/>
    <xf numFmtId="164" fontId="0" fillId="19" borderId="0" xfId="1" applyFont="1" applyFill="1"/>
    <xf numFmtId="0" fontId="2" fillId="19" borderId="0" xfId="0" applyFont="1" applyFill="1"/>
    <xf numFmtId="166" fontId="4" fillId="19" borderId="0" xfId="1" applyNumberFormat="1" applyFont="1" applyFill="1"/>
    <xf numFmtId="166" fontId="4" fillId="19" borderId="0" xfId="1" applyNumberFormat="1" applyFont="1" applyFill="1" applyBorder="1"/>
    <xf numFmtId="166" fontId="26" fillId="19" borderId="0" xfId="1" applyNumberFormat="1" applyFont="1" applyFill="1" applyBorder="1"/>
    <xf numFmtId="166" fontId="4" fillId="0" borderId="0" xfId="1" applyNumberFormat="1" applyFont="1" applyFill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Alignment="1">
      <alignment horizontal="center"/>
    </xf>
    <xf numFmtId="166" fontId="26" fillId="4" borderId="0" xfId="1" applyNumberFormat="1" applyFont="1" applyFill="1" applyBorder="1" applyAlignment="1">
      <alignment horizontal="center"/>
    </xf>
    <xf numFmtId="0" fontId="0" fillId="21" borderId="0" xfId="0" applyFill="1"/>
    <xf numFmtId="166" fontId="4" fillId="21" borderId="0" xfId="1" applyNumberFormat="1" applyFont="1" applyFill="1" applyBorder="1"/>
    <xf numFmtId="166" fontId="4" fillId="21" borderId="3" xfId="1" applyNumberFormat="1" applyFont="1" applyFill="1" applyBorder="1"/>
    <xf numFmtId="166" fontId="0" fillId="21" borderId="0" xfId="0" applyNumberFormat="1" applyFill="1"/>
    <xf numFmtId="165" fontId="4" fillId="21" borderId="0" xfId="1" applyNumberFormat="1" applyFont="1" applyFill="1" applyBorder="1"/>
    <xf numFmtId="165" fontId="4" fillId="21" borderId="3" xfId="1" applyNumberFormat="1" applyFont="1" applyFill="1" applyBorder="1"/>
    <xf numFmtId="164" fontId="0" fillId="21" borderId="0" xfId="0" applyNumberFormat="1" applyFill="1"/>
    <xf numFmtId="0" fontId="2" fillId="22" borderId="0" xfId="0" applyFont="1" applyFill="1"/>
    <xf numFmtId="0" fontId="0" fillId="22" borderId="0" xfId="0" applyFill="1"/>
    <xf numFmtId="166" fontId="0" fillId="22" borderId="0" xfId="1" applyNumberFormat="1" applyFont="1" applyFill="1"/>
    <xf numFmtId="0" fontId="0" fillId="22" borderId="3" xfId="0" applyFill="1" applyBorder="1"/>
    <xf numFmtId="166" fontId="2" fillId="22" borderId="3" xfId="1" applyNumberFormat="1" applyFont="1" applyFill="1" applyBorder="1"/>
    <xf numFmtId="0" fontId="2" fillId="23" borderId="0" xfId="0" applyFont="1" applyFill="1"/>
    <xf numFmtId="0" fontId="0" fillId="23" borderId="0" xfId="0" applyFill="1"/>
    <xf numFmtId="166" fontId="0" fillId="23" borderId="0" xfId="1" applyNumberFormat="1" applyFont="1" applyFill="1" applyBorder="1"/>
    <xf numFmtId="166" fontId="2" fillId="23" borderId="0" xfId="1" applyNumberFormat="1" applyFont="1" applyFill="1" applyBorder="1"/>
    <xf numFmtId="0" fontId="2" fillId="24" borderId="0" xfId="0" applyFont="1" applyFill="1"/>
    <xf numFmtId="0" fontId="0" fillId="24" borderId="0" xfId="0" applyFill="1"/>
    <xf numFmtId="166" fontId="2" fillId="24" borderId="0" xfId="1" applyNumberFormat="1" applyFont="1" applyFill="1"/>
    <xf numFmtId="9" fontId="4" fillId="24" borderId="0" xfId="2" applyFont="1" applyFill="1"/>
    <xf numFmtId="166" fontId="0" fillId="7" borderId="0" xfId="1" applyNumberFormat="1" applyFont="1" applyFill="1"/>
    <xf numFmtId="9" fontId="4" fillId="6" borderId="0" xfId="2" applyFont="1" applyFill="1"/>
    <xf numFmtId="9" fontId="4" fillId="9" borderId="0" xfId="2" applyFont="1" applyFill="1"/>
    <xf numFmtId="9" fontId="4" fillId="8" borderId="0" xfId="2" applyFont="1" applyFill="1"/>
    <xf numFmtId="0" fontId="21" fillId="0" borderId="0" xfId="0" applyFont="1"/>
    <xf numFmtId="166" fontId="4" fillId="7" borderId="0" xfId="1" applyNumberFormat="1" applyFont="1" applyFill="1"/>
    <xf numFmtId="0" fontId="12" fillId="4" borderId="0" xfId="0" applyFont="1" applyFill="1"/>
    <xf numFmtId="0" fontId="3" fillId="23" borderId="0" xfId="0" applyFont="1" applyFill="1"/>
    <xf numFmtId="166" fontId="0" fillId="23" borderId="0" xfId="0" applyNumberFormat="1" applyFill="1"/>
    <xf numFmtId="166" fontId="0" fillId="23" borderId="3" xfId="0" applyNumberFormat="1" applyFill="1" applyBorder="1"/>
    <xf numFmtId="166" fontId="2" fillId="23" borderId="0" xfId="0" applyNumberFormat="1" applyFont="1" applyFill="1"/>
    <xf numFmtId="165" fontId="4" fillId="23" borderId="0" xfId="1" applyNumberFormat="1" applyFont="1" applyFill="1"/>
    <xf numFmtId="165" fontId="4" fillId="23" borderId="3" xfId="1" applyNumberFormat="1" applyFont="1" applyFill="1" applyBorder="1"/>
    <xf numFmtId="165" fontId="2" fillId="23" borderId="0" xfId="1" applyNumberFormat="1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66" fontId="0" fillId="7" borderId="3" xfId="1" applyNumberFormat="1" applyFont="1" applyFill="1" applyBorder="1" applyAlignment="1">
      <alignment horizontal="left"/>
    </xf>
    <xf numFmtId="166" fontId="0" fillId="7" borderId="3" xfId="1" applyNumberFormat="1" applyFont="1" applyFill="1" applyBorder="1"/>
    <xf numFmtId="0" fontId="0" fillId="26" borderId="0" xfId="0" applyFill="1"/>
    <xf numFmtId="0" fontId="0" fillId="25" borderId="0" xfId="0" applyFill="1"/>
    <xf numFmtId="166" fontId="0" fillId="25" borderId="0" xfId="1" applyNumberFormat="1" applyFont="1" applyFill="1"/>
    <xf numFmtId="166" fontId="0" fillId="6" borderId="0" xfId="0" applyNumberFormat="1" applyFill="1"/>
    <xf numFmtId="166" fontId="0" fillId="6" borderId="3" xfId="1" applyNumberFormat="1" applyFont="1" applyFill="1" applyBorder="1"/>
    <xf numFmtId="166" fontId="0" fillId="0" borderId="3" xfId="1" applyNumberFormat="1" applyFont="1" applyBorder="1"/>
    <xf numFmtId="9" fontId="8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166" fontId="26" fillId="9" borderId="0" xfId="1" applyNumberFormat="1" applyFont="1" applyFill="1"/>
    <xf numFmtId="171" fontId="0" fillId="0" borderId="0" xfId="1" applyNumberFormat="1" applyFont="1"/>
    <xf numFmtId="168" fontId="2" fillId="9" borderId="0" xfId="2" applyNumberFormat="1" applyFont="1" applyFill="1"/>
    <xf numFmtId="0" fontId="29" fillId="27" borderId="10" xfId="0" applyFont="1" applyFill="1" applyBorder="1" applyAlignment="1">
      <alignment horizontal="center"/>
    </xf>
    <xf numFmtId="0" fontId="29" fillId="27" borderId="11" xfId="0" applyFont="1" applyFill="1" applyBorder="1" applyAlignment="1">
      <alignment horizontal="center"/>
    </xf>
    <xf numFmtId="0" fontId="29" fillId="27" borderId="12" xfId="0" applyFont="1" applyFill="1" applyBorder="1" applyAlignment="1">
      <alignment horizontal="center"/>
    </xf>
    <xf numFmtId="16" fontId="28" fillId="28" borderId="13" xfId="0" applyNumberFormat="1" applyFont="1" applyFill="1" applyBorder="1" applyAlignment="1">
      <alignment horizontal="center"/>
    </xf>
    <xf numFmtId="3" fontId="30" fillId="0" borderId="14" xfId="0" applyNumberFormat="1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9" fontId="30" fillId="0" borderId="14" xfId="0" applyNumberFormat="1" applyFont="1" applyBorder="1" applyAlignment="1">
      <alignment horizontal="center"/>
    </xf>
    <xf numFmtId="16" fontId="28" fillId="28" borderId="16" xfId="0" applyNumberFormat="1" applyFont="1" applyFill="1" applyBorder="1" applyAlignment="1">
      <alignment horizontal="center"/>
    </xf>
    <xf numFmtId="3" fontId="30" fillId="0" borderId="17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9" fontId="30" fillId="0" borderId="17" xfId="0" applyNumberFormat="1" applyFont="1" applyBorder="1" applyAlignment="1">
      <alignment horizontal="center"/>
    </xf>
    <xf numFmtId="3" fontId="30" fillId="0" borderId="18" xfId="0" applyNumberFormat="1" applyFont="1" applyBorder="1" applyAlignment="1">
      <alignment horizontal="center"/>
    </xf>
    <xf numFmtId="0" fontId="29" fillId="27" borderId="11" xfId="0" applyFont="1" applyFill="1" applyBorder="1" applyAlignment="1">
      <alignment horizontal="left"/>
    </xf>
    <xf numFmtId="166" fontId="0" fillId="29" borderId="0" xfId="1" applyNumberFormat="1" applyFont="1" applyFill="1"/>
    <xf numFmtId="9" fontId="4" fillId="21" borderId="0" xfId="2" applyFont="1" applyFill="1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165" fontId="2" fillId="10" borderId="0" xfId="1" applyNumberFormat="1" applyFont="1" applyFill="1"/>
    <xf numFmtId="0" fontId="32" fillId="0" borderId="0" xfId="0" applyFont="1"/>
    <xf numFmtId="167" fontId="4" fillId="3" borderId="0" xfId="1" applyNumberFormat="1" applyFont="1" applyFill="1"/>
    <xf numFmtId="165" fontId="2" fillId="3" borderId="0" xfId="1" applyNumberFormat="1" applyFont="1" applyFill="1"/>
    <xf numFmtId="166" fontId="17" fillId="0" borderId="0" xfId="1" applyNumberFormat="1" applyFont="1"/>
    <xf numFmtId="0" fontId="0" fillId="3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7" fillId="30" borderId="0" xfId="0" applyFont="1" applyFill="1"/>
    <xf numFmtId="0" fontId="17" fillId="22" borderId="0" xfId="0" applyFont="1" applyFill="1"/>
    <xf numFmtId="0" fontId="21" fillId="22" borderId="3" xfId="0" applyFont="1" applyFill="1" applyBorder="1"/>
    <xf numFmtId="0" fontId="21" fillId="24" borderId="0" xfId="0" applyFont="1" applyFill="1"/>
    <xf numFmtId="0" fontId="21" fillId="31" borderId="0" xfId="0" applyFont="1" applyFill="1" applyAlignment="1">
      <alignment horizontal="center"/>
    </xf>
    <xf numFmtId="0" fontId="17" fillId="3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0" fillId="31" borderId="0" xfId="0" applyFill="1"/>
    <xf numFmtId="164" fontId="0" fillId="31" borderId="0" xfId="0" applyNumberFormat="1" applyFill="1"/>
    <xf numFmtId="166" fontId="0" fillId="9" borderId="0" xfId="0" applyNumberFormat="1" applyFill="1"/>
    <xf numFmtId="172" fontId="0" fillId="0" borderId="0" xfId="3" applyNumberFormat="1" applyFont="1"/>
    <xf numFmtId="0" fontId="0" fillId="32" borderId="0" xfId="0" applyFill="1"/>
    <xf numFmtId="166" fontId="0" fillId="32" borderId="0" xfId="1" applyNumberFormat="1" applyFont="1" applyFill="1"/>
    <xf numFmtId="9" fontId="0" fillId="32" borderId="0" xfId="2" applyFont="1" applyFill="1"/>
    <xf numFmtId="0" fontId="0" fillId="18" borderId="0" xfId="0" applyFill="1"/>
    <xf numFmtId="165" fontId="0" fillId="18" borderId="0" xfId="1" applyNumberFormat="1" applyFont="1" applyFill="1"/>
    <xf numFmtId="166" fontId="0" fillId="18" borderId="0" xfId="1" applyNumberFormat="1" applyFont="1" applyFill="1"/>
    <xf numFmtId="166" fontId="2" fillId="9" borderId="0" xfId="1" applyNumberFormat="1" applyFont="1" applyFill="1" applyBorder="1"/>
    <xf numFmtId="168" fontId="0" fillId="9" borderId="0" xfId="2" applyNumberFormat="1" applyFont="1" applyFill="1"/>
    <xf numFmtId="0" fontId="0" fillId="29" borderId="0" xfId="0" applyFill="1"/>
    <xf numFmtId="165" fontId="0" fillId="29" borderId="0" xfId="1" applyNumberFormat="1" applyFont="1" applyFill="1"/>
    <xf numFmtId="166" fontId="2" fillId="29" borderId="0" xfId="1" applyNumberFormat="1" applyFont="1" applyFill="1" applyBorder="1"/>
    <xf numFmtId="168" fontId="0" fillId="29" borderId="0" xfId="2" applyNumberFormat="1" applyFont="1" applyFill="1"/>
    <xf numFmtId="167" fontId="0" fillId="29" borderId="0" xfId="1" applyNumberFormat="1" applyFont="1" applyFill="1" applyBorder="1"/>
    <xf numFmtId="167" fontId="0" fillId="29" borderId="0" xfId="1" applyNumberFormat="1" applyFont="1" applyFill="1"/>
    <xf numFmtId="168" fontId="0" fillId="29" borderId="0" xfId="0" applyNumberFormat="1" applyFill="1"/>
    <xf numFmtId="9" fontId="0" fillId="29" borderId="0" xfId="0" applyNumberFormat="1" applyFill="1"/>
    <xf numFmtId="166" fontId="4" fillId="9" borderId="0" xfId="1" applyNumberFormat="1" applyFont="1" applyFill="1" applyBorder="1"/>
    <xf numFmtId="9" fontId="0" fillId="9" borderId="0" xfId="2" applyFont="1" applyFill="1"/>
    <xf numFmtId="0" fontId="0" fillId="30" borderId="0" xfId="0" applyFill="1"/>
    <xf numFmtId="166" fontId="0" fillId="30" borderId="0" xfId="1" applyNumberFormat="1" applyFont="1" applyFill="1"/>
    <xf numFmtId="164" fontId="0" fillId="30" borderId="0" xfId="1" applyFont="1" applyFill="1"/>
    <xf numFmtId="0" fontId="11" fillId="18" borderId="0" xfId="0" applyFont="1" applyFill="1"/>
    <xf numFmtId="9" fontId="0" fillId="18" borderId="0" xfId="2" applyFont="1" applyFill="1"/>
    <xf numFmtId="164" fontId="0" fillId="18" borderId="0" xfId="1" applyFont="1" applyFill="1"/>
    <xf numFmtId="168" fontId="0" fillId="0" borderId="21" xfId="2" applyNumberFormat="1" applyFont="1" applyBorder="1" applyAlignment="1">
      <alignment horizontal="center"/>
    </xf>
    <xf numFmtId="0" fontId="33" fillId="0" borderId="4" xfId="0" applyFont="1" applyBorder="1" applyAlignment="1">
      <alignment horizontal="center" wrapText="1"/>
    </xf>
    <xf numFmtId="0" fontId="2" fillId="23" borderId="4" xfId="0" applyFont="1" applyFill="1" applyBorder="1" applyAlignment="1">
      <alignment horizontal="right" wrapText="1"/>
    </xf>
    <xf numFmtId="0" fontId="2" fillId="33" borderId="4" xfId="0" applyFont="1" applyFill="1" applyBorder="1" applyAlignment="1">
      <alignment horizontal="right" wrapText="1"/>
    </xf>
    <xf numFmtId="0" fontId="34" fillId="23" borderId="4" xfId="0" applyFont="1" applyFill="1" applyBorder="1" applyAlignment="1">
      <alignment horizontal="right" wrapText="1"/>
    </xf>
    <xf numFmtId="0" fontId="34" fillId="33" borderId="4" xfId="0" applyFont="1" applyFill="1" applyBorder="1" applyAlignment="1">
      <alignment horizontal="right" wrapText="1"/>
    </xf>
    <xf numFmtId="0" fontId="35" fillId="23" borderId="4" xfId="0" applyFont="1" applyFill="1" applyBorder="1" applyAlignment="1">
      <alignment horizontal="right" wrapText="1"/>
    </xf>
    <xf numFmtId="0" fontId="33" fillId="0" borderId="4" xfId="0" applyFont="1" applyBorder="1" applyAlignment="1">
      <alignment horizontal="center" vertical="top" wrapText="1"/>
    </xf>
    <xf numFmtId="167" fontId="34" fillId="23" borderId="4" xfId="1" applyNumberFormat="1" applyFont="1" applyFill="1" applyBorder="1" applyAlignment="1">
      <alignment horizontal="right" wrapText="1"/>
    </xf>
    <xf numFmtId="167" fontId="34" fillId="33" borderId="4" xfId="1" applyNumberFormat="1" applyFont="1" applyFill="1" applyBorder="1" applyAlignment="1">
      <alignment horizontal="right" wrapText="1"/>
    </xf>
    <xf numFmtId="0" fontId="33" fillId="4" borderId="19" xfId="0" applyFont="1" applyFill="1" applyBorder="1" applyAlignment="1">
      <alignment horizontal="center" wrapText="1"/>
    </xf>
    <xf numFmtId="167" fontId="0" fillId="23" borderId="4" xfId="1" applyNumberFormat="1" applyFont="1" applyFill="1" applyBorder="1"/>
    <xf numFmtId="167" fontId="0" fillId="33" borderId="4" xfId="1" applyNumberFormat="1" applyFont="1" applyFill="1" applyBorder="1"/>
    <xf numFmtId="0" fontId="33" fillId="4" borderId="4" xfId="0" applyFont="1" applyFill="1" applyBorder="1" applyAlignment="1">
      <alignment horizontal="center" wrapText="1"/>
    </xf>
    <xf numFmtId="0" fontId="0" fillId="23" borderId="4" xfId="0" applyFill="1" applyBorder="1"/>
    <xf numFmtId="0" fontId="0" fillId="33" borderId="4" xfId="0" applyFill="1" applyBorder="1"/>
    <xf numFmtId="0" fontId="0" fillId="34" borderId="4" xfId="0" applyFill="1" applyBorder="1" applyAlignment="1">
      <alignment horizontal="right"/>
    </xf>
    <xf numFmtId="0" fontId="0" fillId="12" borderId="19" xfId="0" applyFill="1" applyBorder="1" applyAlignment="1">
      <alignment horizontal="right"/>
    </xf>
    <xf numFmtId="0" fontId="0" fillId="16" borderId="4" xfId="0" applyFill="1" applyBorder="1"/>
    <xf numFmtId="0" fontId="2" fillId="3" borderId="4" xfId="0" applyFont="1" applyFill="1" applyBorder="1" applyAlignment="1">
      <alignment horizontal="center"/>
    </xf>
    <xf numFmtId="0" fontId="34" fillId="34" borderId="4" xfId="0" applyFont="1" applyFill="1" applyBorder="1" applyAlignment="1">
      <alignment horizontal="right" wrapText="1"/>
    </xf>
    <xf numFmtId="0" fontId="34" fillId="12" borderId="4" xfId="0" applyFont="1" applyFill="1" applyBorder="1" applyAlignment="1">
      <alignment horizontal="right" wrapText="1"/>
    </xf>
    <xf numFmtId="0" fontId="0" fillId="3" borderId="4" xfId="0" applyFill="1" applyBorder="1"/>
    <xf numFmtId="0" fontId="34" fillId="16" borderId="4" xfId="0" applyFont="1" applyFill="1" applyBorder="1" applyAlignment="1">
      <alignment horizontal="right" wrapText="1"/>
    </xf>
    <xf numFmtId="0" fontId="2" fillId="3" borderId="4" xfId="0" applyFont="1" applyFill="1" applyBorder="1"/>
    <xf numFmtId="0" fontId="0" fillId="34" borderId="4" xfId="0" applyFill="1" applyBorder="1"/>
    <xf numFmtId="0" fontId="0" fillId="12" borderId="6" xfId="0" applyFill="1" applyBorder="1"/>
    <xf numFmtId="164" fontId="34" fillId="3" borderId="4" xfId="1" applyFont="1" applyFill="1" applyBorder="1" applyAlignment="1">
      <alignment horizontal="right" wrapText="1"/>
    </xf>
    <xf numFmtId="167" fontId="0" fillId="34" borderId="4" xfId="1" applyNumberFormat="1" applyFont="1" applyFill="1" applyBorder="1"/>
    <xf numFmtId="167" fontId="34" fillId="12" borderId="4" xfId="1" applyNumberFormat="1" applyFont="1" applyFill="1" applyBorder="1" applyAlignment="1">
      <alignment horizontal="right" wrapText="1"/>
    </xf>
    <xf numFmtId="167" fontId="34" fillId="16" borderId="4" xfId="1" applyNumberFormat="1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34" fillId="4" borderId="0" xfId="0" applyFont="1" applyFill="1" applyAlignment="1">
      <alignment horizontal="left" wrapText="1"/>
    </xf>
    <xf numFmtId="0" fontId="33" fillId="4" borderId="0" xfId="0" applyFont="1" applyFill="1" applyAlignment="1">
      <alignment horizontal="center" wrapText="1"/>
    </xf>
    <xf numFmtId="0" fontId="0" fillId="33" borderId="0" xfId="0" applyFill="1"/>
    <xf numFmtId="0" fontId="35" fillId="0" borderId="4" xfId="0" applyFont="1" applyBorder="1" applyAlignment="1">
      <alignment horizontal="center" vertical="top" wrapText="1"/>
    </xf>
    <xf numFmtId="0" fontId="34" fillId="0" borderId="4" xfId="0" applyFont="1" applyBorder="1" applyAlignment="1">
      <alignment wrapText="1"/>
    </xf>
    <xf numFmtId="3" fontId="34" fillId="0" borderId="4" xfId="0" applyNumberFormat="1" applyFont="1" applyBorder="1" applyAlignment="1">
      <alignment horizontal="center" wrapText="1"/>
    </xf>
    <xf numFmtId="3" fontId="35" fillId="0" borderId="4" xfId="0" applyNumberFormat="1" applyFont="1" applyBorder="1" applyAlignment="1">
      <alignment horizontal="center" wrapText="1"/>
    </xf>
    <xf numFmtId="166" fontId="0" fillId="10" borderId="0" xfId="0" applyNumberFormat="1" applyFill="1"/>
    <xf numFmtId="166" fontId="0" fillId="2" borderId="0" xfId="0" applyNumberFormat="1" applyFill="1"/>
    <xf numFmtId="2" fontId="26" fillId="19" borderId="0" xfId="2" applyNumberFormat="1" applyFont="1" applyFill="1"/>
    <xf numFmtId="165" fontId="26" fillId="19" borderId="0" xfId="2" applyNumberFormat="1" applyFont="1" applyFill="1"/>
    <xf numFmtId="165" fontId="0" fillId="35" borderId="0" xfId="1" applyNumberFormat="1" applyFont="1" applyFill="1"/>
    <xf numFmtId="172" fontId="2" fillId="2" borderId="0" xfId="3" applyNumberFormat="1" applyFont="1" applyFill="1"/>
    <xf numFmtId="10" fontId="0" fillId="0" borderId="21" xfId="2" applyNumberFormat="1" applyFont="1" applyBorder="1" applyAlignment="1">
      <alignment horizontal="center"/>
    </xf>
    <xf numFmtId="168" fontId="0" fillId="10" borderId="0" xfId="2" applyNumberFormat="1" applyFont="1" applyFill="1"/>
    <xf numFmtId="1" fontId="0" fillId="0" borderId="0" xfId="0" applyNumberFormat="1"/>
    <xf numFmtId="166" fontId="0" fillId="29" borderId="0" xfId="1" applyNumberFormat="1" applyFont="1" applyFill="1" applyBorder="1"/>
    <xf numFmtId="166" fontId="0" fillId="23" borderId="22" xfId="0" applyNumberFormat="1" applyFill="1" applyBorder="1"/>
    <xf numFmtId="165" fontId="0" fillId="0" borderId="22" xfId="1" applyNumberFormat="1" applyFont="1" applyBorder="1"/>
    <xf numFmtId="4" fontId="0" fillId="0" borderId="0" xfId="0" applyNumberFormat="1"/>
    <xf numFmtId="166" fontId="5" fillId="12" borderId="0" xfId="1" applyNumberFormat="1" applyFont="1" applyFill="1" applyBorder="1"/>
    <xf numFmtId="166" fontId="17" fillId="32" borderId="0" xfId="1" applyNumberFormat="1" applyFont="1" applyFill="1"/>
    <xf numFmtId="166" fontId="0" fillId="7" borderId="22" xfId="1" applyNumberFormat="1" applyFont="1" applyFill="1" applyBorder="1"/>
    <xf numFmtId="165" fontId="0" fillId="36" borderId="0" xfId="1" applyNumberFormat="1" applyFont="1" applyFill="1" applyBorder="1"/>
    <xf numFmtId="166" fontId="2" fillId="0" borderId="23" xfId="0" applyNumberFormat="1" applyFont="1" applyBorder="1"/>
    <xf numFmtId="166" fontId="2" fillId="0" borderId="24" xfId="0" applyNumberFormat="1" applyFont="1" applyBorder="1"/>
    <xf numFmtId="0" fontId="0" fillId="0" borderId="22" xfId="0" applyBorder="1"/>
    <xf numFmtId="0" fontId="0" fillId="0" borderId="25" xfId="0" applyBorder="1"/>
    <xf numFmtId="166" fontId="17" fillId="0" borderId="0" xfId="1" applyNumberFormat="1" applyFont="1" applyFill="1"/>
    <xf numFmtId="166" fontId="17" fillId="0" borderId="0" xfId="1" applyNumberFormat="1" applyFont="1" applyFill="1" applyBorder="1"/>
    <xf numFmtId="166" fontId="4" fillId="37" borderId="0" xfId="1" applyNumberFormat="1" applyFont="1" applyFill="1"/>
    <xf numFmtId="165" fontId="0" fillId="9" borderId="0" xfId="0" applyNumberFormat="1" applyFill="1"/>
    <xf numFmtId="166" fontId="0" fillId="38" borderId="0" xfId="1" applyNumberFormat="1" applyFont="1" applyFill="1"/>
    <xf numFmtId="0" fontId="11" fillId="0" borderId="0" xfId="0" applyFont="1"/>
    <xf numFmtId="9" fontId="0" fillId="12" borderId="0" xfId="2" applyNumberFormat="1" applyFont="1" applyFill="1"/>
    <xf numFmtId="172" fontId="0" fillId="11" borderId="0" xfId="3" applyNumberFormat="1" applyFont="1" applyFill="1"/>
    <xf numFmtId="43" fontId="0" fillId="4" borderId="0" xfId="0" applyNumberFormat="1" applyFill="1"/>
    <xf numFmtId="166" fontId="9" fillId="9" borderId="0" xfId="1" applyNumberFormat="1" applyFont="1" applyFill="1"/>
    <xf numFmtId="0" fontId="0" fillId="23" borderId="19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7" fillId="31" borderId="19" xfId="0" applyFont="1" applyFill="1" applyBorder="1" applyAlignment="1">
      <alignment horizontal="center" vertical="center"/>
    </xf>
    <xf numFmtId="0" fontId="17" fillId="31" borderId="6" xfId="0" applyFont="1" applyFill="1" applyBorder="1" applyAlignment="1">
      <alignment horizontal="center" vertical="center"/>
    </xf>
    <xf numFmtId="0" fontId="17" fillId="31" borderId="2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4" xfId="0" applyFont="1" applyBorder="1" applyAlignment="1">
      <alignment horizontal="left" wrapText="1"/>
    </xf>
    <xf numFmtId="3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left" vertical="top" wrapText="1"/>
    </xf>
    <xf numFmtId="0" fontId="34" fillId="4" borderId="1" xfId="0" applyFont="1" applyFill="1" applyBorder="1" applyAlignment="1">
      <alignment horizontal="left" wrapText="1"/>
    </xf>
    <xf numFmtId="0" fontId="34" fillId="4" borderId="2" xfId="0" applyFont="1" applyFill="1" applyBorder="1" applyAlignment="1">
      <alignment horizontal="left" wrapText="1"/>
    </xf>
    <xf numFmtId="0" fontId="34" fillId="4" borderId="5" xfId="0" applyFont="1" applyFill="1" applyBorder="1" applyAlignment="1">
      <alignment horizontal="left" wrapText="1"/>
    </xf>
    <xf numFmtId="165" fontId="0" fillId="35" borderId="0" xfId="0" applyNumberFormat="1" applyFill="1"/>
    <xf numFmtId="165" fontId="2" fillId="17" borderId="0" xfId="1" applyNumberFormat="1" applyFont="1" applyFill="1"/>
    <xf numFmtId="0" fontId="3" fillId="17" borderId="0" xfId="0" applyFont="1" applyFill="1"/>
    <xf numFmtId="0" fontId="21" fillId="15" borderId="0" xfId="0" applyFont="1" applyFill="1"/>
    <xf numFmtId="0" fontId="0" fillId="15" borderId="0" xfId="0" applyFill="1"/>
    <xf numFmtId="165" fontId="0" fillId="15" borderId="0" xfId="0" applyNumberFormat="1" applyFill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Road Transport Sector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2010-2021'!$B$144</c:f>
              <c:strCache>
                <c:ptCount val="1"/>
                <c:pt idx="0">
                  <c:v>Gasoil used by road vehicles</c:v>
                </c:pt>
              </c:strCache>
            </c:strRef>
          </c:tx>
          <c:dPt>
            <c:idx val="6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31A-401E-AA8F-CB50215A13C9}"/>
              </c:ext>
            </c:extLst>
          </c:dPt>
          <c:dPt>
            <c:idx val="7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1A-401E-AA8F-CB50215A13C9}"/>
              </c:ext>
            </c:extLst>
          </c:dPt>
          <c:dPt>
            <c:idx val="8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31A-401E-AA8F-CB50215A13C9}"/>
              </c:ext>
            </c:extLst>
          </c:dPt>
          <c:cat>
            <c:numRef>
              <c:f>'Growth 2010-2021'!$D$142:$L$142</c:f>
              <c:numCache>
                <c:formatCode>General</c:formatCode>
                <c:ptCount val="9"/>
              </c:numCache>
            </c:numRef>
          </c:cat>
          <c:val>
            <c:numRef>
              <c:f>'Growth 2010-2021'!$D$144:$L$144</c:f>
              <c:numCache>
                <c:formatCode>_(* #,##0_);_(* \(#,##0\);_(* "-"??_);_(@_)</c:formatCode>
                <c:ptCount val="9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1A-401E-AA8F-CB50215A13C9}"/>
            </c:ext>
          </c:extLst>
        </c:ser>
        <c:ser>
          <c:idx val="2"/>
          <c:order val="2"/>
          <c:tx>
            <c:strRef>
              <c:f>'Growth 2010-2021'!$B$143</c:f>
              <c:strCache>
                <c:ptCount val="1"/>
                <c:pt idx="0">
                  <c:v>Gasoil SPTC buses</c:v>
                </c:pt>
              </c:strCache>
            </c:strRef>
          </c:tx>
          <c:dPt>
            <c:idx val="4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31A-401E-AA8F-CB50215A13C9}"/>
              </c:ext>
            </c:extLst>
          </c:dPt>
          <c:dPt>
            <c:idx val="5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31A-401E-AA8F-CB50215A13C9}"/>
              </c:ext>
            </c:extLst>
          </c:dPt>
          <c:dPt>
            <c:idx val="6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31A-401E-AA8F-CB50215A13C9}"/>
              </c:ext>
            </c:extLst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31A-401E-AA8F-CB50215A13C9}"/>
              </c:ext>
            </c:extLst>
          </c:dPt>
          <c:dPt>
            <c:idx val="8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31A-401E-AA8F-CB50215A13C9}"/>
              </c:ext>
            </c:extLst>
          </c:dPt>
          <c:cat>
            <c:numRef>
              <c:f>'Growth 2010-2021'!$D$142:$L$142</c:f>
              <c:numCache>
                <c:formatCode>General</c:formatCode>
                <c:ptCount val="9"/>
              </c:numCache>
            </c:numRef>
          </c:cat>
          <c:val>
            <c:numRef>
              <c:f>'Growth 2010-2021'!$D$143:$L$143</c:f>
              <c:numCache>
                <c:formatCode>_(* #,##0_);_(* \(#,##0\);_(* "-"??_);_(@_)</c:formatCode>
                <c:ptCount val="9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31A-401E-AA8F-CB50215A13C9}"/>
            </c:ext>
          </c:extLst>
        </c:ser>
        <c:overlap val="100"/>
        <c:axId val="136639616"/>
        <c:axId val="136641152"/>
      </c:barChart>
      <c:lineChart>
        <c:grouping val="standard"/>
        <c:ser>
          <c:idx val="1"/>
          <c:order val="1"/>
          <c:tx>
            <c:strRef>
              <c:f>'Growth 2010-2021'!$B$146</c:f>
              <c:strCache>
                <c:ptCount val="1"/>
                <c:pt idx="0">
                  <c:v>Gasoline used by road vehicles</c:v>
                </c:pt>
              </c:strCache>
            </c:strRef>
          </c:tx>
          <c:marker>
            <c:symbol val="none"/>
          </c:marker>
          <c:cat>
            <c:numRef>
              <c:f>'Growth 2010-2021'!$D$142:$L$142</c:f>
              <c:numCache>
                <c:formatCode>General</c:formatCode>
                <c:ptCount val="9"/>
              </c:numCache>
            </c:numRef>
          </c:cat>
          <c:val>
            <c:numRef>
              <c:f>'Growth 2010-2021'!$D$146:$L$146</c:f>
              <c:numCache>
                <c:formatCode>_(* #,##0_);_(* \(#,##0\);_(* "-"??_);_(@_)</c:formatCode>
                <c:ptCount val="9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31A-401E-AA8F-CB50215A13C9}"/>
            </c:ext>
          </c:extLst>
        </c:ser>
        <c:marker val="1"/>
        <c:axId val="136639616"/>
        <c:axId val="136641152"/>
      </c:lineChart>
      <c:catAx>
        <c:axId val="136639616"/>
        <c:scaling>
          <c:orientation val="minMax"/>
        </c:scaling>
        <c:axPos val="b"/>
        <c:numFmt formatCode="General" sourceLinked="1"/>
        <c:tickLblPos val="nextTo"/>
        <c:crossAx val="136641152"/>
        <c:crosses val="autoZero"/>
        <c:auto val="1"/>
        <c:lblAlgn val="ctr"/>
        <c:lblOffset val="100"/>
      </c:catAx>
      <c:valAx>
        <c:axId val="1366411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tickLblPos val="nextTo"/>
        <c:crossAx val="136639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436495438070766E-2"/>
          <c:y val="0.25718721330047062"/>
          <c:w val="0.78103177102862131"/>
          <c:h val="0.64357912707720033"/>
        </c:manualLayout>
      </c:layout>
      <c:pie3DChart>
        <c:varyColors val="1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dLbls>
            <c:dLbl>
              <c:idx val="4"/>
              <c:layout>
                <c:manualLayout>
                  <c:x val="4.5508311461067368E-2"/>
                  <c:y val="2.231944411203919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60-4EBC-B16B-70339BAE2F1E}"/>
                </c:ext>
              </c:extLst>
            </c:dLbl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2010-2021'!$B$241:$B$245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2010-2021'!$L$241:$L$245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60-4EBC-B16B-70339BAE2F1E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Domestic Primary Demand of Petroleum Fuel </a:t>
            </a:r>
          </a:p>
          <a:p>
            <a:pPr>
              <a:defRPr/>
            </a:pPr>
            <a:r>
              <a:rPr lang="en-US"/>
              <a:t>In 2010-2019</a:t>
            </a:r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tx>
            <c:strRef>
              <c:f>'Growth 2010-2021'!$C$351</c:f>
              <c:strCache>
                <c:ptCount val="1"/>
                <c:pt idx="0">
                  <c:v>FUEL 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2010-2021'!$D$351:$M$351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B-4E6D-B46E-3D9C86300CCA}"/>
            </c:ext>
          </c:extLst>
        </c:ser>
        <c:ser>
          <c:idx val="0"/>
          <c:order val="1"/>
          <c:tx>
            <c:strRef>
              <c:f>'Growth 2010-2021'!$C$350</c:f>
              <c:strCache>
                <c:ptCount val="1"/>
                <c:pt idx="0">
                  <c:v>GASOIL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2010-2021'!$D$350:$M$350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2B-4E6D-B46E-3D9C86300CCA}"/>
            </c:ext>
          </c:extLst>
        </c:ser>
        <c:ser>
          <c:idx val="2"/>
          <c:order val="2"/>
          <c:tx>
            <c:strRef>
              <c:f>'Growth 2010-2021'!$C$352</c:f>
              <c:strCache>
                <c:ptCount val="1"/>
                <c:pt idx="0">
                  <c:v>GASOLINE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2010-2021'!$D$352:$M$352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18855.084509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2B-4E6D-B46E-3D9C86300CCA}"/>
            </c:ext>
          </c:extLst>
        </c:ser>
        <c:ser>
          <c:idx val="4"/>
          <c:order val="3"/>
          <c:tx>
            <c:strRef>
              <c:f>'Growth 2010-2021'!$C$354</c:f>
              <c:strCache>
                <c:ptCount val="1"/>
                <c:pt idx="0">
                  <c:v>LPG</c:v>
                </c:pt>
              </c:strCache>
            </c:strRef>
          </c:tx>
          <c:dLbls>
            <c:delete val="1"/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2010-2021'!$D$354:$M$354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4535.4184000000005</c:v>
                </c:pt>
                <c:pt idx="5">
                  <c:v>4655.8138000000008</c:v>
                </c:pt>
                <c:pt idx="6">
                  <c:v>4776.2092000000011</c:v>
                </c:pt>
                <c:pt idx="7">
                  <c:v>4896.6046000000015</c:v>
                </c:pt>
                <c:pt idx="8">
                  <c:v>5017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2B-4E6D-B46E-3D9C86300CCA}"/>
            </c:ext>
          </c:extLst>
        </c:ser>
        <c:ser>
          <c:idx val="3"/>
          <c:order val="4"/>
          <c:tx>
            <c:strRef>
              <c:f>'Growth 2010-2021'!$C$353</c:f>
              <c:strCache>
                <c:ptCount val="1"/>
                <c:pt idx="0">
                  <c:v>JET A-1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2010-2021'!$D$353:$M$353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2B-4E6D-B46E-3D9C86300CCA}"/>
            </c:ext>
          </c:extLst>
        </c:ser>
        <c:ser>
          <c:idx val="5"/>
          <c:order val="5"/>
          <c:tx>
            <c:strRef>
              <c:f>'Growth 2010-2021'!$C$355</c:f>
              <c:strCache>
                <c:ptCount val="1"/>
                <c:pt idx="0">
                  <c:v>KEROSENE</c:v>
                </c:pt>
              </c:strCache>
            </c:strRef>
          </c:tx>
          <c:dLbls>
            <c:delete val="1"/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2010-2021'!$D$355:$M$355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98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2B-4E6D-B46E-3D9C86300CCA}"/>
            </c:ext>
          </c:extLst>
        </c:ser>
        <c:ser>
          <c:idx val="6"/>
          <c:order val="6"/>
          <c:tx>
            <c:strRef>
              <c:f>'Growth 2010-2021'!$C$356</c:f>
              <c:strCache>
                <c:ptCount val="1"/>
                <c:pt idx="0">
                  <c:v>AVGAS</c:v>
                </c:pt>
              </c:strCache>
            </c:strRef>
          </c:tx>
          <c:dLbls>
            <c:delete val="1"/>
          </c:dLbls>
          <c:cat>
            <c:numRef>
              <c:f>'Growth 2010-2021'!$D$349:$M$349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2010-2021'!$D$356:$M$356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2B-4E6D-B46E-3D9C86300CCA}"/>
            </c:ext>
          </c:extLst>
        </c:ser>
        <c:dLbls>
          <c:showVal val="1"/>
        </c:dLbls>
        <c:gapWidth val="55"/>
        <c:overlap val="100"/>
        <c:axId val="168989056"/>
        <c:axId val="168990592"/>
      </c:barChart>
      <c:catAx>
        <c:axId val="168989056"/>
        <c:scaling>
          <c:orientation val="minMax"/>
        </c:scaling>
        <c:axPos val="b"/>
        <c:numFmt formatCode="General" sourceLinked="1"/>
        <c:majorTickMark val="none"/>
        <c:tickLblPos val="nextTo"/>
        <c:crossAx val="168990592"/>
        <c:crosses val="autoZero"/>
        <c:auto val="1"/>
        <c:lblAlgn val="ctr"/>
        <c:lblOffset val="100"/>
      </c:catAx>
      <c:valAx>
        <c:axId val="1689905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crossAx val="1689890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(TOE) vs. CO</a:t>
            </a:r>
            <a:r>
              <a:rPr lang="en-US" sz="1200" baseline="-25000"/>
              <a:t>2</a:t>
            </a:r>
            <a:r>
              <a:rPr lang="en-US" sz="1200"/>
              <a:t> emission from energy (MT)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50832725341669"/>
          <c:y val="0.16194755898481622"/>
          <c:w val="0.79936133299086198"/>
          <c:h val="0.6698046505756392"/>
        </c:manualLayout>
      </c:layout>
      <c:lineChart>
        <c:grouping val="standard"/>
        <c:ser>
          <c:idx val="1"/>
          <c:order val="1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2010-2021'!$D$296:$N$296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2010-2021'!$D$14:$M$14</c:f>
              <c:numCache>
                <c:formatCode>_(* #,##0_);_(* \(#,##0\);_(* "-"??_);_(@_)</c:formatCode>
                <c:ptCount val="10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  <c:pt idx="9">
                  <c:v>179072.95982398096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F-49E0-AF0E-7D56850174A1}"/>
            </c:ext>
          </c:extLst>
        </c:ser>
        <c:ser>
          <c:idx val="0"/>
          <c:order val="0"/>
          <c:tx>
            <c:strRef>
              <c:f>'Growth 2010-2021'!$B$297</c:f>
              <c:strCache>
                <c:ptCount val="1"/>
                <c:pt idx="0">
                  <c:v>Total CO2 Emission from ALL sectors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2010-2021'!$D$296:$N$296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2010-2021'!$D$298:$M$298</c:f>
              <c:numCache>
                <c:formatCode>_(* #,##0_);_(* \(#,##0\);_(* "-"??_);_(@_)</c:formatCode>
                <c:ptCount val="10"/>
                <c:pt idx="0">
                  <c:v>391995.91756476217</c:v>
                </c:pt>
                <c:pt idx="1">
                  <c:v>411934.0231915114</c:v>
                </c:pt>
                <c:pt idx="2">
                  <c:v>425142.14421174838</c:v>
                </c:pt>
                <c:pt idx="3">
                  <c:v>432331.939527123</c:v>
                </c:pt>
                <c:pt idx="4">
                  <c:v>442481.88299492112</c:v>
                </c:pt>
                <c:pt idx="5">
                  <c:v>468686.42153910187</c:v>
                </c:pt>
                <c:pt idx="6">
                  <c:v>496587.31281935005</c:v>
                </c:pt>
                <c:pt idx="7">
                  <c:v>516254.30301413086</c:v>
                </c:pt>
                <c:pt idx="8">
                  <c:v>524854.7156906348</c:v>
                </c:pt>
                <c:pt idx="9">
                  <c:v>550501.40401255386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7F-49E0-AF0E-7D56850174A1}"/>
            </c:ext>
          </c:extLst>
        </c:ser>
        <c:marker val="1"/>
        <c:axId val="173231104"/>
        <c:axId val="173236992"/>
      </c:lineChart>
      <c:catAx>
        <c:axId val="173231104"/>
        <c:scaling>
          <c:orientation val="minMax"/>
        </c:scaling>
        <c:axPos val="b"/>
        <c:numFmt formatCode="General" sourceLinked="1"/>
        <c:tickLblPos val="nextTo"/>
        <c:crossAx val="173236992"/>
        <c:crosses val="autoZero"/>
        <c:auto val="1"/>
        <c:lblAlgn val="ctr"/>
        <c:lblOffset val="100"/>
      </c:catAx>
      <c:valAx>
        <c:axId val="173236992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7323110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Carbon Intensity vs. Share of RE in elec generation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165301611677031"/>
          <c:y val="0.15086891022542506"/>
          <c:w val="0.74034120865753295"/>
          <c:h val="0.69553544037751103"/>
        </c:manualLayout>
      </c:layout>
      <c:lineChart>
        <c:grouping val="standard"/>
        <c:ser>
          <c:idx val="0"/>
          <c:order val="0"/>
          <c:tx>
            <c:strRef>
              <c:f>'Growth 2010-2021'!$B$345:$C$345</c:f>
              <c:strCache>
                <c:ptCount val="1"/>
                <c:pt idx="0">
                  <c:v>Carbon Intensity of the Primary Energy Supply tCO2/TOE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2010-2021'!$D$345:$M$345</c:f>
              <c:numCache>
                <c:formatCode>_(* #,##0.0_);_(* \(#,##0.0\);_(* "-"??_);_(@_)</c:formatCode>
                <c:ptCount val="10"/>
                <c:pt idx="0">
                  <c:v>3.3019080304988475</c:v>
                </c:pt>
                <c:pt idx="1">
                  <c:v>3.0887252708054569</c:v>
                </c:pt>
                <c:pt idx="2">
                  <c:v>3.2453598794789951</c:v>
                </c:pt>
                <c:pt idx="3">
                  <c:v>3.0611796993363543</c:v>
                </c:pt>
                <c:pt idx="4">
                  <c:v>3.2027374790993544</c:v>
                </c:pt>
                <c:pt idx="5">
                  <c:v>3.2269567239216328</c:v>
                </c:pt>
                <c:pt idx="6">
                  <c:v>3.1677584176071525</c:v>
                </c:pt>
                <c:pt idx="7">
                  <c:v>3.1559744651799173</c:v>
                </c:pt>
                <c:pt idx="8">
                  <c:v>3.2254449008539332</c:v>
                </c:pt>
                <c:pt idx="9">
                  <c:v>3.0741738147047268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58-4372-99A9-A745E9F8B426}"/>
            </c:ext>
          </c:extLst>
        </c:ser>
        <c:marker val="1"/>
        <c:axId val="173259776"/>
        <c:axId val="173269760"/>
      </c:lineChart>
      <c:lineChart>
        <c:grouping val="standard"/>
        <c:ser>
          <c:idx val="1"/>
          <c:order val="1"/>
          <c:tx>
            <c:strRef>
              <c:f>'Growth 2010-2021'!$B$53</c:f>
              <c:strCache>
                <c:ptCount val="1"/>
                <c:pt idx="0">
                  <c:v>Share of Renewable Energy in elec generation mix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2010-2021'!$D$53:$N$53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%">
                  <c:v>1.9623281384784256E-2</c:v>
                </c:pt>
                <c:pt idx="4" formatCode="0.0%">
                  <c:v>2.0863971721018035E-2</c:v>
                </c:pt>
                <c:pt idx="5" formatCode="0.0%">
                  <c:v>2.2076061528835237E-2</c:v>
                </c:pt>
                <c:pt idx="6" formatCode="0.0%">
                  <c:v>2.2349508819204885E-2</c:v>
                </c:pt>
                <c:pt idx="7" formatCode="0.0%">
                  <c:v>2.2646872829080945E-2</c:v>
                </c:pt>
                <c:pt idx="8" formatCode="0.0%">
                  <c:v>2.5541415535965721E-2</c:v>
                </c:pt>
                <c:pt idx="9" formatCode="0.0%">
                  <c:v>2.1766224341313149E-2</c:v>
                </c:pt>
                <c:pt idx="10" formatCode="0.0%">
                  <c:v>2.6491736324441423E-2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58-4372-99A9-A745E9F8B426}"/>
            </c:ext>
          </c:extLst>
        </c:ser>
        <c:marker val="1"/>
        <c:axId val="176750976"/>
        <c:axId val="173271680"/>
      </c:lineChart>
      <c:catAx>
        <c:axId val="173259776"/>
        <c:scaling>
          <c:orientation val="minMax"/>
        </c:scaling>
        <c:axPos val="b"/>
        <c:numFmt formatCode="General" sourceLinked="1"/>
        <c:tickLblPos val="nextTo"/>
        <c:crossAx val="173269760"/>
        <c:crosses val="autoZero"/>
        <c:auto val="1"/>
        <c:lblAlgn val="ctr"/>
        <c:lblOffset val="100"/>
      </c:catAx>
      <c:valAx>
        <c:axId val="173269760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 CO2/</a:t>
                </a:r>
              </a:p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  <c:layout/>
        </c:title>
        <c:numFmt formatCode="_(* #,##0.0_);_(* \(#,##0.0\);_(* &quot;-&quot;??_);_(@_)" sourceLinked="1"/>
        <c:tickLblPos val="nextTo"/>
        <c:crossAx val="173259776"/>
        <c:crosses val="autoZero"/>
        <c:crossBetween val="between"/>
      </c:valAx>
      <c:valAx>
        <c:axId val="173271680"/>
        <c:scaling>
          <c:orientation val="minMax"/>
        </c:scaling>
        <c:axPos val="r"/>
        <c:numFmt formatCode="0%" sourceLinked="1"/>
        <c:tickLblPos val="nextTo"/>
        <c:crossAx val="176750976"/>
        <c:crosses val="max"/>
        <c:crossBetween val="between"/>
      </c:valAx>
      <c:catAx>
        <c:axId val="176750976"/>
        <c:scaling>
          <c:orientation val="minMax"/>
        </c:scaling>
        <c:delete val="1"/>
        <c:axPos val="b"/>
        <c:numFmt formatCode="General" sourceLinked="1"/>
        <c:tickLblPos val="none"/>
        <c:crossAx val="173271680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2018  -  495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322249044712144E-2"/>
          <c:y val="0.26407285544638326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BC8-43AF-8FD4-266407E3AF24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C8-43AF-8FD4-266407E3AF24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C8-43AF-8FD4-266407E3AF24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C8-43AF-8FD4-266407E3AF24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84.2%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BC8-43AF-8FD4-266407E3AF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1.5%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BC8-43AF-8FD4-266407E3AF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BC8-43AF-8FD4-266407E3AF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13.6%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BC8-43AF-8FD4-266407E3A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(Structures!$B$6:$B$11,Structures!$B$6,Structures!$B$7,Structures!$B$8,Structures!$B$11)</c:f>
              <c:strCache>
                <c:ptCount val="10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Total for PUC</c:v>
                </c:pt>
                <c:pt idx="5">
                  <c:v>Auto-producers</c:v>
                </c:pt>
                <c:pt idx="6">
                  <c:v>Fuel Oil &amp; Gasoil</c:v>
                </c:pt>
                <c:pt idx="7">
                  <c:v> Wind</c:v>
                </c:pt>
                <c:pt idx="8">
                  <c:v> Solar PV</c:v>
                </c:pt>
                <c:pt idx="9">
                  <c:v>Auto-producers</c:v>
                </c:pt>
              </c:strCache>
            </c:strRef>
          </c:cat>
          <c:val>
            <c:numRef>
              <c:f>(Structures!$C$6,Structures!$C$7,Structures!$C$8,Structures!$C$11)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416.89648099999999</c:v>
                </c:pt>
                <c:pt idx="1">
                  <c:v>7.3924099999999999</c:v>
                </c:pt>
                <c:pt idx="2">
                  <c:v>3.5348129999999998</c:v>
                </c:pt>
                <c:pt idx="3" formatCode="_(* #,##0.0_);_(* \(#,##0.0\);_(* &quot;-&quot;??_);_(@_)">
                  <c:v>67.2624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C8-43AF-8FD4-266407E3AF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in 2018 (PUC only) </a:t>
            </a:r>
          </a:p>
        </c:rich>
      </c:tx>
    </c:title>
    <c:view3D>
      <c:rotX val="75"/>
      <c:rotY val="125"/>
      <c:perspective val="30"/>
    </c:view3D>
    <c:plotArea>
      <c:layout>
        <c:manualLayout>
          <c:layoutTarget val="inner"/>
          <c:xMode val="edge"/>
          <c:yMode val="edge"/>
          <c:x val="0.27361111111111114"/>
          <c:y val="0.20601851851851852"/>
          <c:w val="0.46388888888889757"/>
          <c:h val="0.77314814814815791"/>
        </c:manualLayout>
      </c:layout>
      <c:pie3DChart>
        <c:varyColors val="1"/>
        <c:ser>
          <c:idx val="0"/>
          <c:order val="0"/>
          <c:spPr>
            <a:effectLst>
              <a:outerShdw blurRad="50800" dist="838200" sx="1000" sy="1000" algn="ctr" rotWithShape="0">
                <a:srgbClr val="000000">
                  <a:alpha val="43137"/>
                </a:srgbClr>
              </a:outerShdw>
            </a:effectLst>
          </c:spP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32.7%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0EF-4CAE-A7A0-B3313FF582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 b="0"/>
                      <a:t>S</a:t>
                    </a:r>
                    <a:r>
                      <a:rPr lang="en-US"/>
                      <a:t>treet Lights
0.3%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0EF-4CAE-A7A0-B3313FF58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Structures!$C$25:$C$28</c:f>
              <c:numCache>
                <c:formatCode>_-* #,##0.00_-;\-* #,##0.00_-;_-* "-"??_-;_-@_-</c:formatCode>
                <c:ptCount val="4"/>
                <c:pt idx="0">
                  <c:v>212.3</c:v>
                </c:pt>
                <c:pt idx="1">
                  <c:v>126.29</c:v>
                </c:pt>
                <c:pt idx="2">
                  <c:v>46.349999999999994</c:v>
                </c:pt>
                <c:pt idx="3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EF-4CAE-A7A0-B3313FF5828D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Structures!$B$73:$B$75</c:f>
              <c:strCache>
                <c:ptCount val="3"/>
                <c:pt idx="0">
                  <c:v>SERVICE</c:v>
                </c:pt>
                <c:pt idx="1">
                  <c:v>RESIDENTIAL</c:v>
                </c:pt>
                <c:pt idx="2">
                  <c:v>INDUSTRIAL</c:v>
                </c:pt>
              </c:strCache>
            </c:strRef>
          </c:cat>
          <c:val>
            <c:numRef>
              <c:f>Structures!$C$73:$C$75</c:f>
              <c:numCache>
                <c:formatCode>_-* #,##0.00_-;\-* #,##0.00_-;_-* "-"??_-;_-@_-</c:formatCode>
                <c:ptCount val="3"/>
                <c:pt idx="0">
                  <c:v>253.13900000000001</c:v>
                </c:pt>
                <c:pt idx="1">
                  <c:v>126.29</c:v>
                </c:pt>
                <c:pt idx="2">
                  <c:v>79.070999999999998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34-4C56-813E-8A2716803611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2019  -  529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4602612875637745E-2"/>
          <c:y val="0.26791531462025481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938-460E-A260-FE3E5E9600D1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38-460E-A260-FE3E5E9600D1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938-460E-A260-FE3E5E9600D1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38-460E-A260-FE3E5E9600D1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938-460E-A260-FE3E5E9600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0.9%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938-460E-A260-FE3E5E9600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0.8%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938-460E-A260-FE3E5E9600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938-460E-A260-FE3E5E960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(Structures!$B$6,Structures!$B$7,Structures!$B$8,Structures!$B$11)</c:f>
              <c:strCache>
                <c:ptCount val="4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Auto-producers</c:v>
                </c:pt>
              </c:strCache>
            </c:strRef>
          </c:cat>
          <c:val>
            <c:numRef>
              <c:f>(Structures!$E$6,Structures!$E$7,Structures!$E$8,Structures!$E$11)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8-460E-A260-FE3E5E9600D1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0986"/>
          <c:h val="0.88853697856293112"/>
        </c:manualLayout>
      </c:layout>
      <c:pie3DChart>
        <c:varyColors val="1"/>
        <c:ser>
          <c:idx val="0"/>
          <c:order val="0"/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BEE-4D7C-9DB3-A03C6BA8EF6A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EE-4D7C-9DB3-A03C6BA8EF6A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BEE-4D7C-9DB3-A03C6BA8EF6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EE-4D7C-9DB3-A03C6BA8EF6A}"/>
                </c:ext>
              </c:extLst>
            </c:dLbl>
            <c:dLbl>
              <c:idx val="3"/>
              <c:layout>
                <c:manualLayout>
                  <c:x val="9.8754780623580243E-2"/>
                  <c:y val="7.0201301509843924E-4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 sz="800"/>
                      <a:t>Solar hot water, Charcoal &amp; woodfuel , kerosene</a:t>
                    </a:r>
                  </a:p>
                </c:rich>
              </c:tx>
              <c:spPr/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BEE-4D7C-9DB3-A03C6BA8EF6A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EE-4D7C-9DB3-A03C6BA8EF6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Structures!$B$83:$B$87</c:f>
              <c:strCache>
                <c:ptCount val="5"/>
                <c:pt idx="0">
                  <c:v>Electricity</c:v>
                </c:pt>
                <c:pt idx="1">
                  <c:v>LPG</c:v>
                </c:pt>
                <c:pt idx="2">
                  <c:v>Solar Hot Water</c:v>
                </c:pt>
                <c:pt idx="3">
                  <c:v>Charcoal &amp; woodfuel for cooking</c:v>
                </c:pt>
                <c:pt idx="4">
                  <c:v>Kerosene for cooking</c:v>
                </c:pt>
              </c:strCache>
            </c:strRef>
          </c:cat>
          <c:val>
            <c:numRef>
              <c:f>Structures!$D$83:$D$87</c:f>
              <c:numCache>
                <c:formatCode>_(* #,##0_);_(* \(#,##0\);_(* "-"??_);_(@_)</c:formatCode>
                <c:ptCount val="5"/>
                <c:pt idx="0">
                  <c:v>11572.186818239999</c:v>
                </c:pt>
                <c:pt idx="1">
                  <c:v>3915.8854974800001</c:v>
                </c:pt>
                <c:pt idx="2">
                  <c:v>74.367754392501737</c:v>
                </c:pt>
                <c:pt idx="3">
                  <c:v>58.054059550789468</c:v>
                </c:pt>
                <c:pt idx="4" formatCode="_(* #,##0.0_);_(* \(#,##0.0\);_(* &quot;-&quot;??_);_(@_)">
                  <c:v>3.8457364329999999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BEE-4D7C-9DB3-A03C6BA8EF6A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0986"/>
          <c:h val="0.88853697856293112"/>
        </c:manualLayout>
      </c:layout>
      <c:pie3DChart>
        <c:varyColors val="1"/>
        <c:ser>
          <c:idx val="0"/>
          <c:order val="0"/>
          <c:tx>
            <c:strRef>
              <c:f>'Growth 2010-2021'!$A$229</c:f>
              <c:strCache>
                <c:ptCount val="1"/>
                <c:pt idx="0">
                  <c:v>FINAL ENERGY CONSUMPTION BY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8B1-4CE6-959C-6681E42EB5D9}"/>
              </c:ext>
            </c:extLst>
          </c:dPt>
          <c:dPt>
            <c:idx val="1"/>
            <c:spPr>
              <a:solidFill>
                <a:srgbClr val="F79646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1-4CE6-959C-6681E42EB5D9}"/>
              </c:ext>
            </c:extLst>
          </c:dPt>
          <c:dPt>
            <c:idx val="2"/>
            <c:spPr>
              <a:solidFill>
                <a:srgbClr val="8064A2">
                  <a:lumMod val="40000"/>
                  <a:lumOff val="6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B1-4CE6-959C-6681E42EB5D9}"/>
              </c:ext>
            </c:extLst>
          </c:dPt>
          <c:dPt>
            <c:idx val="3"/>
            <c:spPr>
              <a:solidFill>
                <a:srgbClr val="9BBB5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1-4CE6-959C-6681E42EB5D9}"/>
              </c:ext>
            </c:extLst>
          </c:dPt>
          <c:dLbls>
            <c:dLbl>
              <c:idx val="0"/>
              <c:layout>
                <c:manualLayout>
                  <c:x val="-0.14876806922133312"/>
                  <c:y val="8.4236975377643242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B1-4CE6-959C-6681E42EB5D9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097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B1-4CE6-959C-6681E42EB5D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2010-2021'!$B$241:$B$245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2010-2021'!$M$241:$M$245</c:f>
              <c:numCache>
                <c:formatCode>_(* #,##0.0_);_(* \(#,##0.0\);_(* "-"??_);_(@_)</c:formatCode>
                <c:ptCount val="5"/>
                <c:pt idx="0">
                  <c:v>48.141311625493742</c:v>
                </c:pt>
                <c:pt idx="1">
                  <c:v>15.624339866096292</c:v>
                </c:pt>
                <c:pt idx="2">
                  <c:v>27.071026454939638</c:v>
                </c:pt>
                <c:pt idx="3">
                  <c:v>13.585442844111</c:v>
                </c:pt>
                <c:pt idx="4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B1-4CE6-959C-6681E42EB5D9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2010-2018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PUC - HFO &amp; LFO</c:v>
          </c:tx>
          <c:spPr>
            <a:solidFill>
              <a:srgbClr val="FFC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0F-443C-BB7E-78A4BAC110DB}"/>
            </c:ext>
          </c:extLst>
        </c:ser>
        <c:ser>
          <c:idx val="3"/>
          <c:order val="1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0F-443C-BB7E-78A4BAC110DB}"/>
            </c:ext>
          </c:extLst>
        </c:ser>
        <c:ser>
          <c:idx val="1"/>
          <c:order val="2"/>
          <c:tx>
            <c:v>Wind</c:v>
          </c:tx>
          <c:spPr>
            <a:solidFill>
              <a:srgbClr val="00B0F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2010-2021'!$D$50:$L$50</c:f>
              <c:numCache>
                <c:formatCode>_(* #,##0.0_);_(* \(#,##0.0\);_(* "-"??_);_(@_)</c:formatCode>
                <c:ptCount val="9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0F-443C-BB7E-78A4BAC110DB}"/>
            </c:ext>
          </c:extLst>
        </c:ser>
        <c:ser>
          <c:idx val="2"/>
          <c:order val="3"/>
          <c:tx>
            <c:v>Solar PV</c:v>
          </c:tx>
          <c:spPr>
            <a:solidFill>
              <a:srgbClr val="FF0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2010-2021'!$D$51:$L$51</c:f>
              <c:numCache>
                <c:formatCode>_(* #,##0.0_);_(* \(#,##0.0\);_(* "-"??_);_(@_)</c:formatCode>
                <c:ptCount val="9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0F-443C-BB7E-78A4BAC110DB}"/>
            </c:ext>
          </c:extLst>
        </c:ser>
        <c:overlap val="100"/>
        <c:axId val="142900224"/>
        <c:axId val="142922496"/>
      </c:barChart>
      <c:catAx>
        <c:axId val="142900224"/>
        <c:scaling>
          <c:orientation val="minMax"/>
        </c:scaling>
        <c:axPos val="b"/>
        <c:numFmt formatCode="General" sourceLinked="1"/>
        <c:tickLblPos val="nextTo"/>
        <c:crossAx val="142922496"/>
        <c:crosses val="autoZero"/>
        <c:auto val="1"/>
        <c:lblAlgn val="ctr"/>
        <c:lblOffset val="100"/>
      </c:catAx>
      <c:valAx>
        <c:axId val="1429224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42900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- PUC in 2019</a:t>
            </a:r>
          </a:p>
        </c:rich>
      </c:tx>
      <c:layout>
        <c:manualLayout>
          <c:xMode val="edge"/>
          <c:yMode val="edge"/>
          <c:x val="0.4589891467412397"/>
          <c:y val="0.76332123967304888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03"/>
          <c:h val="0.88853697856293068"/>
        </c:manualLayout>
      </c:layout>
      <c:pie3DChart>
        <c:varyColors val="1"/>
        <c:ser>
          <c:idx val="0"/>
          <c:order val="0"/>
          <c:tx>
            <c:strRef>
              <c:f>Structures!$A$20</c:f>
              <c:strCache>
                <c:ptCount val="1"/>
                <c:pt idx="0">
                  <c:v>Structure of Electricity Consumption - PUC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F05-4ED6-B180-FA816D817424}"/>
              </c:ext>
            </c:extLst>
          </c:dPt>
          <c:dPt>
            <c:idx val="1"/>
            <c:spPr>
              <a:solidFill>
                <a:srgbClr val="C0504D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05-4ED6-B180-FA816D817424}"/>
              </c:ext>
            </c:extLst>
          </c:dPt>
          <c:dPt>
            <c:idx val="2"/>
            <c:spPr>
              <a:solidFill>
                <a:srgbClr val="9BBB59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F05-4ED6-B180-FA816D817424}"/>
              </c:ext>
            </c:extLst>
          </c:dPt>
          <c:dPt>
            <c:idx val="3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05-4ED6-B180-FA816D817424}"/>
              </c:ext>
            </c:extLst>
          </c:dPt>
          <c:dLbls>
            <c:dLbl>
              <c:idx val="0"/>
              <c:layout>
                <c:manualLayout>
                  <c:x val="-0.18580509725744024"/>
                  <c:y val="-7.43752302687041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Industry &amp; Commerce
54.3%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F05-4ED6-B180-FA816D817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33.6%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F05-4ED6-B180-FA816D817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Government
11.8%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F05-4ED6-B180-FA816D817424}"/>
                </c:ext>
              </c:extLst>
            </c:dLbl>
            <c:dLbl>
              <c:idx val="3"/>
              <c:layout>
                <c:manualLayout>
                  <c:x val="0.12037034111734685"/>
                  <c:y val="1.01513372757416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Street Lights
0.3%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F05-4ED6-B180-FA816D817424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115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5-4ED6-B180-FA816D817424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Structures!$E$25:$E$28</c:f>
              <c:numCache>
                <c:formatCode>_-* #,##0.00_-;\-* #,##0.00_-;_-* "-"??_-;_-@_-</c:formatCode>
                <c:ptCount val="4"/>
                <c:pt idx="0">
                  <c:v>217.30911884</c:v>
                </c:pt>
                <c:pt idx="1">
                  <c:v>134.56031184</c:v>
                </c:pt>
                <c:pt idx="2">
                  <c:v>47.326193000000004</c:v>
                </c:pt>
                <c:pt idx="3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05-4ED6-B180-FA816D8174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066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Structures!$A$95</c:f>
              <c:strCache>
                <c:ptCount val="1"/>
                <c:pt idx="0">
                  <c:v>Final Energy Consumption in the Industrial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4F-47C8-825E-F78D141E7065}"/>
              </c:ext>
            </c:extLst>
          </c:dPt>
          <c:dPt>
            <c:idx val="1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4F-47C8-825E-F78D141E7065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4F-47C8-825E-F78D141E7065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4F-47C8-825E-F78D141E7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Structures!$A$97:$A$100</c:f>
              <c:strCache>
                <c:ptCount val="4"/>
                <c:pt idx="0">
                  <c:v>Electricity</c:v>
                </c:pt>
                <c:pt idx="1">
                  <c:v>Fuel Oil</c:v>
                </c:pt>
                <c:pt idx="2">
                  <c:v>Gasoil</c:v>
                </c:pt>
                <c:pt idx="3">
                  <c:v>LPG</c:v>
                </c:pt>
              </c:strCache>
            </c:strRef>
          </c:cat>
          <c:val>
            <c:numRef>
              <c:f>Structures!$D$97:$D$100</c:f>
              <c:numCache>
                <c:formatCode>_(* #,##0_);_(* \(#,##0\);_(* "-"??_);_(@_)</c:formatCode>
                <c:ptCount val="4"/>
                <c:pt idx="0">
                  <c:v>5536.3886394647998</c:v>
                </c:pt>
                <c:pt idx="1">
                  <c:v>3917.5991999999992</c:v>
                </c:pt>
                <c:pt idx="2">
                  <c:v>3842.9549999999999</c:v>
                </c:pt>
                <c:pt idx="3">
                  <c:v>288.33920464619996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D4F-47C8-825E-F78D141E7065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021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Structures!$A$111</c:f>
              <c:strCache>
                <c:ptCount val="1"/>
                <c:pt idx="0">
                  <c:v>Final Energy Consumption in the Service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BDE-4BAE-BF36-386E6501713B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DE-4BAE-BF36-386E6501713B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BDE-4BAE-BF36-386E6501713B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DE-4BAE-BF36-386E65017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Structures!$B$112:$B$115</c:f>
              <c:strCache>
                <c:ptCount val="4"/>
                <c:pt idx="0">
                  <c:v>Electricity</c:v>
                </c:pt>
                <c:pt idx="1">
                  <c:v>LPG</c:v>
                </c:pt>
                <c:pt idx="2">
                  <c:v>Gasoil </c:v>
                </c:pt>
                <c:pt idx="3">
                  <c:v>Kerosene</c:v>
                </c:pt>
              </c:strCache>
            </c:strRef>
          </c:cat>
          <c:val>
            <c:numRef>
              <c:f>Structures!$D$112:$D$115</c:f>
              <c:numCache>
                <c:formatCode>_(* #,##0.0_);_(* \(#,##0.0\);_(* "-"??_);_(@_)</c:formatCode>
                <c:ptCount val="4"/>
                <c:pt idx="0">
                  <c:v>24292.645858714324</c:v>
                </c:pt>
                <c:pt idx="1">
                  <c:v>1562.5593907977984</c:v>
                </c:pt>
                <c:pt idx="2" formatCode="_-* #,##0.00_-;\-* #,##0.00_-;_-* &quot;-&quot;??_-;_-@_-">
                  <c:v>1156.0949999999998</c:v>
                </c:pt>
                <c:pt idx="3" formatCode="_(* #,##0_);_(* \(#,##0\);_(* &quot;-&quot;??_);_(@_)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DE-4BAE-BF36-386E6501713B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977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Structures!$A$126</c:f>
              <c:strCache>
                <c:ptCount val="1"/>
                <c:pt idx="0">
                  <c:v>Final Energy Consumption in the Road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F9A-47BB-9763-70EE40599898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9A-47BB-9763-70EE40599898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F9A-47BB-9763-70EE40599898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9A-47BB-9763-70EE40599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Structures!$B$129:$B$130</c:f>
              <c:strCache>
                <c:ptCount val="2"/>
                <c:pt idx="0">
                  <c:v>GASOIL</c:v>
                </c:pt>
                <c:pt idx="1">
                  <c:v>GASOLINE</c:v>
                </c:pt>
              </c:strCache>
            </c:strRef>
          </c:cat>
          <c:val>
            <c:numRef>
              <c:f>Structures!$C$129:$C$130</c:f>
              <c:numCache>
                <c:formatCode>_(* #,##0.0_);_(* \(#,##0.0\);_(* "-"??_);_(@_)</c:formatCode>
                <c:ptCount val="2"/>
                <c:pt idx="0">
                  <c:v>15.096233107743746</c:v>
                </c:pt>
                <c:pt idx="1">
                  <c:v>25.47991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9A-47BB-9763-70EE40599898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933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Structures!$A$141</c:f>
              <c:strCache>
                <c:ptCount val="1"/>
                <c:pt idx="0">
                  <c:v>Final Energy Consumption in the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C02-47B4-BFCB-844E566A1B27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02-47B4-BFCB-844E566A1B27}"/>
              </c:ext>
            </c:extLst>
          </c:dPt>
          <c:dPt>
            <c:idx val="2"/>
            <c:spPr>
              <a:solidFill>
                <a:srgbClr val="4BACC6">
                  <a:lumMod val="20000"/>
                  <a:lumOff val="8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C02-47B4-BFCB-844E566A1B27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02-47B4-BFCB-844E566A1B27}"/>
              </c:ext>
            </c:extLst>
          </c:dPt>
          <c:dLbls>
            <c:dLbl>
              <c:idx val="1"/>
              <c:layout>
                <c:manualLayout>
                  <c:x val="-1.0365992386544736E-2"/>
                  <c:y val="-1.3047622213690067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2-47B4-BFCB-844E566A1B27}"/>
                </c:ext>
              </c:extLst>
            </c:dLbl>
            <c:dLbl>
              <c:idx val="2"/>
              <c:layout>
                <c:manualLayout>
                  <c:x val="0.10830552960540962"/>
                  <c:y val="1.1598779406559146E-3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2-47B4-BFCB-844E566A1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02-47B4-BFCB-844E566A1B27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Generation</a:t>
            </a:r>
            <a:r>
              <a:rPr lang="en-US" sz="1400" baseline="0"/>
              <a:t> </a:t>
            </a:r>
            <a:r>
              <a:rPr lang="en-US" sz="1400"/>
              <a:t>in 2019</a:t>
            </a:r>
          </a:p>
        </c:rich>
      </c:tx>
      <c:layout>
        <c:manualLayout>
          <c:xMode val="edge"/>
          <c:yMode val="edge"/>
          <c:x val="1.6280981753431161E-2"/>
          <c:y val="0.87732376248134469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074"/>
          <c:h val="0.88853697856293035"/>
        </c:manualLayout>
      </c:layout>
      <c:pie3DChart>
        <c:varyColors val="1"/>
        <c:ser>
          <c:idx val="0"/>
          <c:order val="0"/>
          <c:tx>
            <c:strRef>
              <c:f>Structures!$A$2</c:f>
              <c:strCache>
                <c:ptCount val="1"/>
                <c:pt idx="0">
                  <c:v>Structure of Total Electricity Generation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E05-4228-9707-3031FEE33C90}"/>
              </c:ext>
            </c:extLst>
          </c:dPt>
          <c:dPt>
            <c:idx val="1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05-4228-9707-3031FEE33C90}"/>
              </c:ext>
            </c:extLst>
          </c:dPt>
          <c:dPt>
            <c:idx val="2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E05-4228-9707-3031FEE33C90}"/>
              </c:ext>
            </c:extLst>
          </c:dPt>
          <c:dPt>
            <c:idx val="3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05-4228-9707-3031FEE33C90}"/>
              </c:ext>
            </c:extLst>
          </c:dPt>
          <c:dLbls>
            <c:dLbl>
              <c:idx val="0"/>
              <c:layout>
                <c:manualLayout>
                  <c:x val="-0.20559852104633991"/>
                  <c:y val="-0.31479332017809525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05-4228-9707-3031FEE33C90}"/>
                </c:ext>
              </c:extLst>
            </c:dLbl>
            <c:dLbl>
              <c:idx val="1"/>
              <c:layout>
                <c:manualLayout>
                  <c:x val="-3.1699953412085168E-2"/>
                  <c:y val="-1.0610313540112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Wind
0.9%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E05-4228-9707-3031FEE33C90}"/>
                </c:ext>
              </c:extLst>
            </c:dLbl>
            <c:dLbl>
              <c:idx val="2"/>
              <c:layout>
                <c:manualLayout>
                  <c:x val="8.442473888773723E-2"/>
                  <c:y val="-8.90546650097744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Solar PV
0.8%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E05-4228-9707-3031FEE33C90}"/>
                </c:ext>
              </c:extLst>
            </c:dLbl>
            <c:dLbl>
              <c:idx val="3"/>
              <c:layout>
                <c:manualLayout>
                  <c:x val="0.13312915983057255"/>
                  <c:y val="0.103079199945047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Auto-producers
15%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05-4228-9707-3031FEE33C9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(Structures!$E$6:$E$8,Structures!$E$11)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05-4228-9707-3031FEE33C9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doughnutChart>
        <c:varyColors val="1"/>
        <c:ser>
          <c:idx val="0"/>
          <c:order val="0"/>
          <c:tx>
            <c:strRef>
              <c:f>Structures!$E$4</c:f>
              <c:strCache>
                <c:ptCount val="1"/>
                <c:pt idx="0">
                  <c:v>2019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Structures!$E$6:$E$8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4-4E9D-BE86-BD1AF9374F22}"/>
            </c:ext>
          </c:extLst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  <c:dispBlanksAs val="zero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TRANSPORT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29156869089994347"/>
          <c:y val="0.27103425576626072"/>
          <c:w val="0.38555125814752605"/>
          <c:h val="0.63349418943210878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-0.14611872146118721"/>
                  <c:y val="-3.00107181136120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ROAD TRANSPORT,  40,576 Toe , </a:t>
                    </a:r>
                    <a:r>
                      <a:rPr lang="en-US" sz="1400" b="1"/>
                      <a:t>84%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BAB-478D-B56B-7855A5D2B942}"/>
                </c:ext>
              </c:extLst>
            </c:dLbl>
            <c:dLbl>
              <c:idx val="1"/>
              <c:layout>
                <c:manualLayout>
                  <c:x val="0.13568166992824365"/>
                  <c:y val="-5.57341907824223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MARINE TRANSPORT,  3,885 Toe 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AB-478D-B56B-7855A5D2B942}"/>
                </c:ext>
              </c:extLst>
            </c:dLbl>
            <c:dLbl>
              <c:idx val="2"/>
              <c:layout>
                <c:manualLayout>
                  <c:x val="0.1461185160074169"/>
                  <c:y val="6.4308681672026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AIR TRANSPORT,  3,681 Toe,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AB-478D-B56B-7855A5D2B942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AB-478D-B56B-7855A5D2B942}"/>
            </c:ext>
          </c:extLst>
        </c:ser>
        <c:dLbls>
          <c:showCatName val="1"/>
          <c:showPercent val="1"/>
        </c:dLbls>
        <c:firstSliceAng val="115"/>
        <c:holeSize val="72"/>
      </c:doughnutChart>
    </c:plotArea>
    <c:plotVisOnly val="1"/>
    <c:dispBlanksAs val="zero"/>
  </c:chart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</a:t>
            </a:r>
          </a:p>
          <a:p>
            <a:pPr>
              <a:defRPr sz="1600"/>
            </a:pPr>
            <a:r>
              <a:rPr lang="en-US" sz="1200" b="0"/>
              <a:t>(PUC + Wind+ Solar PV)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55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2010-2021'!$B$46</c:f>
              <c:strCache>
                <c:ptCount val="1"/>
                <c:pt idx="0">
                  <c:v>Total Elec Generation (incl. auto-producers)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2010-2021'!$D$48:$M$48</c:f>
              <c:numCache>
                <c:formatCode>_(* #,##0_);_(* \(#,##0\);_(*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354.22465100000005</c:v>
                </c:pt>
                <c:pt idx="4">
                  <c:v>362.44359900000001</c:v>
                </c:pt>
                <c:pt idx="5">
                  <c:v>377.63185199999992</c:v>
                </c:pt>
                <c:pt idx="6">
                  <c:v>409.670435</c:v>
                </c:pt>
                <c:pt idx="7">
                  <c:v>423.82827299999997</c:v>
                </c:pt>
                <c:pt idx="8">
                  <c:v>427.82370399999996</c:v>
                </c:pt>
                <c:pt idx="9">
                  <c:v>447.56172900000001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60-4F03-93C0-213AD5356C8B}"/>
            </c:ext>
          </c:extLst>
        </c:ser>
        <c:dLbls>
          <c:showVal val="1"/>
        </c:dLbls>
        <c:axId val="183920896"/>
        <c:axId val="183930880"/>
      </c:barChart>
      <c:catAx>
        <c:axId val="183920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0880"/>
        <c:crosses val="autoZero"/>
        <c:auto val="1"/>
        <c:lblAlgn val="ctr"/>
        <c:lblOffset val="100"/>
      </c:catAx>
      <c:valAx>
        <c:axId val="183930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08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Consumption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99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2010-2021'!$A$68</c:f>
              <c:strCache>
                <c:ptCount val="1"/>
                <c:pt idx="0">
                  <c:v>ELECTRICITY CONSUMPTION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2010-2021'!$D$79:$M$79</c:f>
              <c:numCache>
                <c:formatCode>_(* #,##0_);_(* \(#,##0\);_(* "-"??_);_(@_)</c:formatCode>
                <c:ptCount val="10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3F-4CF9-83CC-718952AFF45A}"/>
            </c:ext>
          </c:extLst>
        </c:ser>
        <c:dLbls>
          <c:showVal val="1"/>
        </c:dLbls>
        <c:axId val="183959936"/>
        <c:axId val="183961472"/>
      </c:barChart>
      <c:catAx>
        <c:axId val="183959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472"/>
        <c:crosses val="autoZero"/>
        <c:auto val="1"/>
        <c:lblAlgn val="ctr"/>
        <c:lblOffset val="100"/>
      </c:catAx>
      <c:valAx>
        <c:axId val="183961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993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Tariff Category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2010-2021'!$D$71:$L$71</c:f>
              <c:numCache>
                <c:formatCode>_(* #,##0.0_);_(* \(#,##0.0\);_(* "-"??_);_(@_)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3-4585-B2D5-D9350B95862E}"/>
            </c:ext>
          </c:extLst>
        </c:ser>
        <c:ser>
          <c:idx val="1"/>
          <c:order val="1"/>
          <c:tx>
            <c:strRef>
              <c:f>'Growth 2010-2021'!$B$72</c:f>
              <c:strCache>
                <c:ptCount val="1"/>
                <c:pt idx="0">
                  <c:v>Industry &amp; Commerce 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2010-2021'!$D$72:$L$72</c:f>
              <c:numCache>
                <c:formatCode>_-* #,##0.00_-;\-* #,##0.00_-;_-* "-"??_-;_-@_-</c:formatCode>
                <c:ptCount val="9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93-4585-B2D5-D9350B95862E}"/>
            </c:ext>
          </c:extLst>
        </c:ser>
        <c:ser>
          <c:idx val="2"/>
          <c:order val="2"/>
          <c:tx>
            <c:strRef>
              <c:f>'Growth 2010-2021'!$B$73</c:f>
              <c:strCache>
                <c:ptCount val="1"/>
                <c:pt idx="0">
                  <c:v>Government (incl. PUC)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2010-2021'!$D$73:$L$73</c:f>
              <c:numCache>
                <c:formatCode>_-* #,##0.00_-;\-* #,##0.00_-;_-* "-"??_-;_-@_-</c:formatCode>
                <c:ptCount val="9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93-4585-B2D5-D9350B95862E}"/>
            </c:ext>
          </c:extLst>
        </c:ser>
        <c:ser>
          <c:idx val="3"/>
          <c:order val="3"/>
          <c:tx>
            <c:strRef>
              <c:f>'Growth 2010-2021'!$B$74</c:f>
              <c:strCache>
                <c:ptCount val="1"/>
                <c:pt idx="0">
                  <c:v>Street Lights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2010-2021'!$D$74:$L$74</c:f>
              <c:numCache>
                <c:formatCode>_-* #,##0.00_-;\-* #,##0.00_-;_-* "-"??_-;_-@_-</c:formatCode>
                <c:ptCount val="9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93-4585-B2D5-D9350B95862E}"/>
            </c:ext>
          </c:extLst>
        </c:ser>
        <c:gapWidth val="55"/>
        <c:overlap val="100"/>
        <c:axId val="147153664"/>
        <c:axId val="147155200"/>
      </c:barChart>
      <c:catAx>
        <c:axId val="147153664"/>
        <c:scaling>
          <c:orientation val="minMax"/>
        </c:scaling>
        <c:axPos val="b"/>
        <c:numFmt formatCode="General" sourceLinked="1"/>
        <c:majorTickMark val="none"/>
        <c:tickLblPos val="nextTo"/>
        <c:crossAx val="147155200"/>
        <c:crosses val="autoZero"/>
        <c:auto val="1"/>
        <c:lblAlgn val="ctr"/>
        <c:lblOffset val="100"/>
      </c:catAx>
      <c:valAx>
        <c:axId val="1471552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crossAx val="147153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2010-2021'!$B$49</c:f>
              <c:strCache>
                <c:ptCount val="1"/>
                <c:pt idx="0">
                  <c:v>HFO&amp;LFO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2010-2021'!$D$49:$N$49</c:f>
              <c:numCache>
                <c:formatCode>_(* #,##0.0_);_(* \(#,##0.0\);_(* "-"??_);_(@_)</c:formatCode>
                <c:ptCount val="11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  <c:pt idx="10">
                  <c:v>430.12942399999997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D3-462D-95ED-FC06475DCC05}"/>
            </c:ext>
          </c:extLst>
        </c:ser>
        <c:ser>
          <c:idx val="1"/>
          <c:order val="1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587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3-462D-95ED-FC06475DCC05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3-462D-95ED-FC06475DCC05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3-462D-95ED-FC06475DCC05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D3-462D-95ED-FC06475DCC05}"/>
                </c:ext>
              </c:extLst>
            </c:dLbl>
            <c:dLbl>
              <c:idx val="10"/>
              <c:layout>
                <c:manualLayout>
                  <c:x val="3.8867118022101216E-2"/>
                  <c:y val="1.378340678604872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D3-462D-95ED-FC06475DCC05}"/>
            </c:ext>
          </c:extLst>
        </c:ser>
        <c:ser>
          <c:idx val="2"/>
          <c:order val="2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D3-462D-95ED-FC06475DCC05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D3-462D-95ED-FC06475DCC05}"/>
                </c:ext>
              </c:extLst>
            </c:dLbl>
            <c:dLbl>
              <c:idx val="7"/>
              <c:layout>
                <c:manualLayout>
                  <c:x val="4.133568135433655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D3-462D-95ED-FC06475DCC05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D3-462D-95ED-FC06475DCC05}"/>
                </c:ext>
              </c:extLst>
            </c:dLbl>
            <c:dLbl>
              <c:idx val="10"/>
              <c:layout>
                <c:manualLayout>
                  <c:x val="1.8290408480988781E-2"/>
                  <c:y val="-2.75668135720974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8D3-462D-95ED-FC06475DCC05}"/>
            </c:ext>
          </c:extLst>
        </c:ser>
        <c:dLbls>
          <c:showVal val="1"/>
        </c:dLbls>
        <c:gapWidth val="73"/>
        <c:overlap val="100"/>
        <c:axId val="186486784"/>
        <c:axId val="186488320"/>
      </c:barChart>
      <c:catAx>
        <c:axId val="186486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8320"/>
        <c:crosses val="autoZero"/>
        <c:auto val="1"/>
        <c:lblAlgn val="ctr"/>
        <c:lblOffset val="100"/>
      </c:catAx>
      <c:valAx>
        <c:axId val="186488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7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Consumption of Gasoil by Auto-Producers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54"/>
          <c:y val="0.1688147110718079"/>
          <c:w val="0.77682740840829256"/>
          <c:h val="0.675992959266151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2010-2021'!$B$140</c:f>
              <c:strCache>
                <c:ptCount val="1"/>
                <c:pt idx="0">
                  <c:v>Gasoil (LFO) for Auto-producers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2010-2021'!$D$115:$L$115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2010-2021'!$D$140:$L$140</c:f>
              <c:numCache>
                <c:formatCode>_(* #,##0_);_(* \(#,##0\);_(* "-"??_);_(@_)</c:formatCode>
                <c:ptCount val="9"/>
                <c:pt idx="0">
                  <c:v>13300</c:v>
                </c:pt>
                <c:pt idx="1">
                  <c:v>16000</c:v>
                </c:pt>
                <c:pt idx="2">
                  <c:v>16200</c:v>
                </c:pt>
                <c:pt idx="3">
                  <c:v>16400</c:v>
                </c:pt>
                <c:pt idx="4">
                  <c:v>16600</c:v>
                </c:pt>
                <c:pt idx="5">
                  <c:v>16800</c:v>
                </c:pt>
                <c:pt idx="6">
                  <c:v>17000</c:v>
                </c:pt>
                <c:pt idx="7">
                  <c:v>17200</c:v>
                </c:pt>
                <c:pt idx="8">
                  <c:v>17400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E5-4AE3-A2A1-E09F3262BEF5}"/>
            </c:ext>
          </c:extLst>
        </c:ser>
        <c:dLbls>
          <c:showVal val="1"/>
        </c:dLbls>
        <c:axId val="186509568"/>
        <c:axId val="186384384"/>
      </c:barChart>
      <c:catAx>
        <c:axId val="186509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4384"/>
        <c:crosses val="autoZero"/>
        <c:auto val="1"/>
        <c:lblAlgn val="ctr"/>
        <c:lblOffset val="100"/>
      </c:catAx>
      <c:valAx>
        <c:axId val="186384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5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E-48BC-8EC9-050AF18287D7}"/>
            </c:ext>
          </c:extLst>
        </c:ser>
        <c:gapWidth val="100"/>
        <c:overlap val="-24"/>
        <c:axId val="186442112"/>
        <c:axId val="186443648"/>
      </c:barChart>
      <c:catAx>
        <c:axId val="186442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6443648"/>
        <c:crosses val="autoZero"/>
        <c:auto val="1"/>
        <c:lblAlgn val="ctr"/>
        <c:lblOffset val="100"/>
      </c:catAx>
      <c:valAx>
        <c:axId val="18644364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644211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99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E-44B5-A33D-8601ABEAD086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DE-44B5-A33D-8601ABEAD086}"/>
            </c:ext>
          </c:extLst>
        </c:ser>
        <c:dLbls>
          <c:showVal val="1"/>
        </c:dLbls>
        <c:axId val="189746560"/>
        <c:axId val="189777024"/>
      </c:barChart>
      <c:catAx>
        <c:axId val="189746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7024"/>
        <c:crosses val="autoZero"/>
        <c:auto val="1"/>
        <c:lblAlgn val="ctr"/>
        <c:lblOffset val="100"/>
      </c:catAx>
      <c:valAx>
        <c:axId val="189777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656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480656167979001"/>
          <c:y val="0.17249682518512824"/>
          <c:w val="0.65529507622645333"/>
          <c:h val="0.67599295926615133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2010-2021'!$B$72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2010-2021'!$D$72:$N$72</c:f>
              <c:numCache>
                <c:formatCode>_-* #,##0.00_-;\-* #,##0.00_-;_-* "-"??_-;_-@_-</c:formatCode>
                <c:ptCount val="11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  <c:pt idx="10">
                  <c:v>210.14006599999999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C2-40CF-A033-9E45561C3760}"/>
            </c:ext>
          </c:extLst>
        </c:ser>
        <c:ser>
          <c:idx val="0"/>
          <c:order val="1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2010-2021'!$D$71:$N$71</c:f>
              <c:numCache>
                <c:formatCode>_(* #,##0.0_);_(* \(#,##0.0\);_(* "-"??_);_(@_)</c:formatCode>
                <c:ptCount val="11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C2-40CF-A033-9E45561C3760}"/>
            </c:ext>
          </c:extLst>
        </c:ser>
        <c:ser>
          <c:idx val="4"/>
          <c:order val="2"/>
          <c:tx>
            <c:strRef>
              <c:f>'Growth 2010-2021'!$B$73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2010-2021'!$D$73:$N$73</c:f>
              <c:numCache>
                <c:formatCode>_-* #,##0.00_-;\-* #,##0.00_-;_-* "-"??_-;_-@_-</c:formatCode>
                <c:ptCount val="11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  <c:pt idx="10">
                  <c:v>49.804751000000003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C2-40CF-A033-9E45561C3760}"/>
            </c:ext>
          </c:extLst>
        </c:ser>
        <c:ser>
          <c:idx val="5"/>
          <c:order val="3"/>
          <c:tx>
            <c:strRef>
              <c:f>'Growth 2010-2021'!$B$80</c:f>
              <c:strCache>
                <c:ptCount val="1"/>
                <c:pt idx="0">
                  <c:v>PUC Stations' consumption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2010-2021'!$D$80:$N$80</c:f>
              <c:numCache>
                <c:formatCode>_-* #,##0.00_-;\-* #,##0.00_-;_-* "-"??_-;_-@_-</c:formatCode>
                <c:ptCount val="11"/>
                <c:pt idx="0">
                  <c:v>11.397786</c:v>
                </c:pt>
                <c:pt idx="1">
                  <c:v>10.69897117713213</c:v>
                </c:pt>
                <c:pt idx="2">
                  <c:v>10.018831</c:v>
                </c:pt>
                <c:pt idx="3">
                  <c:v>10.86116</c:v>
                </c:pt>
                <c:pt idx="4">
                  <c:v>11.353982</c:v>
                </c:pt>
                <c:pt idx="5">
                  <c:v>12.21865</c:v>
                </c:pt>
                <c:pt idx="6">
                  <c:v>11.816122999999999</c:v>
                </c:pt>
                <c:pt idx="7">
                  <c:v>11.893601</c:v>
                </c:pt>
                <c:pt idx="8">
                  <c:v>12.155467</c:v>
                </c:pt>
                <c:pt idx="9">
                  <c:v>13.0465</c:v>
                </c:pt>
                <c:pt idx="10">
                  <c:v>12.987965999999998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C2-40CF-A033-9E45561C3760}"/>
            </c:ext>
          </c:extLst>
        </c:ser>
        <c:ser>
          <c:idx val="1"/>
          <c:order val="4"/>
          <c:tx>
            <c:strRef>
              <c:f>'Growth 2010-2021'!$B$74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2010-2021'!$D$74:$N$74</c:f>
              <c:numCache>
                <c:formatCode>_-* #,##0.00_-;\-* #,##0.00_-;_-* "-"??_-;_-@_-</c:formatCode>
                <c:ptCount val="11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  <c:pt idx="10">
                  <c:v>1.0816749999999999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C2-40CF-A033-9E45561C3760}"/>
            </c:ext>
          </c:extLst>
        </c:ser>
        <c:ser>
          <c:idx val="2"/>
          <c:order val="5"/>
          <c:tx>
            <c:strRef>
              <c:f>'Growth 2010-2021'!$B$81</c:f>
              <c:strCache>
                <c:ptCount val="1"/>
                <c:pt idx="0">
                  <c:v>Losses (technical &amp; non-technical)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2010-2021'!$D$81:$N$81</c:f>
              <c:numCache>
                <c:formatCode>_-* #,##0.00_-;\-* #,##0.00_-;_-* "-"??_-;_-@_-</c:formatCode>
                <c:ptCount val="11"/>
                <c:pt idx="0">
                  <c:v>29.318249999999974</c:v>
                </c:pt>
                <c:pt idx="1">
                  <c:v>33.352860822867861</c:v>
                </c:pt>
                <c:pt idx="2">
                  <c:v>36.789138000000015</c:v>
                </c:pt>
                <c:pt idx="3">
                  <c:v>36.54421400000011</c:v>
                </c:pt>
                <c:pt idx="4">
                  <c:v>38.488607999999971</c:v>
                </c:pt>
                <c:pt idx="5">
                  <c:v>41.191743999999886</c:v>
                </c:pt>
                <c:pt idx="6">
                  <c:v>31.968436279999942</c:v>
                </c:pt>
                <c:pt idx="7">
                  <c:v>30.33046287999996</c:v>
                </c:pt>
                <c:pt idx="8">
                  <c:v>29.669350599999959</c:v>
                </c:pt>
                <c:pt idx="9">
                  <c:v>34.175286320000033</c:v>
                </c:pt>
                <c:pt idx="10">
                  <c:v>21.006128444444002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C2-40CF-A033-9E45561C3760}"/>
            </c:ext>
          </c:extLst>
        </c:ser>
        <c:overlap val="100"/>
        <c:axId val="190889984"/>
        <c:axId val="190891520"/>
      </c:barChart>
      <c:catAx>
        <c:axId val="190889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1520"/>
        <c:crosses val="autoZero"/>
        <c:auto val="1"/>
        <c:lblAlgn val="ctr"/>
        <c:lblOffset val="100"/>
      </c:catAx>
      <c:valAx>
        <c:axId val="19089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99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5958005249369"/>
          <c:y val="0.24516442351740864"/>
          <c:w val="0.19381246719160194"/>
          <c:h val="0.53176409530823243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22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F-4328-8FDC-1E5FCB728F74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EF-4328-8FDC-1E5FCB728F74}"/>
            </c:ext>
          </c:extLst>
        </c:ser>
        <c:dLbls>
          <c:showVal val="1"/>
        </c:dLbls>
        <c:overlap val="100"/>
        <c:axId val="196558848"/>
        <c:axId val="196560384"/>
      </c:barChart>
      <c:catAx>
        <c:axId val="196558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0384"/>
        <c:crosses val="autoZero"/>
        <c:auto val="1"/>
        <c:lblAlgn val="ctr"/>
        <c:lblOffset val="100"/>
      </c:catAx>
      <c:valAx>
        <c:axId val="196560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884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(inc. auto-producers)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22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2010-2021'!$A$47</c:f>
              <c:strCache>
                <c:ptCount val="1"/>
                <c:pt idx="0">
                  <c:v>PUC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2010-2021'!$D$49:$M$49</c:f>
              <c:numCache>
                <c:formatCode>_(* #,##0.0_);_(* \(#,##0.0\);_(*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8-48F2-9884-FEFBE855E159}"/>
            </c:ext>
          </c:extLst>
        </c:ser>
        <c:ser>
          <c:idx val="3"/>
          <c:order val="1"/>
          <c:tx>
            <c:strRef>
              <c:f>'Growth 2010-2021'!$A$55</c:f>
              <c:strCache>
                <c:ptCount val="1"/>
                <c:pt idx="0">
                  <c:v>AUTO-PRODUCERS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2010-2021'!$D$56:$M$56</c:f>
              <c:numCache>
                <c:formatCode>_(* #,##0.0_);_(* \(#,##0.0\);_(* "-"??_);_(@_)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  <c:pt idx="9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8-48F2-9884-FEFBE855E159}"/>
            </c:ext>
          </c:extLst>
        </c:ser>
        <c:ser>
          <c:idx val="1"/>
          <c:order val="2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636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28-48F2-9884-FEFBE855E159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8-48F2-9884-FEFBE855E159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28-48F2-9884-FEFBE855E159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528-48F2-9884-FEFBE855E159}"/>
            </c:ext>
          </c:extLst>
        </c:ser>
        <c:ser>
          <c:idx val="2"/>
          <c:order val="3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28-48F2-9884-FEFBE855E159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28-48F2-9884-FEFBE855E159}"/>
                </c:ext>
              </c:extLst>
            </c:dLbl>
            <c:dLbl>
              <c:idx val="7"/>
              <c:layout>
                <c:manualLayout>
                  <c:x val="4.1335681354336587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28-48F2-9884-FEFBE855E159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528-48F2-9884-FEFBE855E159}"/>
            </c:ext>
          </c:extLst>
        </c:ser>
        <c:dLbls>
          <c:showVal val="1"/>
        </c:dLbls>
        <c:gapWidth val="73"/>
        <c:overlap val="100"/>
        <c:axId val="198189824"/>
        <c:axId val="198191360"/>
      </c:barChart>
      <c:catAx>
        <c:axId val="1981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1360"/>
        <c:crosses val="autoZero"/>
        <c:auto val="1"/>
        <c:lblAlgn val="ctr"/>
        <c:lblOffset val="100"/>
      </c:catAx>
      <c:valAx>
        <c:axId val="19819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98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67916608879778"/>
          <c:y val="0.17249682518512832"/>
          <c:w val="0.84952629251769562"/>
          <c:h val="0.675992959266151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2010-2021'!$B$79</c:f>
              <c:strCache>
                <c:ptCount val="1"/>
                <c:pt idx="0">
                  <c:v>Total for PUC Consumers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9"/>
              <c:layout>
                <c:manualLayout>
                  <c:x val="-2.1246614134552634E-3"/>
                  <c:y val="-0.3310029357780454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0-4353-8A12-C0320A2CC854}"/>
                </c:ext>
              </c:extLst>
            </c:dLbl>
            <c:dLbl>
              <c:idx val="10"/>
              <c:layout>
                <c:manualLayout>
                  <c:x val="4.2493228269105416E-3"/>
                  <c:y val="-0.3286568140542250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0-4353-8A12-C0320A2CC854}"/>
                </c:ext>
              </c:extLst>
            </c:dLbl>
            <c:dLbl>
              <c:idx val="11"/>
              <c:layout>
                <c:manualLayout>
                  <c:x val="4.2493228269105416E-3"/>
                  <c:y val="-0.3319927058802819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0-4353-8A12-C0320A2CC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2010-2021'!$D$70:$O$70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2010-2021'!$D$79:$O$79</c:f>
              <c:numCache>
                <c:formatCode>_(* #,##0_);_(* \(#,##0\);_(* "-"??_);_(@_)</c:formatCode>
                <c:ptCount val="12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  <c:pt idx="10" formatCode="_(* #,##0.0_);_(* \(#,##0.0\);_(* &quot;-&quot;??_);_(@_)">
                  <c:v>402.02119000000005</c:v>
                </c:pt>
                <c:pt idx="11" formatCode="_(* #,##0.0_);_(* \(#,##0.0\);_(* &quot;-&quot;??_);_(@_)">
                  <c:v>401.65782200000001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F0-4353-8A12-C0320A2CC854}"/>
            </c:ext>
          </c:extLst>
        </c:ser>
        <c:overlap val="100"/>
        <c:axId val="198231552"/>
        <c:axId val="198233088"/>
      </c:barChart>
      <c:catAx>
        <c:axId val="1982315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3088"/>
        <c:crosses val="autoZero"/>
        <c:auto val="1"/>
        <c:lblAlgn val="ctr"/>
        <c:lblOffset val="100"/>
      </c:catAx>
      <c:valAx>
        <c:axId val="1982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15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310436190928699"/>
          <c:y val="0.17249682518512832"/>
          <c:w val="0.64699729165997955"/>
          <c:h val="0.67599295926615155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2010-2021'!$B$72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2010-2021'!$D$72:$M$72</c:f>
              <c:numCache>
                <c:formatCode>_-* #,##0.00_-;\-* #,##0.00_-;_-* "-"??_-;_-@_-</c:formatCode>
                <c:ptCount val="10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05-4A0A-9695-088FA735AD05}"/>
            </c:ext>
          </c:extLst>
        </c:ser>
        <c:ser>
          <c:idx val="0"/>
          <c:order val="1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2010-2021'!$D$71:$M$71</c:f>
              <c:numCache>
                <c:formatCode>_(* #,##0.0_);_(* \(#,##0.0\);_(* "-"??_);_(@_)</c:formatCode>
                <c:ptCount val="10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05-4A0A-9695-088FA735AD05}"/>
            </c:ext>
          </c:extLst>
        </c:ser>
        <c:ser>
          <c:idx val="4"/>
          <c:order val="2"/>
          <c:tx>
            <c:strRef>
              <c:f>'Growth 2010-2021'!$B$73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2010-2021'!$D$73:$M$73</c:f>
              <c:numCache>
                <c:formatCode>_-* #,##0.00_-;\-* #,##0.00_-;_-* "-"??_-;_-@_-</c:formatCode>
                <c:ptCount val="10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05-4A0A-9695-088FA735AD05}"/>
            </c:ext>
          </c:extLst>
        </c:ser>
        <c:ser>
          <c:idx val="1"/>
          <c:order val="3"/>
          <c:tx>
            <c:strRef>
              <c:f>'Growth 2010-2021'!$B$74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2010-2021'!$D$74:$M$74</c:f>
              <c:numCache>
                <c:formatCode>_-* #,##0.00_-;\-* #,##0.00_-;_-* "-"??_-;_-@_-</c:formatCode>
                <c:ptCount val="10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05-4A0A-9695-088FA735AD05}"/>
            </c:ext>
          </c:extLst>
        </c:ser>
        <c:overlap val="100"/>
        <c:axId val="201042176"/>
        <c:axId val="201048064"/>
      </c:barChart>
      <c:catAx>
        <c:axId val="2010421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4"/>
        <c:crosses val="autoZero"/>
        <c:auto val="1"/>
        <c:lblAlgn val="ctr"/>
        <c:lblOffset val="100"/>
      </c:catAx>
      <c:valAx>
        <c:axId val="201048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217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0007137390003"/>
          <c:y val="0.34982476550860686"/>
          <c:w val="0.19381246719160194"/>
          <c:h val="0.3368790386129729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>
        <c:manualLayout>
          <c:layoutTarget val="inner"/>
          <c:xMode val="edge"/>
          <c:yMode val="edge"/>
          <c:x val="0.16648865819147529"/>
          <c:y val="5.4624943099824699E-2"/>
          <c:w val="0.81824748163462813"/>
          <c:h val="0.75323900010654365"/>
        </c:manualLayout>
      </c:layout>
      <c:barChart>
        <c:barDir val="col"/>
        <c:grouping val="stacked"/>
        <c:ser>
          <c:idx val="0"/>
          <c:order val="0"/>
          <c:tx>
            <c:v>PUC Thermal Plants HFO/LFO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347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C52-4ABF-8F94-D4AD01A611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355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C52-4ABF-8F94-D4AD01A611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369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52-4ABF-8F94-D4AD01A6111F}"/>
            </c:ext>
          </c:extLst>
        </c:ser>
        <c:ser>
          <c:idx val="2"/>
          <c:order val="1"/>
          <c:tx>
            <c:v>Auto-producers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52-4ABF-8F94-D4AD01A6111F}"/>
            </c:ext>
          </c:extLst>
        </c:ser>
        <c:ser>
          <c:idx val="1"/>
          <c:order val="2"/>
          <c:tx>
            <c:v>Renewable Energy</c:v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52-4ABF-8F94-D4AD01A6111F}"/>
                </c:ext>
              </c:extLst>
            </c:dLbl>
            <c:dLbl>
              <c:idx val="1"/>
              <c:layout>
                <c:manualLayout>
                  <c:x val="-2.7777777777780333E-3"/>
                  <c:y val="-4.166666666666666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52-4ABF-8F94-D4AD01A6111F}"/>
                </c:ext>
              </c:extLst>
            </c:dLbl>
            <c:dLbl>
              <c:idx val="2"/>
              <c:layout>
                <c:manualLayout>
                  <c:x val="5.5555555555555558E-3"/>
                  <c:y val="-5.09259259259259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2-4ABF-8F94-D4AD01A6111F}"/>
                </c:ext>
              </c:extLst>
            </c:dLbl>
            <c:dLbl>
              <c:idx val="3"/>
              <c:layout>
                <c:manualLayout>
                  <c:x val="0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2-4ABF-8F94-D4AD01A6111F}"/>
                </c:ext>
              </c:extLst>
            </c:dLbl>
            <c:dLbl>
              <c:idx val="4"/>
              <c:layout>
                <c:manualLayout>
                  <c:x val="2.2948930317831851E-3"/>
                  <c:y val="-4.819278632412759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2-4ABF-8F94-D4AD01A6111F}"/>
                </c:ext>
              </c:extLst>
            </c:dLbl>
            <c:dLbl>
              <c:idx val="5"/>
              <c:layout>
                <c:manualLayout>
                  <c:x val="6.8846790953497857E-3"/>
                  <c:y val="-4.016065527010571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2-4ABF-8F94-D4AD01A6111F}"/>
                </c:ext>
              </c:extLst>
            </c:dLbl>
            <c:dLbl>
              <c:idx val="6"/>
              <c:layout>
                <c:manualLayout>
                  <c:x val="4.5897860635663824E-3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2-4ABF-8F94-D4AD01A6111F}"/>
                </c:ext>
              </c:extLst>
            </c:dLbl>
            <c:dLbl>
              <c:idx val="7"/>
              <c:layout>
                <c:manualLayout>
                  <c:x val="2.2948930317831851E-3"/>
                  <c:y val="-5.220885185113752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2-4ABF-8F94-D4AD01A6111F}"/>
                </c:ext>
              </c:extLst>
            </c:dLbl>
            <c:dLbl>
              <c:idx val="8"/>
              <c:layout>
                <c:manualLayout>
                  <c:x val="0"/>
                  <c:y val="-6.4257048432169075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2010-2021'!$D$55:$L$55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C52-4ABF-8F94-D4AD01A6111F}"/>
            </c:ext>
          </c:extLst>
        </c:ser>
        <c:dLbls>
          <c:showVal val="1"/>
        </c:dLbls>
        <c:overlap val="100"/>
        <c:axId val="205517568"/>
        <c:axId val="205519104"/>
      </c:barChart>
      <c:catAx>
        <c:axId val="205517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104"/>
        <c:crosses val="autoZero"/>
        <c:auto val="1"/>
        <c:lblAlgn val="ctr"/>
        <c:lblOffset val="100"/>
      </c:catAx>
      <c:valAx>
        <c:axId val="205519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75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Sector (incl. Autoproducers)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2010-2021'!$B$105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2010-2021'!$D$105:$L$105</c:f>
              <c:numCache>
                <c:formatCode>_-* #,##0.00_-;\-* #,##0.00_-;_-* "-"??_-;_-@_-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DA-4105-A88A-4E6E1C2ECC10}"/>
            </c:ext>
          </c:extLst>
        </c:ser>
        <c:ser>
          <c:idx val="1"/>
          <c:order val="1"/>
          <c:tx>
            <c:strRef>
              <c:f>'Growth 2010-2021'!$B$106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2010-2021'!$D$106:$L$106</c:f>
              <c:numCache>
                <c:formatCode>_(* #,##0.0_);_(* \(#,##0.0\);_(* "-"??_);_(@_)</c:formatCode>
                <c:ptCount val="9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DA-4105-A88A-4E6E1C2ECC10}"/>
            </c:ext>
          </c:extLst>
        </c:ser>
        <c:ser>
          <c:idx val="2"/>
          <c:order val="2"/>
          <c:tx>
            <c:strRef>
              <c:f>'[1]Growth 2015-2019'!#REF!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'[1]Growth 2015-2019'!#REF!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DA-4105-A88A-4E6E1C2ECC10}"/>
            </c:ext>
          </c:extLst>
        </c:ser>
        <c:gapWidth val="55"/>
        <c:overlap val="100"/>
        <c:axId val="147190912"/>
        <c:axId val="147192448"/>
      </c:barChart>
      <c:catAx>
        <c:axId val="147190912"/>
        <c:scaling>
          <c:orientation val="minMax"/>
        </c:scaling>
        <c:axPos val="b"/>
        <c:numFmt formatCode="General" sourceLinked="1"/>
        <c:majorTickMark val="none"/>
        <c:tickLblPos val="nextTo"/>
        <c:crossAx val="147192448"/>
        <c:crosses val="autoZero"/>
        <c:auto val="1"/>
        <c:lblAlgn val="ctr"/>
        <c:lblOffset val="100"/>
      </c:catAx>
      <c:valAx>
        <c:axId val="147192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crossAx val="1471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1617606787915534E-2"/>
          <c:y val="9.3149834531553163E-2"/>
          <c:w val="0.63504472053355265"/>
          <c:h val="0.81003218075999672"/>
        </c:manualLayout>
      </c:layout>
      <c:barChart>
        <c:barDir val="col"/>
        <c:grouping val="percentStack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2010-2021'!$Q$61:$S$61</c:f>
              <c:numCache>
                <c:formatCode>0.0%</c:formatCode>
                <c:ptCount val="3"/>
                <c:pt idx="0" formatCode="#,##0">
                  <c:v>32278</c:v>
                </c:pt>
                <c:pt idx="1">
                  <c:v>0.32717616580310876</c:v>
                </c:pt>
                <c:pt idx="2" formatCode="_-* #,##0.00_-;\-* #,##0.00_-;_-* &quot;-&quot;??_-;_-@_-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C-4990-BC8E-54A8634C02D9}"/>
            </c:ext>
          </c:extLst>
        </c:ser>
        <c:ser>
          <c:idx val="1"/>
          <c:order val="1"/>
          <c:tx>
            <c:strRef>
              <c:f>'Growth 2010-2021'!$B$62</c:f>
              <c:strCache>
                <c:ptCount val="1"/>
                <c:pt idx="0">
                  <c:v>Commercial &amp; Industrial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2010-2021'!$Q$62:$S$62</c:f>
              <c:numCache>
                <c:formatCode>0.0%</c:formatCode>
                <c:ptCount val="3"/>
                <c:pt idx="0" formatCode="#,##0">
                  <c:v>5498</c:v>
                </c:pt>
                <c:pt idx="1">
                  <c:v>0.54999999999999993</c:v>
                </c:pt>
                <c:pt idx="2" formatCode="_-* #,##0.00_-;\-* #,##0.00_-;_-* &quot;-&quot;??_-;_-@_-">
                  <c:v>212.3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7C-4990-BC8E-54A8634C02D9}"/>
            </c:ext>
          </c:extLst>
        </c:ser>
        <c:ser>
          <c:idx val="2"/>
          <c:order val="2"/>
          <c:tx>
            <c:strRef>
              <c:f>'Growth 2010-2021'!$B$63</c:f>
              <c:strCache>
                <c:ptCount val="1"/>
                <c:pt idx="0">
                  <c:v>Government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2010-2021'!$Q$63:$S$63</c:f>
              <c:numCache>
                <c:formatCode>0.0%</c:formatCode>
                <c:ptCount val="3"/>
                <c:pt idx="0" formatCode="#,##0">
                  <c:v>532</c:v>
                </c:pt>
                <c:pt idx="1">
                  <c:v>0.12007772020725385</c:v>
                </c:pt>
                <c:pt idx="2" formatCode="_-* #,##0.00_-;\-* #,##0.00_-;_-* &quot;-&quot;??_-;_-@_-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7C-4990-BC8E-54A8634C02D9}"/>
            </c:ext>
          </c:extLst>
        </c:ser>
        <c:ser>
          <c:idx val="3"/>
          <c:order val="3"/>
          <c:tx>
            <c:strRef>
              <c:f>'Growth 2010-2021'!$B$64</c:f>
              <c:strCache>
                <c:ptCount val="1"/>
                <c:pt idx="0">
                  <c:v>Street lighting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0"/>
                  <c:y val="-3.553455818022746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C-4990-BC8E-54A8634C02D9}"/>
                </c:ext>
              </c:extLst>
            </c:dLbl>
            <c:dLbl>
              <c:idx val="1"/>
              <c:layout>
                <c:manualLayout>
                  <c:x val="2.1401819154628892E-3"/>
                  <c:y val="-3.534649473163676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7C-4990-BC8E-54A8634C02D9}"/>
                </c:ext>
              </c:extLst>
            </c:dLbl>
            <c:dLbl>
              <c:idx val="2"/>
              <c:layout>
                <c:manualLayout>
                  <c:x val="0"/>
                  <c:y val="-3.148176043212089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7C-4990-BC8E-54A8634C02D9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2010-2021'!$Q$64:$S$64</c:f>
              <c:numCache>
                <c:formatCode>0.0%</c:formatCode>
                <c:ptCount val="3"/>
                <c:pt idx="0" formatCode="#,##0">
                  <c:v>275</c:v>
                </c:pt>
                <c:pt idx="1">
                  <c:v>2.7461139896373054E-3</c:v>
                </c:pt>
                <c:pt idx="2" formatCode="_-* #,##0.00_-;\-* #,##0.00_-;_-* &quot;-&quot;??_-;_-@_-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7C-4990-BC8E-54A8634C02D9}"/>
            </c:ext>
          </c:extLst>
        </c:ser>
        <c:dLbls>
          <c:showVal val="1"/>
        </c:dLbls>
        <c:gapWidth val="55"/>
        <c:overlap val="100"/>
        <c:axId val="205440128"/>
        <c:axId val="205441664"/>
      </c:barChart>
      <c:catAx>
        <c:axId val="205440128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5441664"/>
        <c:crosses val="autoZero"/>
        <c:auto val="1"/>
        <c:lblAlgn val="ctr"/>
        <c:lblOffset val="100"/>
      </c:catAx>
      <c:valAx>
        <c:axId val="20544166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20544012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1188" l="0.70000000000000062" r="0.70000000000000062" t="0.7500000000000118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Electricity Production in 2018</a:t>
            </a:r>
          </a:p>
        </c:rich>
      </c:tx>
    </c:title>
    <c:plotArea>
      <c:layout>
        <c:manualLayout>
          <c:layoutTarget val="inner"/>
          <c:xMode val="edge"/>
          <c:yMode val="edge"/>
          <c:x val="0.30569881889764727"/>
          <c:y val="0.37949939184432036"/>
          <c:w val="0.38860258092739292"/>
          <c:h val="0.6476709682123067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562-4EFB-891D-7FD7F777E55A}"/>
              </c:ext>
            </c:extLst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62-4EFB-891D-7FD7F777E55A}"/>
              </c:ext>
            </c:extLst>
          </c:dPt>
          <c:dPt>
            <c:idx val="2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562-4EFB-891D-7FD7F777E55A}"/>
              </c:ext>
            </c:extLst>
          </c:dPt>
          <c:dLbls>
            <c:dLbl>
              <c:idx val="0"/>
              <c:layout>
                <c:manualLayout>
                  <c:x val="-9.74542869641295E-2"/>
                  <c:y val="-7.7824723129123075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S</a:t>
                    </a:r>
                    <a:r>
                      <a:rPr lang="en-US"/>
                      <a:t>olar PV
0.8%</a:t>
                    </a:r>
                  </a:p>
                  <a:p>
                    <a:r>
                      <a:rPr lang="en-US"/>
                      <a:t>3.5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562-4EFB-891D-7FD7F777E55A}"/>
                </c:ext>
              </c:extLst>
            </c:dLbl>
            <c:dLbl>
              <c:idx val="1"/>
              <c:layout>
                <c:manualLayout>
                  <c:x val="9.8099956255468246E-2"/>
                  <c:y val="-1.054381921772023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W</a:t>
                    </a:r>
                    <a:r>
                      <a:rPr lang="en-US"/>
                      <a:t>ind
1.7%</a:t>
                    </a:r>
                  </a:p>
                  <a:p>
                    <a:r>
                      <a:rPr lang="en-US"/>
                      <a:t>7.4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562-4EFB-891D-7FD7F777E55A}"/>
                </c:ext>
              </c:extLst>
            </c:dLbl>
            <c:dLbl>
              <c:idx val="2"/>
              <c:layout>
                <c:manualLayout>
                  <c:x val="4.1264435695538074E-2"/>
                  <c:y val="-8.304878048780488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</a:t>
                    </a:r>
                    <a:r>
                      <a:rPr lang="en-US"/>
                      <a:t>ossil Fuel HFO/LFO
97.5%</a:t>
                    </a:r>
                  </a:p>
                  <a:p>
                    <a:r>
                      <a:rPr lang="en-US"/>
                      <a:t>416.9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62-4EFB-891D-7FD7F777E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'[1]Generation-Summary'!$K$38:$M$38</c:f>
              <c:strCache>
                <c:ptCount val="3"/>
                <c:pt idx="0">
                  <c:v>Solar PV</c:v>
                </c:pt>
                <c:pt idx="1">
                  <c:v>Wind</c:v>
                </c:pt>
                <c:pt idx="2">
                  <c:v>HFO/LFO</c:v>
                </c:pt>
              </c:strCache>
            </c:strRef>
          </c:cat>
          <c:val>
            <c:numRef>
              <c:f>'[1]Generation-Summary'!$K$48:$M$48</c:f>
              <c:numCache>
                <c:formatCode>General</c:formatCode>
                <c:ptCount val="3"/>
                <c:pt idx="0">
                  <c:v>3.5350169999999999</c:v>
                </c:pt>
                <c:pt idx="1">
                  <c:v>7.3920000000000003</c:v>
                </c:pt>
                <c:pt idx="2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62-4EFB-891D-7FD7F777E55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3175">
      <a:solidFill>
        <a:srgbClr val="00B0F0"/>
      </a:solidFill>
    </a:ln>
  </c:spPr>
  <c:printSettings>
    <c:headerFooter/>
    <c:pageMargins b="0.75000000000001188" l="0.70000000000000062" r="0.70000000000000062" t="0.7500000000000118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Primary Energy Consumption </a:t>
            </a:r>
            <a:r>
              <a:rPr lang="en-US" sz="1400" b="0"/>
              <a:t>(PEC)</a:t>
            </a:r>
          </a:p>
          <a:p>
            <a:pPr>
              <a:defRPr/>
            </a:pPr>
            <a:r>
              <a:rPr lang="en-US" sz="1000" b="0"/>
              <a:t>or Total Primary Energy Supply (TPES)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96"/>
          <c:y val="0.1944602884710967"/>
          <c:w val="0.81824748163462813"/>
          <c:h val="0.67599295926615044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3A-4142-8834-E67F810B0DBD}"/>
            </c:ext>
          </c:extLst>
        </c:ser>
        <c:dLbls>
          <c:showVal val="1"/>
        </c:dLbls>
        <c:axId val="211849984"/>
        <c:axId val="211851520"/>
      </c:barChart>
      <c:catAx>
        <c:axId val="211849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520"/>
        <c:crosses val="autoZero"/>
        <c:auto val="1"/>
        <c:lblAlgn val="ctr"/>
        <c:lblOffset val="100"/>
      </c:catAx>
      <c:valAx>
        <c:axId val="21185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99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 Capita PEC vs. Per Capita FEC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324287188089596"/>
          <c:y val="0.1688147110718079"/>
          <c:w val="0.67553126278838849"/>
          <c:h val="0.67599295926615088"/>
        </c:manualLayout>
      </c:layout>
      <c:lineChart>
        <c:grouping val="standard"/>
        <c:ser>
          <c:idx val="0"/>
          <c:order val="0"/>
          <c:tx>
            <c:strRef>
              <c:f>'Growth 2010-2021'!$B$32</c:f>
              <c:strCache>
                <c:ptCount val="1"/>
                <c:pt idx="0">
                  <c:v>Per capita PEC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2010-2021'!$D$32:$M$32</c:f>
              <c:numCache>
                <c:formatCode>_-* #,##0.00_-;\-* #,##0.00_-;_-* "-"??_-;_-@_-</c:formatCode>
                <c:ptCount val="10"/>
                <c:pt idx="0">
                  <c:v>1.323500557413601</c:v>
                </c:pt>
                <c:pt idx="1">
                  <c:v>1.5259382151029748</c:v>
                </c:pt>
                <c:pt idx="2">
                  <c:v>1.4835787089467725</c:v>
                </c:pt>
                <c:pt idx="3">
                  <c:v>1.5701175110340304</c:v>
                </c:pt>
                <c:pt idx="4">
                  <c:v>1.5122472881708424</c:v>
                </c:pt>
                <c:pt idx="5">
                  <c:v>1.5547265545552831</c:v>
                </c:pt>
                <c:pt idx="6">
                  <c:v>1.6557664480285603</c:v>
                </c:pt>
                <c:pt idx="7">
                  <c:v>1.7067495800423609</c:v>
                </c:pt>
                <c:pt idx="8">
                  <c:v>1.677558762886598</c:v>
                </c:pt>
                <c:pt idx="9">
                  <c:v>1.8342940827040304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38-4788-9B51-12F086EA46BF}"/>
            </c:ext>
          </c:extLst>
        </c:ser>
        <c:ser>
          <c:idx val="1"/>
          <c:order val="1"/>
          <c:tx>
            <c:strRef>
              <c:f>'Growth 2010-2021'!$B$33</c:f>
              <c:strCache>
                <c:ptCount val="1"/>
                <c:pt idx="0">
                  <c:v>Per capita FEC</c:v>
                </c:pt>
              </c:strCache>
            </c:strRef>
          </c:tx>
          <c:spPr>
            <a:ln>
              <a:solidFill>
                <a:srgbClr val="00206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2010-2021'!$D$33:$M$33</c:f>
              <c:numCache>
                <c:formatCode>_-* #,##0.00_-;\-* #,##0.00_-;_-* "-"??_-;_-@_-</c:formatCode>
                <c:ptCount val="10"/>
                <c:pt idx="0">
                  <c:v>0.81991081382385733</c:v>
                </c:pt>
                <c:pt idx="1">
                  <c:v>0.80552631578947365</c:v>
                </c:pt>
                <c:pt idx="2">
                  <c:v>0.81540203850509629</c:v>
                </c:pt>
                <c:pt idx="3">
                  <c:v>0.86076554491989909</c:v>
                </c:pt>
                <c:pt idx="4">
                  <c:v>0.88866559397541578</c:v>
                </c:pt>
                <c:pt idx="5">
                  <c:v>0.95890557595349979</c:v>
                </c:pt>
                <c:pt idx="6">
                  <c:v>0.97990747488830443</c:v>
                </c:pt>
                <c:pt idx="7">
                  <c:v>0.99519109376793302</c:v>
                </c:pt>
                <c:pt idx="8">
                  <c:v>1.0349040667007785</c:v>
                </c:pt>
                <c:pt idx="9">
                  <c:v>1.1058386353646021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38-4788-9B51-12F086EA46BF}"/>
            </c:ext>
          </c:extLst>
        </c:ser>
        <c:dLbls>
          <c:showVal val="1"/>
        </c:dLbls>
        <c:marker val="1"/>
        <c:axId val="212967808"/>
        <c:axId val="212969344"/>
      </c:lineChart>
      <c:catAx>
        <c:axId val="212967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9344"/>
        <c:crosses val="autoZero"/>
        <c:auto val="1"/>
        <c:lblAlgn val="ctr"/>
        <c:lblOffset val="100"/>
      </c:catAx>
      <c:valAx>
        <c:axId val="212969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78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Intensity of the GDP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4892667664070977"/>
          <c:y val="0.1688147110718079"/>
          <c:w val="0.82397511050203864"/>
          <c:h val="0.67599295926615088"/>
        </c:manualLayout>
      </c:layout>
      <c:lineChart>
        <c:grouping val="standard"/>
        <c:ser>
          <c:idx val="0"/>
          <c:order val="0"/>
          <c:tx>
            <c:strRef>
              <c:f>'Growth 2010-2021'!$B$36</c:f>
              <c:strCache>
                <c:ptCount val="1"/>
                <c:pt idx="0">
                  <c:v>Energy Intensity of GDP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2010-2021'!$H$36:$O$36</c:f>
              <c:numCache>
                <c:formatCode>_(* #,##0.0_);_(* \(#,##0.0\);_(* "-"??_);_(@_)</c:formatCode>
                <c:ptCount val="8"/>
                <c:pt idx="0">
                  <c:v>7.8107982813206691</c:v>
                </c:pt>
                <c:pt idx="1">
                  <c:v>7.773133529569173</c:v>
                </c:pt>
                <c:pt idx="2">
                  <c:v>7.9635763271526541</c:v>
                </c:pt>
                <c:pt idx="3">
                  <c:v>7.9512754705241875</c:v>
                </c:pt>
                <c:pt idx="4">
                  <c:v>7.6644513421475304</c:v>
                </c:pt>
                <c:pt idx="5">
                  <c:v>8.1819284955031861</c:v>
                </c:pt>
                <c:pt idx="6">
                  <c:v>7.5000326776817605</c:v>
                </c:pt>
                <c:pt idx="7">
                  <c:v>7.1941517738779721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1-4968-8CB5-517895C67263}"/>
            </c:ext>
          </c:extLst>
        </c:ser>
        <c:dLbls>
          <c:showVal val="1"/>
        </c:dLbls>
        <c:marker val="1"/>
        <c:axId val="214633088"/>
        <c:axId val="214643072"/>
      </c:lineChart>
      <c:catAx>
        <c:axId val="2146330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3072"/>
        <c:crosses val="autoZero"/>
        <c:auto val="1"/>
        <c:lblAlgn val="ctr"/>
        <c:lblOffset val="100"/>
      </c:catAx>
      <c:valAx>
        <c:axId val="214643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TOE/MSR_2006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0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48"/>
          <c:y val="0.1688147110718079"/>
          <c:w val="0.77682740840829212"/>
          <c:h val="0.6759929592661511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2010-2021'!$D$241:$M$241</c:f>
              <c:numCache>
                <c:formatCode>_(* #,##0.0_);_(* \(#,##0.0\);_(* "-"??_);_(@_)</c:formatCode>
                <c:ptCount val="10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  <c:pt idx="9">
                  <c:v>48.141311625493742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14-4F43-801F-F4F5A6DF5540}"/>
            </c:ext>
          </c:extLst>
        </c:ser>
        <c:ser>
          <c:idx val="3"/>
          <c:order val="1"/>
          <c:tx>
            <c:strRef>
              <c:f>'Growth 2010-2021'!$B$243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2010-2021'!$D$243:$M$243</c:f>
              <c:numCache>
                <c:formatCode>_(* #,##0.0_);_(* \(#,##0.0\);_(* "-"??_);_(@_)</c:formatCode>
                <c:ptCount val="10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  <c:pt idx="9">
                  <c:v>27.071026454939638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14-4F43-801F-F4F5A6DF5540}"/>
            </c:ext>
          </c:extLst>
        </c:ser>
        <c:ser>
          <c:idx val="4"/>
          <c:order val="2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2010-2021'!$D$242:$M$242</c:f>
              <c:numCache>
                <c:formatCode>_(* #,##0.0_);_(* \(#,##0.0\);_(* "-"??_);_(@_)</c:formatCode>
                <c:ptCount val="10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  <c:pt idx="9">
                  <c:v>15.624339866096292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14-4F43-801F-F4F5A6DF5540}"/>
            </c:ext>
          </c:extLst>
        </c:ser>
        <c:ser>
          <c:idx val="1"/>
          <c:order val="3"/>
          <c:tx>
            <c:strRef>
              <c:f>'Growth 2010-2021'!$B$244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2010-2021'!$D$244:$M$244</c:f>
              <c:numCache>
                <c:formatCode>_(* #,##0.0_);_(* \(#,##0.0\);_(* "-"??_);_(@_)</c:formatCode>
                <c:ptCount val="10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  <c:pt idx="9">
                  <c:v>13.585442844111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14-4F43-801F-F4F5A6DF5540}"/>
            </c:ext>
          </c:extLst>
        </c:ser>
        <c:ser>
          <c:idx val="5"/>
          <c:order val="4"/>
          <c:tx>
            <c:strRef>
              <c:f>'Growth 2010-2021'!$B$245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2010-2021'!$D$245:$M$245</c:f>
              <c:numCache>
                <c:formatCode>_(* #,##0.0_);_(* \(#,##0.0\);_(* "-"??_);_(@_)</c:formatCode>
                <c:ptCount val="10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  <c:pt idx="9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14-4F43-801F-F4F5A6DF5540}"/>
            </c:ext>
          </c:extLst>
        </c:ser>
        <c:dLbls>
          <c:showVal val="1"/>
        </c:dLbls>
        <c:overlap val="100"/>
        <c:axId val="215763584"/>
        <c:axId val="215785856"/>
      </c:barChart>
      <c:catAx>
        <c:axId val="215763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5856"/>
        <c:crosses val="autoZero"/>
        <c:auto val="1"/>
        <c:lblAlgn val="ctr"/>
        <c:lblOffset val="100"/>
      </c:catAx>
      <c:valAx>
        <c:axId val="215785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35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System Efficiency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73996068013712"/>
          <c:y val="0.1688147110718079"/>
          <c:w val="0.85316182646261074"/>
          <c:h val="0.67599295926615133"/>
        </c:manualLayout>
      </c:layout>
      <c:lineChart>
        <c:grouping val="standard"/>
        <c:ser>
          <c:idx val="0"/>
          <c:order val="0"/>
          <c:tx>
            <c:strRef>
              <c:f>'Growth 2010-2021'!$B$37</c:f>
              <c:strCache>
                <c:ptCount val="1"/>
                <c:pt idx="0">
                  <c:v>Energy System Efficiency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2010-2021'!$D$37:$M$37</c:f>
              <c:numCache>
                <c:formatCode>0%</c:formatCode>
                <c:ptCount val="10"/>
                <c:pt idx="0">
                  <c:v>0.61950167624117658</c:v>
                </c:pt>
                <c:pt idx="1">
                  <c:v>0.52788920797498629</c:v>
                </c:pt>
                <c:pt idx="2">
                  <c:v>0.54961832061068705</c:v>
                </c:pt>
                <c:pt idx="3">
                  <c:v>0.54821727601332571</c:v>
                </c:pt>
                <c:pt idx="4">
                  <c:v>0.58764568528359684</c:v>
                </c:pt>
                <c:pt idx="5">
                  <c:v>0.61676799250900227</c:v>
                </c:pt>
                <c:pt idx="6">
                  <c:v>0.59181503288403514</c:v>
                </c:pt>
                <c:pt idx="7">
                  <c:v>0.58309145372294902</c:v>
                </c:pt>
                <c:pt idx="8">
                  <c:v>0.61691076914647391</c:v>
                </c:pt>
                <c:pt idx="9">
                  <c:v>0.60286877976209063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0-4D54-B5CD-EEC6E1FEE7AF}"/>
            </c:ext>
          </c:extLst>
        </c:ser>
        <c:dLbls>
          <c:showVal val="1"/>
        </c:dLbls>
        <c:marker val="1"/>
        <c:axId val="218956928"/>
        <c:axId val="218958464"/>
      </c:lineChart>
      <c:catAx>
        <c:axId val="218956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8464"/>
        <c:crossesAt val="0"/>
        <c:auto val="1"/>
        <c:lblAlgn val="ctr"/>
        <c:lblOffset val="100"/>
      </c:catAx>
      <c:valAx>
        <c:axId val="218958464"/>
        <c:scaling>
          <c:orientation val="minMax"/>
          <c:min val="0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692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endParaRPr lang="en-US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13"/>
          <c:y val="0.19446028847109692"/>
          <c:w val="0.81824748163462813"/>
          <c:h val="0.67599295926615088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2-4D7E-B0AC-11136BA976DD}"/>
            </c:ext>
          </c:extLst>
        </c:ser>
        <c:dLbls>
          <c:showVal val="1"/>
        </c:dLbls>
        <c:axId val="218978944"/>
        <c:axId val="220074368"/>
      </c:barChart>
      <c:catAx>
        <c:axId val="218978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4368"/>
        <c:crosses val="autoZero"/>
        <c:auto val="1"/>
        <c:lblAlgn val="ctr"/>
        <c:lblOffset val="100"/>
      </c:catAx>
      <c:valAx>
        <c:axId val="220074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89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Growth Indexes for</a:t>
            </a:r>
            <a:r>
              <a:rPr lang="en-US" sz="1600" baseline="0"/>
              <a:t> GDP and PEC</a:t>
            </a:r>
            <a:endParaRPr lang="en-US" sz="160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168482519415138"/>
          <c:y val="0.1688147110718079"/>
          <c:w val="0.59470114364658921"/>
          <c:h val="0.70186765655657024"/>
        </c:manualLayout>
      </c:layout>
      <c:lineChart>
        <c:grouping val="standard"/>
        <c:ser>
          <c:idx val="0"/>
          <c:order val="0"/>
          <c:tx>
            <c:strRef>
              <c:f>'Growth 2010-2021'!$B$10</c:f>
              <c:strCache>
                <c:ptCount val="1"/>
                <c:pt idx="0">
                  <c:v>Growth Index for Real GDP at const prices 2006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2010-2021'!$D$10:$M$10</c:f>
              <c:numCache>
                <c:formatCode>0%</c:formatCode>
                <c:ptCount val="10"/>
                <c:pt idx="4">
                  <c:v>1</c:v>
                </c:pt>
                <c:pt idx="5">
                  <c:v>1.0563658977838082</c:v>
                </c:pt>
                <c:pt idx="6">
                  <c:v>1.1129014020805066</c:v>
                </c:pt>
                <c:pt idx="7">
                  <c:v>1.1630936227951152</c:v>
                </c:pt>
                <c:pt idx="8">
                  <c:v>1.2002996381727726</c:v>
                </c:pt>
                <c:pt idx="9">
                  <c:v>1.2373586612392584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A-446A-94E4-DDA7296CAD56}"/>
            </c:ext>
          </c:extLst>
        </c:ser>
        <c:ser>
          <c:idx val="1"/>
          <c:order val="1"/>
          <c:tx>
            <c:strRef>
              <c:f>'Growth 2010-2021'!$B$21</c:f>
              <c:strCache>
                <c:ptCount val="1"/>
                <c:pt idx="0">
                  <c:v>Growth Index for PEC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2010-2021'!$D$21:$M$21</c:f>
              <c:numCache>
                <c:formatCode>0%</c:formatCode>
                <c:ptCount val="10"/>
                <c:pt idx="4">
                  <c:v>1</c:v>
                </c:pt>
                <c:pt idx="5">
                  <c:v>1.051271955031001</c:v>
                </c:pt>
                <c:pt idx="6">
                  <c:v>1.1346695870072832</c:v>
                </c:pt>
                <c:pt idx="7">
                  <c:v>1.1840118589377044</c:v>
                </c:pt>
                <c:pt idx="8">
                  <c:v>1.1778102367299907</c:v>
                </c:pt>
                <c:pt idx="9">
                  <c:v>1.2961517792313764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A-446A-94E4-DDA7296CAD56}"/>
            </c:ext>
          </c:extLst>
        </c:ser>
        <c:ser>
          <c:idx val="2"/>
          <c:order val="2"/>
          <c:tx>
            <c:strRef>
              <c:f>'Growth 2010-2021'!$B$11</c:f>
              <c:strCache>
                <c:ptCount val="1"/>
                <c:pt idx="0">
                  <c:v>Growth Index for Population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2010-2021'!$D$11:$M$11</c:f>
              <c:numCache>
                <c:formatCode>0%</c:formatCode>
                <c:ptCount val="10"/>
                <c:pt idx="4">
                  <c:v>1</c:v>
                </c:pt>
                <c:pt idx="5">
                  <c:v>1.0225484079291587</c:v>
                </c:pt>
                <c:pt idx="6">
                  <c:v>1.0363182609266739</c:v>
                </c:pt>
                <c:pt idx="7">
                  <c:v>1.0490810976477414</c:v>
                </c:pt>
                <c:pt idx="8">
                  <c:v>1.0617454219069824</c:v>
                </c:pt>
                <c:pt idx="9">
                  <c:v>1.0685865650893727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AA-446A-94E4-DDA7296CAD56}"/>
            </c:ext>
          </c:extLst>
        </c:ser>
        <c:dLbls>
          <c:showVal val="1"/>
        </c:dLbls>
        <c:marker val="1"/>
        <c:axId val="220097152"/>
        <c:axId val="220107136"/>
      </c:lineChart>
      <c:catAx>
        <c:axId val="220097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7136"/>
        <c:crosses val="autoZero"/>
        <c:auto val="1"/>
        <c:lblAlgn val="ctr"/>
        <c:lblOffset val="100"/>
      </c:catAx>
      <c:valAx>
        <c:axId val="220107136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71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8699163722949"/>
          <c:y val="0.38738574942038323"/>
          <c:w val="0.25911304437336125"/>
          <c:h val="0.40190145753000051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perspective val="30"/>
    </c:view3D>
    <c:plotArea>
      <c:layout/>
      <c:pie3DChart>
        <c:varyColors val="1"/>
        <c:ser>
          <c:idx val="1"/>
          <c:order val="0"/>
          <c:tx>
            <c:strRef>
              <c:f>'Growth 2010-2021'!$B$239</c:f>
              <c:strCache>
                <c:ptCount val="1"/>
                <c:pt idx="0">
                  <c:v>TOTAL VENTILATED FEC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2010-2021'!$B$241:$B$245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2010-2021'!$L$241:$L$245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F-443F-8759-DDD058949BD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gradFill flip="none" rotWithShape="1">
      <a:gsLst>
        <a:gs pos="0">
          <a:srgbClr val="1F497D">
            <a:lumMod val="40000"/>
            <a:lumOff val="60000"/>
            <a:tint val="66000"/>
            <a:satMod val="160000"/>
          </a:srgbClr>
        </a:gs>
        <a:gs pos="50000">
          <a:srgbClr val="1F497D">
            <a:lumMod val="40000"/>
            <a:lumOff val="60000"/>
            <a:tint val="44500"/>
            <a:satMod val="160000"/>
          </a:srgbClr>
        </a:gs>
        <a:gs pos="100000">
          <a:srgbClr val="1F497D">
            <a:lumMod val="40000"/>
            <a:lumOff val="60000"/>
            <a:tint val="23500"/>
            <a:satMod val="160000"/>
          </a:srgbClr>
        </a:gs>
      </a:gsLst>
      <a:lin ang="16200000" scaled="1"/>
      <a:tileRect/>
    </a:gradFill>
    <a:ln w="3175">
      <a:solidFill>
        <a:srgbClr val="00B0F0"/>
      </a:solidFill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64-4B58-8974-03DB51E1C089}"/>
            </c:ext>
          </c:extLst>
        </c:ser>
        <c:marker val="1"/>
        <c:axId val="153190400"/>
        <c:axId val="153191936"/>
      </c:lineChart>
      <c:catAx>
        <c:axId val="153190400"/>
        <c:scaling>
          <c:orientation val="minMax"/>
        </c:scaling>
        <c:axPos val="b"/>
        <c:numFmt formatCode="General" sourceLinked="1"/>
        <c:tickLblPos val="nextTo"/>
        <c:crossAx val="153191936"/>
        <c:crosses val="autoZero"/>
        <c:auto val="1"/>
        <c:lblAlgn val="ctr"/>
        <c:lblOffset val="100"/>
      </c:catAx>
      <c:valAx>
        <c:axId val="1531919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53190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6492096413528"/>
          <c:y val="0.16881461516195151"/>
          <c:w val="0.68149852612802264"/>
          <c:h val="0.67599295926615133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2010-2021'!$B$232</c:f>
              <c:strCache>
                <c:ptCount val="1"/>
                <c:pt idx="0">
                  <c:v>ROAD TRANSPORTS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2010-2021'!$D$232:$M$232</c:f>
              <c:numCache>
                <c:formatCode>_(* #,##0_);_(* \(#,##0\);_(* "-"??_);_(@_)</c:formatCode>
                <c:ptCount val="10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98-427E-8E23-117E480EA566}"/>
            </c:ext>
          </c:extLst>
        </c:ser>
        <c:ser>
          <c:idx val="2"/>
          <c:order val="1"/>
          <c:tx>
            <c:strRef>
              <c:f>'Growth 2010-2021'!$B$233</c:f>
              <c:strCache>
                <c:ptCount val="1"/>
                <c:pt idx="0">
                  <c:v>MARINE TRANSPORTS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2010-2021'!$D$233:$M$233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98-427E-8E23-117E480EA566}"/>
            </c:ext>
          </c:extLst>
        </c:ser>
        <c:ser>
          <c:idx val="6"/>
          <c:order val="2"/>
          <c:tx>
            <c:strRef>
              <c:f>'Growth 2010-2021'!$B$234</c:f>
              <c:strCache>
                <c:ptCount val="1"/>
                <c:pt idx="0">
                  <c:v>AIR TRANSPORTS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2010-2021'!$D$234:$M$234</c:f>
              <c:numCache>
                <c:formatCode>_(* #,##0_);_(* \(#,##0\);_(* "-"??_);_(@_)</c:formatCode>
                <c:ptCount val="10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98-427E-8E23-117E480EA566}"/>
            </c:ext>
          </c:extLst>
        </c:ser>
        <c:ser>
          <c:idx val="3"/>
          <c:order val="3"/>
          <c:tx>
            <c:strRef>
              <c:f>'Growth 2010-2021'!$B$235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2010-2021'!$D$235:$M$235</c:f>
              <c:numCache>
                <c:formatCode>_(* #,##0_);_(* \(#,##0\);_(* "-"??_);_(@_)</c:formatCode>
                <c:ptCount val="10"/>
                <c:pt idx="0">
                  <c:v>17110.886990730512</c:v>
                </c:pt>
                <c:pt idx="1">
                  <c:v>19371.180619589672</c:v>
                </c:pt>
                <c:pt idx="2">
                  <c:v>21852.808593136244</c:v>
                </c:pt>
                <c:pt idx="3">
                  <c:v>22936.965675543728</c:v>
                </c:pt>
                <c:pt idx="4">
                  <c:v>23090.318841064058</c:v>
                </c:pt>
                <c:pt idx="5">
                  <c:v>23518.539751659115</c:v>
                </c:pt>
                <c:pt idx="6">
                  <c:v>25597.979844665027</c:v>
                </c:pt>
                <c:pt idx="7">
                  <c:v>26362.867338859691</c:v>
                </c:pt>
                <c:pt idx="8">
                  <c:v>25915.948818060002</c:v>
                </c:pt>
                <c:pt idx="9">
                  <c:v>27071.026454939638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98-427E-8E23-117E480EA566}"/>
            </c:ext>
          </c:extLst>
        </c:ser>
        <c:ser>
          <c:idx val="4"/>
          <c:order val="4"/>
          <c:tx>
            <c:strRef>
              <c:f>'Growth 2010-2021'!$B$236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2010-2021'!$D$236:$M$236</c:f>
              <c:numCache>
                <c:formatCode>_(* #,##0_);_(* \(#,##0\);_(* "-"??_);_(@_)</c:formatCode>
                <c:ptCount val="10"/>
                <c:pt idx="0">
                  <c:v>10598.66251181738</c:v>
                </c:pt>
                <c:pt idx="1">
                  <c:v>10817.909199454303</c:v>
                </c:pt>
                <c:pt idx="2">
                  <c:v>10749.891869465941</c:v>
                </c:pt>
                <c:pt idx="3">
                  <c:v>11077.921350898836</c:v>
                </c:pt>
                <c:pt idx="4">
                  <c:v>11545.412569889861</c:v>
                </c:pt>
                <c:pt idx="5">
                  <c:v>12056.801076128777</c:v>
                </c:pt>
                <c:pt idx="6">
                  <c:v>13306.574930656432</c:v>
                </c:pt>
                <c:pt idx="7">
                  <c:v>14069.97003849529</c:v>
                </c:pt>
                <c:pt idx="8">
                  <c:v>14812.329888146338</c:v>
                </c:pt>
                <c:pt idx="9">
                  <c:v>15624.339866096292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98-427E-8E23-117E480EA566}"/>
            </c:ext>
          </c:extLst>
        </c:ser>
        <c:ser>
          <c:idx val="1"/>
          <c:order val="5"/>
          <c:tx>
            <c:strRef>
              <c:f>'Growth 2010-2021'!$B$237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2010-2021'!$D$237:$M$237</c:f>
              <c:numCache>
                <c:formatCode>_(* #,##0_);_(* \(#,##0\);_(* "-"??_);_(@_)</c:formatCode>
                <c:ptCount val="10"/>
                <c:pt idx="0">
                  <c:v>9021.94400632</c:v>
                </c:pt>
                <c:pt idx="1">
                  <c:v>9585.94524972</c:v>
                </c:pt>
                <c:pt idx="2">
                  <c:v>10649.729988539999</c:v>
                </c:pt>
                <c:pt idx="3">
                  <c:v>11173.864590159999</c:v>
                </c:pt>
                <c:pt idx="4">
                  <c:v>11762.615427999999</c:v>
                </c:pt>
                <c:pt idx="5">
                  <c:v>12353.994617259999</c:v>
                </c:pt>
                <c:pt idx="6">
                  <c:v>13302.976467266799</c:v>
                </c:pt>
                <c:pt idx="7">
                  <c:v>13632.613267266399</c:v>
                </c:pt>
                <c:pt idx="8">
                  <c:v>13683.315337208</c:v>
                </c:pt>
                <c:pt idx="9">
                  <c:v>13585.442844110999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98-427E-8E23-117E480EA566}"/>
            </c:ext>
          </c:extLst>
        </c:ser>
        <c:ser>
          <c:idx val="5"/>
          <c:order val="6"/>
          <c:tx>
            <c:strRef>
              <c:f>'Growth 2010-2021'!$B$238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2010-2021'!$D$238:$M$238</c:f>
              <c:numCache>
                <c:formatCode>_(* #,##0_);_(* \(#,##0\);_(* "-"??_);_(@_)</c:formatCode>
                <c:ptCount val="10"/>
                <c:pt idx="0">
                  <c:v>1482.1594894935001</c:v>
                </c:pt>
                <c:pt idx="1">
                  <c:v>1463.4576562499999</c:v>
                </c:pt>
                <c:pt idx="2">
                  <c:v>1525.4306123287497</c:v>
                </c:pt>
                <c:pt idx="3">
                  <c:v>1585.7052539849999</c:v>
                </c:pt>
                <c:pt idx="4">
                  <c:v>1641.7306277932496</c:v>
                </c:pt>
                <c:pt idx="5">
                  <c:v>1780.1263898637951</c:v>
                </c:pt>
                <c:pt idx="6">
                  <c:v>1915.5184386950457</c:v>
                </c:pt>
                <c:pt idx="7">
                  <c:v>2020.7215142210455</c:v>
                </c:pt>
                <c:pt idx="8">
                  <c:v>2078.4364794200455</c:v>
                </c:pt>
                <c:pt idx="9">
                  <c:v>2268.3832148812494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98-427E-8E23-117E480EA566}"/>
            </c:ext>
          </c:extLst>
        </c:ser>
        <c:overlap val="100"/>
        <c:axId val="223766400"/>
        <c:axId val="223767936"/>
      </c:barChart>
      <c:catAx>
        <c:axId val="223766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936"/>
        <c:crosses val="autoZero"/>
        <c:auto val="1"/>
        <c:lblAlgn val="ctr"/>
        <c:lblOffset val="100"/>
      </c:catAx>
      <c:valAx>
        <c:axId val="22376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64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Domestic</a:t>
            </a:r>
            <a:r>
              <a:rPr lang="en-US" baseline="0"/>
              <a:t> Demand of Petroleum Fuel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6492096413535"/>
          <c:y val="0.16881461516195151"/>
          <c:w val="0.65326317739694306"/>
          <c:h val="0.675992959266151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2010-2021'!$B$117</c:f>
              <c:strCache>
                <c:ptCount val="1"/>
                <c:pt idx="0">
                  <c:v>Total Domestic Demand for FUEL OIL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2010-2021'!$D$117:$M$117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2-4B0A-8957-6A340ED78F7A}"/>
            </c:ext>
          </c:extLst>
        </c:ser>
        <c:ser>
          <c:idx val="1"/>
          <c:order val="1"/>
          <c:tx>
            <c:strRef>
              <c:f>'Growth 2010-2021'!$B$118</c:f>
              <c:strCache>
                <c:ptCount val="1"/>
                <c:pt idx="0">
                  <c:v>Total Domestic Demand for GASOIL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2010-2021'!$D$118:$M$118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2-4B0A-8957-6A340ED78F7A}"/>
            </c:ext>
          </c:extLst>
        </c:ser>
        <c:ser>
          <c:idx val="2"/>
          <c:order val="2"/>
          <c:tx>
            <c:strRef>
              <c:f>'Growth 2010-2021'!$B$119</c:f>
              <c:strCache>
                <c:ptCount val="1"/>
                <c:pt idx="0">
                  <c:v>Total Domestic Demand for GASOLINE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2010-2021'!$D$119:$M$119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C2-4B0A-8957-6A340ED78F7A}"/>
            </c:ext>
          </c:extLst>
        </c:ser>
        <c:ser>
          <c:idx val="3"/>
          <c:order val="3"/>
          <c:tx>
            <c:strRef>
              <c:f>'Growth 2010-2021'!$B$120</c:f>
              <c:strCache>
                <c:ptCount val="1"/>
                <c:pt idx="0">
                  <c:v>Total Domestic Demand for LPG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2010-2021'!$D$120:$M$120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4513</c:v>
                </c:pt>
                <c:pt idx="5">
                  <c:v>4566.43</c:v>
                </c:pt>
                <c:pt idx="6">
                  <c:v>4642.1379999999999</c:v>
                </c:pt>
                <c:pt idx="7">
                  <c:v>4812.9189999999999</c:v>
                </c:pt>
                <c:pt idx="8">
                  <c:v>5007.03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C2-4B0A-8957-6A340ED78F7A}"/>
            </c:ext>
          </c:extLst>
        </c:ser>
        <c:ser>
          <c:idx val="4"/>
          <c:order val="4"/>
          <c:tx>
            <c:strRef>
              <c:f>'Growth 2010-2021'!$B$121</c:f>
              <c:strCache>
                <c:ptCount val="1"/>
                <c:pt idx="0">
                  <c:v>Total Domestic Demand for JET A-1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2010-2021'!$D$121:$M$121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C2-4B0A-8957-6A340ED78F7A}"/>
            </c:ext>
          </c:extLst>
        </c:ser>
        <c:ser>
          <c:idx val="5"/>
          <c:order val="5"/>
          <c:tx>
            <c:strRef>
              <c:f>'Growth 2010-2021'!$B$122</c:f>
              <c:strCache>
                <c:ptCount val="1"/>
                <c:pt idx="0">
                  <c:v>Total Domestic Demand for Kerosene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2010-2021'!$D$122:$M$122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97.22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C2-4B0A-8957-6A340ED78F7A}"/>
            </c:ext>
          </c:extLst>
        </c:ser>
        <c:ser>
          <c:idx val="6"/>
          <c:order val="6"/>
          <c:tx>
            <c:strRef>
              <c:f>'Growth 2010-2021'!$B$123</c:f>
              <c:strCache>
                <c:ptCount val="1"/>
                <c:pt idx="0">
                  <c:v>Total Domestic Demand for AVGAS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2010-2021'!$D$123:$M$123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C2-4B0A-8957-6A340ED78F7A}"/>
            </c:ext>
          </c:extLst>
        </c:ser>
        <c:overlap val="100"/>
        <c:axId val="230185984"/>
        <c:axId val="230195968"/>
      </c:barChart>
      <c:catAx>
        <c:axId val="230185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95968"/>
        <c:crosses val="autoZero"/>
        <c:auto val="1"/>
        <c:lblAlgn val="ctr"/>
        <c:lblOffset val="100"/>
      </c:catAx>
      <c:valAx>
        <c:axId val="230195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859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Primary vs. Final Energy Consumption</a:t>
            </a:r>
            <a:endParaRPr lang="en-US" sz="14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156711673623025"/>
          <c:y val="0.16394342942869186"/>
          <c:w val="0.76190707045916384"/>
          <c:h val="0.70650979139928893"/>
        </c:manualLayout>
      </c:layout>
      <c:barChart>
        <c:barDir val="col"/>
        <c:grouping val="clustered"/>
        <c:ser>
          <c:idx val="1"/>
          <c:order val="0"/>
          <c:tx>
            <c:strRef>
              <c:f>'Growth 2010-2021'!$B$13</c:f>
              <c:strCache>
                <c:ptCount val="1"/>
                <c:pt idx="0">
                  <c:v>PEC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2B-4C75-911B-3CCC2503B66A}"/>
            </c:ext>
          </c:extLst>
        </c:ser>
        <c:ser>
          <c:idx val="0"/>
          <c:order val="1"/>
          <c:tx>
            <c:strRef>
              <c:f>'Growth 2010-2021'!$B$23</c:f>
              <c:strCache>
                <c:ptCount val="1"/>
                <c:pt idx="0">
                  <c:v>FEC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2B-4C75-911B-3CCC2503B66A}"/>
            </c:ext>
          </c:extLst>
        </c:ser>
        <c:dLbls>
          <c:showVal val="1"/>
        </c:dLbls>
        <c:axId val="234561536"/>
        <c:axId val="234563072"/>
      </c:barChart>
      <c:catAx>
        <c:axId val="234561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63072"/>
        <c:crosses val="autoZero"/>
        <c:auto val="1"/>
        <c:lblAlgn val="ctr"/>
        <c:lblOffset val="100"/>
      </c:catAx>
      <c:valAx>
        <c:axId val="234563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6153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4150184432459"/>
          <c:y val="0.43868517821876912"/>
          <c:w val="9.0346501770353096E-2"/>
          <c:h val="0.27521325031417859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2010-2021'!$D$148:$O$148</c:f>
              <c:numCache>
                <c:formatCode>_(* #,##0_);_(* \(#,##0\);_(* "-"??_);_(@_)</c:formatCode>
                <c:ptCount val="12"/>
                <c:pt idx="0">
                  <c:v>14707.572450376498</c:v>
                </c:pt>
                <c:pt idx="1">
                  <c:v>12857.701499999999</c:v>
                </c:pt>
                <c:pt idx="2">
                  <c:v>12575.173971746246</c:v>
                </c:pt>
                <c:pt idx="3">
                  <c:v>12479.345656964999</c:v>
                </c:pt>
                <c:pt idx="4">
                  <c:v>12027.897578980837</c:v>
                </c:pt>
                <c:pt idx="5">
                  <c:v>13226.584930821198</c:v>
                </c:pt>
                <c:pt idx="6">
                  <c:v>14368.201731114958</c:v>
                </c:pt>
                <c:pt idx="7">
                  <c:v>14936.22803860895</c:v>
                </c:pt>
                <c:pt idx="8">
                  <c:v>14601.980249889959</c:v>
                </c:pt>
                <c:pt idx="9">
                  <c:v>15096.233107743747</c:v>
                </c:pt>
                <c:pt idx="10">
                  <c:v>14446.478249999998</c:v>
                </c:pt>
                <c:pt idx="11">
                  <c:v>12899.101499999999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C-43AB-971C-6C42F7FED4CE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2010-2021'!$D$149:$O$149</c:f>
              <c:numCache>
                <c:formatCode>_(* #,##0_);_(* \(#,##0\);_(* "-"??_);_(@_)</c:formatCode>
                <c:ptCount val="12"/>
                <c:pt idx="0">
                  <c:v>14943.208053210003</c:v>
                </c:pt>
                <c:pt idx="1">
                  <c:v>15801.358295249998</c:v>
                </c:pt>
                <c:pt idx="2">
                  <c:v>16058.788386150003</c:v>
                </c:pt>
                <c:pt idx="3">
                  <c:v>16507.899288199998</c:v>
                </c:pt>
                <c:pt idx="4">
                  <c:v>18769.940000000002</c:v>
                </c:pt>
                <c:pt idx="5">
                  <c:v>21106.658656840002</c:v>
                </c:pt>
                <c:pt idx="6">
                  <c:v>21736.54924</c:v>
                </c:pt>
                <c:pt idx="7">
                  <c:v>24305.282732489999</c:v>
                </c:pt>
                <c:pt idx="8">
                  <c:v>24304.190664810001</c:v>
                </c:pt>
                <c:pt idx="9">
                  <c:v>25479.91</c:v>
                </c:pt>
                <c:pt idx="10">
                  <c:v>23230.77</c:v>
                </c:pt>
                <c:pt idx="11">
                  <c:v>22669.02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AC-43AB-971C-6C42F7FED4CE}"/>
            </c:ext>
          </c:extLst>
        </c:ser>
        <c:dLbls>
          <c:showVal val="1"/>
        </c:dLbls>
        <c:gapWidth val="55"/>
        <c:overlap val="100"/>
        <c:axId val="234492288"/>
        <c:axId val="234493824"/>
      </c:barChart>
      <c:catAx>
        <c:axId val="234492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3824"/>
        <c:crosses val="autoZero"/>
        <c:auto val="1"/>
        <c:lblAlgn val="ctr"/>
        <c:lblOffset val="100"/>
      </c:catAx>
      <c:valAx>
        <c:axId val="23449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22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2010-2021'!$D$152:$O$152</c:f>
              <c:numCache>
                <c:formatCode>_(* #,##0.0_);_(* \(#,##0.0\);_(* "-"??_);_(@_)</c:formatCode>
                <c:ptCount val="12"/>
                <c:pt idx="0">
                  <c:v>14.707572450376498</c:v>
                </c:pt>
                <c:pt idx="1">
                  <c:v>12.857701499999999</c:v>
                </c:pt>
                <c:pt idx="2">
                  <c:v>12.575173971746246</c:v>
                </c:pt>
                <c:pt idx="3">
                  <c:v>12.479345656964998</c:v>
                </c:pt>
                <c:pt idx="4">
                  <c:v>12.027897578980838</c:v>
                </c:pt>
                <c:pt idx="5">
                  <c:v>13.226584930821199</c:v>
                </c:pt>
                <c:pt idx="6">
                  <c:v>14.368201731114958</c:v>
                </c:pt>
                <c:pt idx="7">
                  <c:v>14.936228038608949</c:v>
                </c:pt>
                <c:pt idx="8">
                  <c:v>14.601980249889959</c:v>
                </c:pt>
                <c:pt idx="9">
                  <c:v>15.096233107743746</c:v>
                </c:pt>
                <c:pt idx="10">
                  <c:v>14.446478249999998</c:v>
                </c:pt>
                <c:pt idx="11">
                  <c:v>12.899101499999999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2-43B0-B313-F84A79C84264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2010-2021'!$D$153:$O$153</c:f>
              <c:numCache>
                <c:formatCode>_(* #,##0.0_);_(* \(#,##0.0\);_(* "-"??_);_(@_)</c:formatCode>
                <c:ptCount val="12"/>
                <c:pt idx="0">
                  <c:v>14.943208053210002</c:v>
                </c:pt>
                <c:pt idx="1">
                  <c:v>15.801358295249999</c:v>
                </c:pt>
                <c:pt idx="2">
                  <c:v>16.058788386150002</c:v>
                </c:pt>
                <c:pt idx="3">
                  <c:v>16.507899288199997</c:v>
                </c:pt>
                <c:pt idx="4">
                  <c:v>18.769940000000002</c:v>
                </c:pt>
                <c:pt idx="5">
                  <c:v>21.106658656840001</c:v>
                </c:pt>
                <c:pt idx="6">
                  <c:v>21.736549239999999</c:v>
                </c:pt>
                <c:pt idx="7">
                  <c:v>24.305282732489999</c:v>
                </c:pt>
                <c:pt idx="8">
                  <c:v>24.304190664810001</c:v>
                </c:pt>
                <c:pt idx="9">
                  <c:v>25.47991</c:v>
                </c:pt>
                <c:pt idx="10">
                  <c:v>23.23077</c:v>
                </c:pt>
                <c:pt idx="11">
                  <c:v>22.66902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02-43B0-B313-F84A79C84264}"/>
            </c:ext>
          </c:extLst>
        </c:ser>
        <c:dLbls>
          <c:showVal val="1"/>
        </c:dLbls>
        <c:gapWidth val="55"/>
        <c:overlap val="100"/>
        <c:axId val="237834240"/>
        <c:axId val="237835776"/>
      </c:barChart>
      <c:catAx>
        <c:axId val="237834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35776"/>
        <c:crosses val="autoZero"/>
        <c:auto val="1"/>
        <c:lblAlgn val="ctr"/>
        <c:lblOffset val="100"/>
      </c:catAx>
      <c:valAx>
        <c:axId val="23783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kTOE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3424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02"/>
          <c:y val="0.19446028847109681"/>
          <c:w val="0.67946179590004752"/>
          <c:h val="0.67599295926615066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2010-2021'!$A$142</c:f>
              <c:strCache>
                <c:ptCount val="1"/>
                <c:pt idx="0">
                  <c:v>ROAD TRANSPORT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2010-2021'!$D$150:$O$150</c:f>
              <c:numCache>
                <c:formatCode>_(* #,##0_);_(* \(#,##0\);_(* "-"??_);_(@_)</c:formatCode>
                <c:ptCount val="12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  <c:pt idx="10">
                  <c:v>37677.248249999997</c:v>
                </c:pt>
                <c:pt idx="11">
                  <c:v>35568.121500000001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14-4027-AD4C-BB77BECB6DBF}"/>
            </c:ext>
          </c:extLst>
        </c:ser>
        <c:ser>
          <c:idx val="1"/>
          <c:order val="1"/>
          <c:tx>
            <c:strRef>
              <c:f>'Growth 2010-2021'!$A$164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2010-2021'!$D$166:$O$166</c:f>
              <c:numCache>
                <c:formatCode>_(* #,##0_);_(* \(#,##0\);_(* "-"??_);_(@_)</c:formatCode>
                <c:ptCount val="12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  <c:pt idx="10">
                  <c:v>2470.5449999999996</c:v>
                </c:pt>
                <c:pt idx="11">
                  <c:v>2305.98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14-4027-AD4C-BB77BECB6DBF}"/>
            </c:ext>
          </c:extLst>
        </c:ser>
        <c:ser>
          <c:idx val="2"/>
          <c:order val="2"/>
          <c:tx>
            <c:strRef>
              <c:f>'Growth 2010-2021'!$A$160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2010-2021'!$D$162:$O$162</c:f>
              <c:numCache>
                <c:formatCode>_(* #,##0_);_(* \(#,##0\);_(* "-"??_);_(@_)</c:formatCode>
                <c:ptCount val="12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  <c:pt idx="10">
                  <c:v>1614.54</c:v>
                </c:pt>
                <c:pt idx="11">
                  <c:v>1870.1399999999999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14-4027-AD4C-BB77BECB6DBF}"/>
            </c:ext>
          </c:extLst>
        </c:ser>
        <c:overlap val="100"/>
        <c:axId val="239468544"/>
        <c:axId val="239470080"/>
      </c:barChart>
      <c:catAx>
        <c:axId val="239468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0080"/>
        <c:crosses val="autoZero"/>
        <c:auto val="1"/>
        <c:lblAlgn val="ctr"/>
        <c:lblOffset val="100"/>
      </c:catAx>
      <c:valAx>
        <c:axId val="239470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685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2010-2021'!$B$156</c:f>
              <c:strCache>
                <c:ptCount val="1"/>
                <c:pt idx="0">
                  <c:v>Gasoil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2010-2021'!$D$156:$O$156</c:f>
              <c:numCache>
                <c:formatCode>_-* #,##0.00_-;\-* #,##0.00_-;_-* "-"??_-;_-@_-</c:formatCode>
                <c:ptCount val="12"/>
                <c:pt idx="0">
                  <c:v>16.856719961921705</c:v>
                </c:pt>
                <c:pt idx="1">
                  <c:v>14.736536180308422</c:v>
                </c:pt>
                <c:pt idx="2">
                  <c:v>14.412724249999998</c:v>
                </c:pt>
                <c:pt idx="3">
                  <c:v>14.302892999999999</c:v>
                </c:pt>
                <c:pt idx="4">
                  <c:v>13.785476964579962</c:v>
                </c:pt>
                <c:pt idx="5">
                  <c:v>15.159322789922349</c:v>
                </c:pt>
                <c:pt idx="6">
                  <c:v>16.467758615841696</c:v>
                </c:pt>
                <c:pt idx="7">
                  <c:v>17.118787902199934</c:v>
                </c:pt>
                <c:pt idx="8">
                  <c:v>16.735698076102672</c:v>
                </c:pt>
                <c:pt idx="9">
                  <c:v>17.302173749999998</c:v>
                </c:pt>
                <c:pt idx="10">
                  <c:v>16.55747330960854</c:v>
                </c:pt>
                <c:pt idx="11">
                  <c:v>14.783985765124555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8-4C2F-A561-97EFC0428B8D}"/>
            </c:ext>
          </c:extLst>
        </c:ser>
        <c:ser>
          <c:idx val="2"/>
          <c:order val="1"/>
          <c:tx>
            <c:strRef>
              <c:f>'Growth 2010-2021'!$B$157</c:f>
              <c:strCache>
                <c:ptCount val="1"/>
                <c:pt idx="0">
                  <c:v>Gasoline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2010-2021'!$D$157:$O$157</c:f>
              <c:numCache>
                <c:formatCode>_-* #,##0.00_-;\-* #,##0.00_-;_-* "-"??_-;_-@_-</c:formatCode>
                <c:ptCount val="12"/>
                <c:pt idx="0">
                  <c:v>19.209924350756538</c:v>
                </c:pt>
                <c:pt idx="1">
                  <c:v>20.313101203576338</c:v>
                </c:pt>
                <c:pt idx="2">
                  <c:v>20.644035000000002</c:v>
                </c:pt>
                <c:pt idx="3">
                  <c:v>21.221379999999996</c:v>
                </c:pt>
                <c:pt idx="4">
                  <c:v>24.129298486932598</c:v>
                </c:pt>
                <c:pt idx="5">
                  <c:v>27.133217623108667</c:v>
                </c:pt>
                <c:pt idx="6">
                  <c:v>27.942960110041266</c:v>
                </c:pt>
                <c:pt idx="7">
                  <c:v>31.245140999999997</c:v>
                </c:pt>
                <c:pt idx="8">
                  <c:v>31.243737115543333</c:v>
                </c:pt>
                <c:pt idx="9">
                  <c:v>32.755158184319122</c:v>
                </c:pt>
                <c:pt idx="10">
                  <c:v>29.86382393397524</c:v>
                </c:pt>
                <c:pt idx="11">
                  <c:v>29.141678129298487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8-4C2F-A561-97EFC0428B8D}"/>
            </c:ext>
          </c:extLst>
        </c:ser>
        <c:marker val="1"/>
        <c:axId val="237874176"/>
        <c:axId val="239502080"/>
      </c:lineChart>
      <c:catAx>
        <c:axId val="2378741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2080"/>
        <c:crosses val="autoZero"/>
        <c:auto val="1"/>
        <c:lblAlgn val="ctr"/>
        <c:lblOffset val="100"/>
      </c:catAx>
      <c:valAx>
        <c:axId val="239502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Litres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7417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Fuel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13"/>
          <c:y val="0.19446028847109692"/>
          <c:w val="0.67946179590004752"/>
          <c:h val="0.67599295926615088"/>
        </c:manualLayout>
      </c:layout>
      <c:barChart>
        <c:barDir val="col"/>
        <c:grouping val="stacked"/>
        <c:ser>
          <c:idx val="2"/>
          <c:order val="0"/>
          <c:tx>
            <c:strRef>
              <c:f>'Growth 2010-2021'!$B$146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solidFill>
              <a:schemeClr val="accent3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2010-2021'!$D$146:$O$146</c:f>
              <c:numCache>
                <c:formatCode>_(* #,##0_);_(* \(#,##0\);_(* "-"??_);_(@_)</c:formatCode>
                <c:ptCount val="12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  <c:pt idx="10">
                  <c:v>21711</c:v>
                </c:pt>
                <c:pt idx="11">
                  <c:v>21186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AA-4CC0-8E43-C5C8DD75D46D}"/>
            </c:ext>
          </c:extLst>
        </c:ser>
        <c:ser>
          <c:idx val="1"/>
          <c:order val="1"/>
          <c:tx>
            <c:strRef>
              <c:f>'Growth 2010-2021'!$B$144</c:f>
              <c:strCache>
                <c:ptCount val="1"/>
                <c:pt idx="0">
                  <c:v>Gasoil used by road vehicles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2010-2021'!$D$144:$O$144</c:f>
              <c:numCache>
                <c:formatCode>_(* #,##0_);_(* \(#,##0\);_(* "-"??_);_(@_)</c:formatCode>
                <c:ptCount val="12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  <c:pt idx="9">
                  <c:v>12410.792471249997</c:v>
                </c:pt>
                <c:pt idx="10">
                  <c:v>11913.949999999999</c:v>
                </c:pt>
                <c:pt idx="11">
                  <c:v>10527.9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AA-4CC0-8E43-C5C8DD75D46D}"/>
            </c:ext>
          </c:extLst>
        </c:ser>
        <c:ser>
          <c:idx val="0"/>
          <c:order val="2"/>
          <c:tx>
            <c:strRef>
              <c:f>'Growth 2010-2021'!$B$143</c:f>
              <c:strCache>
                <c:ptCount val="1"/>
                <c:pt idx="0">
                  <c:v>Gasoil SPTC buses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2010-2021'!$D$143:$O$143</c:f>
              <c:numCache>
                <c:formatCode>_(* #,##0_);_(* \(#,##0\);_(* "-"??_);_(@_)</c:formatCode>
                <c:ptCount val="12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  <c:pt idx="9">
                  <c:v>2174.94</c:v>
                </c:pt>
                <c:pt idx="10">
                  <c:v>2044</c:v>
                </c:pt>
                <c:pt idx="11">
                  <c:v>1935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AA-4CC0-8E43-C5C8DD75D46D}"/>
            </c:ext>
          </c:extLst>
        </c:ser>
        <c:overlap val="100"/>
        <c:axId val="243366912"/>
        <c:axId val="243376896"/>
      </c:barChart>
      <c:catAx>
        <c:axId val="243366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76896"/>
        <c:crosses val="autoZero"/>
        <c:auto val="1"/>
        <c:lblAlgn val="ctr"/>
        <c:lblOffset val="100"/>
      </c:catAx>
      <c:valAx>
        <c:axId val="243376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6691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5897966285813"/>
          <c:y val="0.4088082813770762"/>
          <c:w val="0.15292776135325092"/>
          <c:h val="0.33031028691719289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2010-2021'!$B$145</c:f>
              <c:strCache>
                <c:ptCount val="1"/>
                <c:pt idx="0">
                  <c:v>Total Gasoil used in Road Transp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2010-2021'!$D$145:$O$145</c:f>
              <c:numCache>
                <c:formatCode>_(* #,##0_);_(* \(#,##0\);_(* "-"??_);_(@_)</c:formatCode>
                <c:ptCount val="12"/>
                <c:pt idx="0">
                  <c:v>14210.214927899999</c:v>
                </c:pt>
                <c:pt idx="1">
                  <c:v>12422.9</c:v>
                </c:pt>
                <c:pt idx="2">
                  <c:v>12149.926542749998</c:v>
                </c:pt>
                <c:pt idx="3">
                  <c:v>12057.338798999999</c:v>
                </c:pt>
                <c:pt idx="4">
                  <c:v>11621.157081140907</c:v>
                </c:pt>
                <c:pt idx="5">
                  <c:v>12779.30911190454</c:v>
                </c:pt>
                <c:pt idx="6">
                  <c:v>13882.320513154549</c:v>
                </c:pt>
                <c:pt idx="7">
                  <c:v>14431.138201554542</c:v>
                </c:pt>
                <c:pt idx="8">
                  <c:v>14108.193478154551</c:v>
                </c:pt>
                <c:pt idx="9">
                  <c:v>14585.732471249998</c:v>
                </c:pt>
                <c:pt idx="10">
                  <c:v>13957.949999999999</c:v>
                </c:pt>
                <c:pt idx="11">
                  <c:v>12462.9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2010-2021'!$B$146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2010-2021'!$D$146:$O$146</c:f>
              <c:numCache>
                <c:formatCode>_(* #,##0_);_(* \(#,##0\);_(* "-"??_);_(@_)</c:formatCode>
                <c:ptCount val="12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  <c:pt idx="10">
                  <c:v>21711</c:v>
                </c:pt>
                <c:pt idx="11">
                  <c:v>21186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marker val="1"/>
        <c:axId val="245520640"/>
        <c:axId val="245526528"/>
      </c:lineChart>
      <c:catAx>
        <c:axId val="245520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6528"/>
        <c:crosses val="autoZero"/>
        <c:auto val="1"/>
        <c:lblAlgn val="ctr"/>
        <c:lblOffset val="100"/>
      </c:catAx>
      <c:valAx>
        <c:axId val="24552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064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Marine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2010-2021'!$A$164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2010-2021'!$D$166:$M$166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9-4432-BC93-481B5AE7E6E2}"/>
            </c:ext>
          </c:extLst>
        </c:ser>
        <c:overlap val="100"/>
        <c:axId val="245555584"/>
        <c:axId val="245557120"/>
      </c:barChart>
      <c:catAx>
        <c:axId val="245555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7120"/>
        <c:crosses val="autoZero"/>
        <c:auto val="1"/>
        <c:lblAlgn val="ctr"/>
        <c:lblOffset val="100"/>
      </c:catAx>
      <c:valAx>
        <c:axId val="245557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55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6910748947079729"/>
          <c:y val="4.418913307478356E-2"/>
          <c:w val="0.55267028830698484"/>
          <c:h val="0.85610279312100912"/>
        </c:manualLayout>
      </c:layout>
      <c:lineChart>
        <c:grouping val="standard"/>
        <c:ser>
          <c:idx val="1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3-4581-8429-868011E881B2}"/>
            </c:ext>
          </c:extLst>
        </c:ser>
        <c:ser>
          <c:idx val="0"/>
          <c:order val="1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2010-2021'!$D$24:$L$24</c:f>
              <c:numCache>
                <c:formatCode>_(* #,##0_);_(* \(#,##0\);_(* "-"??_);_(@_)</c:formatCode>
                <c:ptCount val="9"/>
                <c:pt idx="0">
                  <c:v>73546</c:v>
                </c:pt>
                <c:pt idx="1">
                  <c:v>70403</c:v>
                </c:pt>
                <c:pt idx="2">
                  <c:v>72000</c:v>
                </c:pt>
                <c:pt idx="3">
                  <c:v>77425</c:v>
                </c:pt>
                <c:pt idx="4">
                  <c:v>81187.600000000006</c:v>
                </c:pt>
                <c:pt idx="5">
                  <c:v>89580</c:v>
                </c:pt>
                <c:pt idx="6">
                  <c:v>92774.7</c:v>
                </c:pt>
                <c:pt idx="7">
                  <c:v>95382.1</c:v>
                </c:pt>
                <c:pt idx="8">
                  <c:v>100385.69446997551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3-4581-8429-868011E881B2}"/>
            </c:ext>
          </c:extLst>
        </c:ser>
        <c:marker val="1"/>
        <c:axId val="157506944"/>
        <c:axId val="157512832"/>
      </c:lineChart>
      <c:catAx>
        <c:axId val="157506944"/>
        <c:scaling>
          <c:orientation val="minMax"/>
        </c:scaling>
        <c:axPos val="b"/>
        <c:numFmt formatCode="General" sourceLinked="1"/>
        <c:tickLblPos val="nextTo"/>
        <c:crossAx val="157512832"/>
        <c:crosses val="autoZero"/>
        <c:auto val="1"/>
        <c:lblAlgn val="ctr"/>
        <c:lblOffset val="100"/>
      </c:catAx>
      <c:valAx>
        <c:axId val="157512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5750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05426356590877"/>
          <c:y val="0.18093187605280694"/>
          <c:w val="0.19553488372093294"/>
          <c:h val="0.59103474752221585"/>
        </c:manualLayout>
      </c:layout>
    </c:legend>
    <c:plotVisOnly val="1"/>
    <c:dispBlanksAs val="gap"/>
  </c:chart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Air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2010-2021'!$A$160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2010-2021'!$D$161:$O$161</c:f>
              <c:numCache>
                <c:formatCode>_(* #,##0_);_(* \(#,##0\);_(* "-"??_);_(@_)</c:formatCode>
                <c:ptCount val="12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  <c:pt idx="10">
                  <c:v>1516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7D-4BA7-BE8B-47A813D2C85B}"/>
            </c:ext>
          </c:extLst>
        </c:ser>
        <c:overlap val="100"/>
        <c:axId val="247166848"/>
        <c:axId val="247168384"/>
      </c:barChart>
      <c:catAx>
        <c:axId val="247166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68384"/>
        <c:crosses val="autoZero"/>
        <c:auto val="1"/>
        <c:lblAlgn val="ctr"/>
        <c:lblOffset val="100"/>
      </c:catAx>
      <c:valAx>
        <c:axId val="247168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6684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2010-2021'!$B$161</c:f>
              <c:strCache>
                <c:ptCount val="1"/>
                <c:pt idx="0">
                  <c:v>Domestic Air Jet A-1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2010-2021'!$D$161:$O$161</c:f>
              <c:numCache>
                <c:formatCode>_(* #,##0_);_(* \(#,##0\);_(* "-"??_);_(@_)</c:formatCode>
                <c:ptCount val="12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  <c:pt idx="10">
                  <c:v>1516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2010-2021'!$A$164</c:f>
              <c:strCache>
                <c:ptCount val="1"/>
                <c:pt idx="0">
                  <c:v>MARINE TRANSPORT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2010-2021'!$D$165:$O$165</c:f>
              <c:numCache>
                <c:formatCode>_(* #,##0_);_(* \(#,##0\);_(* "-"??_);_(@_)</c:formatCode>
                <c:ptCount val="12"/>
                <c:pt idx="0">
                  <c:v>2600</c:v>
                </c:pt>
                <c:pt idx="1">
                  <c:v>2696.1297388888888</c:v>
                </c:pt>
                <c:pt idx="2">
                  <c:v>2792.2594777777776</c:v>
                </c:pt>
                <c:pt idx="3">
                  <c:v>2888.3892166666665</c:v>
                </c:pt>
                <c:pt idx="4">
                  <c:v>3034.5189555555557</c:v>
                </c:pt>
                <c:pt idx="5">
                  <c:v>3178.2486944444445</c:v>
                </c:pt>
                <c:pt idx="6">
                  <c:v>3321.9784333333332</c:v>
                </c:pt>
                <c:pt idx="7">
                  <c:v>3465.7081722222229</c:v>
                </c:pt>
                <c:pt idx="8">
                  <c:v>3609.4379111111116</c:v>
                </c:pt>
                <c:pt idx="9">
                  <c:v>3753.1676499999994</c:v>
                </c:pt>
                <c:pt idx="10">
                  <c:v>2387</c:v>
                </c:pt>
                <c:pt idx="11">
                  <c:v>2228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marker val="1"/>
        <c:axId val="249389824"/>
        <c:axId val="249391360"/>
      </c:lineChart>
      <c:catAx>
        <c:axId val="2493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1360"/>
        <c:crosses val="autoZero"/>
        <c:auto val="1"/>
        <c:lblAlgn val="ctr"/>
        <c:lblOffset val="100"/>
      </c:catAx>
      <c:valAx>
        <c:axId val="24939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98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 of Domestic Consumers with PUC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44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2010-2021'!$D$61:$O$61</c:f>
              <c:numCache>
                <c:formatCode>#,##0</c:formatCode>
                <c:ptCount val="12"/>
                <c:pt idx="0">
                  <c:v>25906</c:v>
                </c:pt>
                <c:pt idx="1">
                  <c:v>26694</c:v>
                </c:pt>
                <c:pt idx="2">
                  <c:v>27476</c:v>
                </c:pt>
                <c:pt idx="3">
                  <c:v>28128</c:v>
                </c:pt>
                <c:pt idx="4">
                  <c:v>28727</c:v>
                </c:pt>
                <c:pt idx="5">
                  <c:v>29422</c:v>
                </c:pt>
                <c:pt idx="6">
                  <c:v>30386</c:v>
                </c:pt>
                <c:pt idx="7">
                  <c:v>31419</c:v>
                </c:pt>
                <c:pt idx="8">
                  <c:v>32278</c:v>
                </c:pt>
                <c:pt idx="9" formatCode="_-* #,##0_-;\-* #,##0_-;_-* &quot;-&quot;??_-;_-@_-">
                  <c:v>33156.254830082602</c:v>
                </c:pt>
                <c:pt idx="10" formatCode="_-* #,##0_-;\-* #,##0_-;_-* &quot;-&quot;??_-;_-@_-">
                  <c:v>34058.406170065551</c:v>
                </c:pt>
                <c:pt idx="11" formatCode="_-* #,##0_-;\-* #,##0_-;_-* &quot;-&quot;??_-;_-@_-">
                  <c:v>34985.10422210642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A2-452F-AD91-0B89483B4B16}"/>
            </c:ext>
          </c:extLst>
        </c:ser>
        <c:dLbls>
          <c:showVal val="1"/>
        </c:dLbls>
        <c:axId val="251087872"/>
        <c:axId val="251101952"/>
      </c:barChart>
      <c:catAx>
        <c:axId val="251087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01952"/>
        <c:crosses val="autoZero"/>
        <c:auto val="1"/>
        <c:lblAlgn val="ctr"/>
        <c:lblOffset val="100"/>
      </c:catAx>
      <c:valAx>
        <c:axId val="251101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787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1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2010-2021'!$B$133</c:f>
              <c:strCache>
                <c:ptCount val="1"/>
                <c:pt idx="0">
                  <c:v>Total Retail Sales for LPG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2010-2021'!$D$133:$O$133</c:f>
              <c:numCache>
                <c:formatCode>_(* #,##0_);_(* \(#,##0\);_(* "-"??_);_(@_)</c:formatCode>
                <c:ptCount val="12"/>
                <c:pt idx="0">
                  <c:v>3043.74</c:v>
                </c:pt>
                <c:pt idx="1">
                  <c:v>3066.2740000000003</c:v>
                </c:pt>
                <c:pt idx="2">
                  <c:v>2840.2640000000001</c:v>
                </c:pt>
                <c:pt idx="3">
                  <c:v>2914.4160000000002</c:v>
                </c:pt>
                <c:pt idx="4">
                  <c:v>2990.4822576000001</c:v>
                </c:pt>
                <c:pt idx="5">
                  <c:v>3068.5338445233601</c:v>
                </c:pt>
                <c:pt idx="6">
                  <c:v>3148.6225778654198</c:v>
                </c:pt>
                <c:pt idx="7">
                  <c:v>3230.8016271477072</c:v>
                </c:pt>
                <c:pt idx="8">
                  <c:v>3377.373</c:v>
                </c:pt>
                <c:pt idx="9">
                  <c:v>3465.3853960000006</c:v>
                </c:pt>
                <c:pt idx="10">
                  <c:v>3569</c:v>
                </c:pt>
                <c:pt idx="11">
                  <c:v>3492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B-4F9D-8FD7-2E74C915A61B}"/>
            </c:ext>
          </c:extLst>
        </c:ser>
        <c:dLbls>
          <c:showVal val="1"/>
        </c:dLbls>
        <c:axId val="251155200"/>
        <c:axId val="251156736"/>
      </c:barChart>
      <c:catAx>
        <c:axId val="251155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6736"/>
        <c:crosses val="autoZero"/>
        <c:auto val="1"/>
        <c:lblAlgn val="ctr"/>
        <c:lblOffset val="100"/>
      </c:catAx>
      <c:valAx>
        <c:axId val="251156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52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Residential </a:t>
            </a:r>
            <a:r>
              <a:rPr lang="en-US" sz="1400" baseline="0"/>
              <a:t>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13"/>
          <c:y val="0.19446028847109692"/>
          <c:w val="0.63697730097591632"/>
          <c:h val="0.67599295926615088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2010-2021'!$B$177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2010-2021'!$D$177:$O$177</c:f>
              <c:numCache>
                <c:formatCode>_(* #,##0_);_(* \(#,##0\);_(* "-"??_);_(@_)</c:formatCode>
                <c:ptCount val="12"/>
                <c:pt idx="0">
                  <c:v>7028.0060000000003</c:v>
                </c:pt>
                <c:pt idx="1">
                  <c:v>7227.8146159999997</c:v>
                </c:pt>
                <c:pt idx="2">
                  <c:v>7413.9543059999996</c:v>
                </c:pt>
                <c:pt idx="3">
                  <c:v>7655.8351540000012</c:v>
                </c:pt>
                <c:pt idx="4">
                  <c:v>8035.3525519999994</c:v>
                </c:pt>
                <c:pt idx="5">
                  <c:v>8458.1275200000018</c:v>
                </c:pt>
                <c:pt idx="6">
                  <c:v>9616.7433230799998</c:v>
                </c:pt>
                <c:pt idx="7">
                  <c:v>10285.6</c:v>
                </c:pt>
                <c:pt idx="8">
                  <c:v>10860.94</c:v>
                </c:pt>
                <c:pt idx="9">
                  <c:v>11572.186818239999</c:v>
                </c:pt>
                <c:pt idx="10">
                  <c:v>12125.544028</c:v>
                </c:pt>
                <c:pt idx="11">
                  <c:v>11932.101734000002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4B-4E11-A976-DCAB483F88C6}"/>
            </c:ext>
          </c:extLst>
        </c:ser>
        <c:ser>
          <c:idx val="1"/>
          <c:order val="1"/>
          <c:tx>
            <c:strRef>
              <c:f>'Growth 2010-2021'!$B$173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2010-2021'!$D$173:$O$173</c:f>
              <c:numCache>
                <c:formatCode>_(* #,##0_);_(* \(#,##0\);_(* "-"??_);_(@_)</c:formatCode>
                <c:ptCount val="12"/>
                <c:pt idx="0">
                  <c:v>3439.4261999999994</c:v>
                </c:pt>
                <c:pt idx="1">
                  <c:v>3464.8896199999999</c:v>
                </c:pt>
                <c:pt idx="2">
                  <c:v>3209.4983199999997</c:v>
                </c:pt>
                <c:pt idx="3">
                  <c:v>3293.2900799999998</c:v>
                </c:pt>
                <c:pt idx="4">
                  <c:v>3379.2449510879997</c:v>
                </c:pt>
                <c:pt idx="5">
                  <c:v>3467.4432443113965</c:v>
                </c:pt>
                <c:pt idx="6">
                  <c:v>3557.9435129879239</c:v>
                </c:pt>
                <c:pt idx="7">
                  <c:v>3650.8058386769089</c:v>
                </c:pt>
                <c:pt idx="8">
                  <c:v>3816.4314899999995</c:v>
                </c:pt>
                <c:pt idx="9">
                  <c:v>3915.8854974800001</c:v>
                </c:pt>
                <c:pt idx="10">
                  <c:v>4032.97</c:v>
                </c:pt>
                <c:pt idx="11">
                  <c:v>3945.9599999999996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4B-4E11-A976-DCAB483F88C6}"/>
            </c:ext>
          </c:extLst>
        </c:ser>
        <c:ser>
          <c:idx val="2"/>
          <c:order val="2"/>
          <c:tx>
            <c:strRef>
              <c:f>'Growth 2010-2021'!$B$174</c:f>
              <c:strCache>
                <c:ptCount val="1"/>
                <c:pt idx="0">
                  <c:v>Kerosene for cooking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2010-2021'!$D$174:$O$174</c:f>
              <c:numCache>
                <c:formatCode>_(* #,##0.0_);_(* \(#,##0.0\);_(* "-"??_);_(@_)</c:formatCode>
                <c:ptCount val="12"/>
                <c:pt idx="0">
                  <c:v>3.7035757220000001</c:v>
                </c:pt>
                <c:pt idx="1">
                  <c:v>3.5335286223243241</c:v>
                </c:pt>
                <c:pt idx="2">
                  <c:v>3.5683624150810811</c:v>
                </c:pt>
                <c:pt idx="3">
                  <c:v>3.6348779868648649</c:v>
                </c:pt>
                <c:pt idx="4">
                  <c:v>3.6918566965945945</c:v>
                </c:pt>
                <c:pt idx="5">
                  <c:v>3.7035757220000001</c:v>
                </c:pt>
                <c:pt idx="6">
                  <c:v>3.7221396366000001</c:v>
                </c:pt>
                <c:pt idx="7">
                  <c:v>3.7694426000000001</c:v>
                </c:pt>
                <c:pt idx="8">
                  <c:v>3.8087896000000003</c:v>
                </c:pt>
                <c:pt idx="9">
                  <c:v>3.8457364329999999</c:v>
                </c:pt>
                <c:pt idx="10">
                  <c:v>3.87</c:v>
                </c:pt>
                <c:pt idx="11">
                  <c:v>3.91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4B-4E11-A976-DCAB483F88C6}"/>
            </c:ext>
          </c:extLst>
        </c:ser>
        <c:ser>
          <c:idx val="3"/>
          <c:order val="3"/>
          <c:tx>
            <c:strRef>
              <c:f>'Growth 2010-2021'!$B$176</c:f>
              <c:strCache>
                <c:ptCount val="1"/>
                <c:pt idx="0">
                  <c:v>Charcoal &amp; woodfuel for cooking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2010-2021'!$D$176:$O$176</c:f>
              <c:numCache>
                <c:formatCode>_(* #,##0_);_(* \(#,##0\);_(* "-"??_);_(@_)</c:formatCode>
                <c:ptCount val="12"/>
                <c:pt idx="0">
                  <c:v>55.908044990000008</c:v>
                </c:pt>
                <c:pt idx="1">
                  <c:v>53.341066045135136</c:v>
                </c:pt>
                <c:pt idx="2">
                  <c:v>53.866906313783787</c:v>
                </c:pt>
                <c:pt idx="3">
                  <c:v>54.871005017027031</c:v>
                </c:pt>
                <c:pt idx="4">
                  <c:v>55.731138171081085</c:v>
                </c:pt>
                <c:pt idx="5">
                  <c:v>55.908044990000008</c:v>
                </c:pt>
                <c:pt idx="6">
                  <c:v>56.188280160157902</c:v>
                </c:pt>
                <c:pt idx="7">
                  <c:v>56.902351210526319</c:v>
                </c:pt>
                <c:pt idx="8">
                  <c:v>57.496321473684219</c:v>
                </c:pt>
                <c:pt idx="9">
                  <c:v>58.054059550789468</c:v>
                </c:pt>
                <c:pt idx="10">
                  <c:v>58.5</c:v>
                </c:pt>
                <c:pt idx="11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4B-4E11-A976-DCAB483F88C6}"/>
            </c:ext>
          </c:extLst>
        </c:ser>
        <c:ser>
          <c:idx val="4"/>
          <c:order val="4"/>
          <c:tx>
            <c:strRef>
              <c:f>'Growth 2010-2021'!$B$175</c:f>
              <c:strCache>
                <c:ptCount val="1"/>
                <c:pt idx="0">
                  <c:v>Solar Thermal for water heating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2010-2021'!$D$115:$O$115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2010-2021'!$D$175:$O$175</c:f>
              <c:numCache>
                <c:formatCode>_(* #,##0_);_(* \(#,##0\);_(* "-"??_);_(@_)</c:formatCode>
                <c:ptCount val="12"/>
                <c:pt idx="0">
                  <c:v>71.618691105378787</c:v>
                </c:pt>
                <c:pt idx="1">
                  <c:v>68.330368786843579</c:v>
                </c:pt>
                <c:pt idx="2">
                  <c:v>69.003974737075836</c:v>
                </c:pt>
                <c:pt idx="3">
                  <c:v>70.290233894943938</c:v>
                </c:pt>
                <c:pt idx="4">
                  <c:v>71.392071934186973</c:v>
                </c:pt>
                <c:pt idx="5">
                  <c:v>71.618691105378787</c:v>
                </c:pt>
                <c:pt idx="6">
                  <c:v>71.977674791751511</c:v>
                </c:pt>
                <c:pt idx="7">
                  <c:v>72.892406007854248</c:v>
                </c:pt>
                <c:pt idx="8">
                  <c:v>73.653287072654393</c:v>
                </c:pt>
                <c:pt idx="9">
                  <c:v>74.367754392501737</c:v>
                </c:pt>
                <c:pt idx="10">
                  <c:v>75</c:v>
                </c:pt>
                <c:pt idx="11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4B-4E11-A976-DCAB483F88C6}"/>
            </c:ext>
          </c:extLst>
        </c:ser>
        <c:overlap val="100"/>
        <c:axId val="253582336"/>
        <c:axId val="253600512"/>
      </c:barChart>
      <c:catAx>
        <c:axId val="2535823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0512"/>
        <c:crosses val="autoZero"/>
        <c:auto val="1"/>
        <c:lblAlgn val="ctr"/>
        <c:lblOffset val="100"/>
      </c:catAx>
      <c:valAx>
        <c:axId val="253600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233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6415316513665"/>
          <c:y val="0.34801389053605331"/>
          <c:w val="0.23636234782901744"/>
          <c:h val="0.30397195420507345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66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2010-2021'!$D$71:$O$71</c:f>
              <c:numCache>
                <c:formatCode>_(* #,##0.0_);_(* \(#,##0.0\);_(* "-"??_);_(@_)</c:formatCode>
                <c:ptCount val="12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  <c:pt idx="11" formatCode="_-* #,##0.00_-;\-* #,##0.00_-;_-* &quot;-&quot;??_-;_-@_-">
                  <c:v>138.74536900000001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8-464C-9B88-A67B376D6F2E}"/>
            </c:ext>
          </c:extLst>
        </c:ser>
        <c:dLbls>
          <c:showVal val="1"/>
        </c:dLbls>
        <c:axId val="253616896"/>
        <c:axId val="253618432"/>
      </c:barChart>
      <c:catAx>
        <c:axId val="253616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18432"/>
        <c:crosses val="autoZero"/>
        <c:auto val="1"/>
        <c:lblAlgn val="ctr"/>
        <c:lblOffset val="100"/>
      </c:catAx>
      <c:valAx>
        <c:axId val="253618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168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2010-2021'!$B$206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2010-2021'!$D$206:$M$206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1-4A33-8D85-5FA6AECCAB73}"/>
            </c:ext>
          </c:extLst>
        </c:ser>
        <c:dLbls>
          <c:showVal val="1"/>
        </c:dLbls>
        <c:axId val="256887808"/>
        <c:axId val="258216704"/>
      </c:barChart>
      <c:catAx>
        <c:axId val="256887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16704"/>
        <c:crosses val="autoZero"/>
        <c:auto val="1"/>
        <c:lblAlgn val="ctr"/>
        <c:lblOffset val="100"/>
      </c:catAx>
      <c:valAx>
        <c:axId val="258216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78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Service S</a:t>
            </a:r>
            <a:r>
              <a:rPr lang="en-US" sz="1400" baseline="0"/>
              <a:t>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24"/>
          <c:y val="0.19446028847109703"/>
          <c:w val="0.63697730097591632"/>
          <c:h val="0.6759929592661511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2010-2021'!$B$213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2010-2021'!$D$189:$O$189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2010-2021'!$D$213:$O$213</c:f>
              <c:numCache>
                <c:formatCode>_(* #,##0_);_(* \(#,##0\);_(* "-"??_);_(@_)</c:formatCode>
                <c:ptCount val="12"/>
                <c:pt idx="0">
                  <c:v>15387.838068180001</c:v>
                </c:pt>
                <c:pt idx="1">
                  <c:v>17362.50566278</c:v>
                </c:pt>
                <c:pt idx="2">
                  <c:v>19503.284216460004</c:v>
                </c:pt>
                <c:pt idx="3">
                  <c:v>20527.792677340003</c:v>
                </c:pt>
                <c:pt idx="4">
                  <c:v>20623.787022</c:v>
                </c:pt>
                <c:pt idx="5">
                  <c:v>21043.314630000001</c:v>
                </c:pt>
                <c:pt idx="6">
                  <c:v>23073.2223505732</c:v>
                </c:pt>
                <c:pt idx="7">
                  <c:v>23718.7546485536</c:v>
                </c:pt>
                <c:pt idx="8">
                  <c:v>23149.048888192003</c:v>
                </c:pt>
                <c:pt idx="9">
                  <c:v>24292.645858714324</c:v>
                </c:pt>
                <c:pt idx="10">
                  <c:v>20649.075079479997</c:v>
                </c:pt>
                <c:pt idx="11">
                  <c:v>22928.189571313553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A-4A02-9C37-F8221CA56706}"/>
            </c:ext>
          </c:extLst>
        </c:ser>
        <c:ser>
          <c:idx val="1"/>
          <c:order val="1"/>
          <c:tx>
            <c:strRef>
              <c:f>'Growth 2010-2021'!$B$206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2010-2021'!$D$189:$O$189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2010-2021'!$D$206:$O$206</c:f>
              <c:numCache>
                <c:formatCode>_(* #,##0_);_(* \(#,##0\);_(* "-"??_);_(@_)</c:formatCode>
                <c:ptCount val="12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  <c:pt idx="10">
                  <c:v>1303.2673170203868</c:v>
                </c:pt>
                <c:pt idx="11">
                  <c:v>1585.5708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A-4A02-9C37-F8221CA56706}"/>
            </c:ext>
          </c:extLst>
        </c:ser>
        <c:ser>
          <c:idx val="3"/>
          <c:order val="2"/>
          <c:tx>
            <c:strRef>
              <c:f>'Growth 2010-2021'!$B$204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2010-2021'!$D$189:$O$189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2010-2021'!$D$207:$O$207</c:f>
              <c:numCache>
                <c:formatCode>_(* #,##0_);_(* \(#,##0\);_(* "-"??_);_(@_)</c:formatCode>
                <c:ptCount val="12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  <c:pt idx="10">
                  <c:v>3870.8999999999996</c:v>
                </c:pt>
                <c:pt idx="11">
                  <c:v>3606.9749999999999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A-4A02-9C37-F8221CA56706}"/>
            </c:ext>
          </c:extLst>
        </c:ser>
        <c:ser>
          <c:idx val="2"/>
          <c:order val="3"/>
          <c:tx>
            <c:strRef>
              <c:f>'Growth 2010-2021'!$B$209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/>
            </a:solidFill>
            <a:ln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delete val="1"/>
          </c:dLbls>
          <c:cat>
            <c:numRef>
              <c:f>'Growth 2010-2021'!$D$189:$O$189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2010-2021'!$D$209:$O$209</c:f>
              <c:numCache>
                <c:formatCode>_(* #,##0_);_(* \(#,##0\);_(* "-"??_);_(@_)</c:formatCode>
                <c:ptCount val="12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  <c:pt idx="10">
                  <c:v>26.430423821999998</c:v>
                </c:pt>
                <c:pt idx="11">
                  <c:v>19.844549999999998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A-4A02-9C37-F8221CA56706}"/>
            </c:ext>
          </c:extLst>
        </c:ser>
        <c:dLbls>
          <c:showVal val="1"/>
        </c:dLbls>
        <c:overlap val="100"/>
        <c:axId val="258274816"/>
        <c:axId val="258276352"/>
      </c:barChart>
      <c:catAx>
        <c:axId val="258274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76352"/>
        <c:crosses val="autoZero"/>
        <c:auto val="1"/>
        <c:lblAlgn val="ctr"/>
        <c:lblOffset val="100"/>
      </c:catAx>
      <c:valAx>
        <c:axId val="258276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748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81363626452894"/>
          <c:y val="0.35137587040865387"/>
          <c:w val="0.21118639440007225"/>
          <c:h val="0.35996887132729016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1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2010-2021'!$B$106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2010-2021'!$D$106:$M$106</c:f>
              <c:numCache>
                <c:formatCode>_(* #,##0.0_);_(* \(#,##0.0\);_(* "-"??_);_(@_)</c:formatCode>
                <c:ptCount val="10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  <c:pt idx="9">
                  <c:v>282.47262626412004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6-4AB1-BAEE-423DCD98E808}"/>
            </c:ext>
          </c:extLst>
        </c:ser>
        <c:dLbls>
          <c:showVal val="1"/>
        </c:dLbls>
        <c:axId val="259440640"/>
        <c:axId val="259442176"/>
      </c:barChart>
      <c:catAx>
        <c:axId val="259440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42176"/>
        <c:crosses val="autoZero"/>
        <c:auto val="1"/>
        <c:lblAlgn val="ctr"/>
        <c:lblOffset val="100"/>
      </c:catAx>
      <c:valAx>
        <c:axId val="259442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4064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712"/>
          <c:h val="0.675992959266153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2010-2021'!$B$99</c:f>
              <c:strCache>
                <c:ptCount val="1"/>
                <c:pt idx="0">
                  <c:v>Public services (Gov&amp;PUC+Street Lights)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2010-2021'!$D$99:$M$99</c:f>
              <c:numCache>
                <c:formatCode>_-* #,##0.00_-;\-* #,##0.00_-;_-* "-"??_-;_-@_-</c:formatCode>
                <c:ptCount val="10"/>
                <c:pt idx="0">
                  <c:v>36.209498000000004</c:v>
                </c:pt>
                <c:pt idx="1">
                  <c:v>34.223519000000003</c:v>
                </c:pt>
                <c:pt idx="2">
                  <c:v>38.094048999999998</c:v>
                </c:pt>
                <c:pt idx="3">
                  <c:v>40.939495000000001</c:v>
                </c:pt>
                <c:pt idx="4">
                  <c:v>37.496707000000001</c:v>
                </c:pt>
                <c:pt idx="5">
                  <c:v>38.586104999999996</c:v>
                </c:pt>
                <c:pt idx="6">
                  <c:v>45.344776000000003</c:v>
                </c:pt>
                <c:pt idx="7">
                  <c:v>48.6</c:v>
                </c:pt>
                <c:pt idx="8">
                  <c:v>47.41</c:v>
                </c:pt>
                <c:pt idx="9">
                  <c:v>48.470512000000006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79-4188-9DE1-95EFF71D56D8}"/>
            </c:ext>
          </c:extLst>
        </c:ser>
        <c:ser>
          <c:idx val="1"/>
          <c:order val="1"/>
          <c:tx>
            <c:strRef>
              <c:f>'Growth 2010-2021'!$B$100</c:f>
              <c:strCache>
                <c:ptCount val="1"/>
                <c:pt idx="0">
                  <c:v>Private services (Tourism + services+BBC+NPO)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2010-2021'!$D$100:$M$100</c:f>
              <c:numCache>
                <c:formatCode>0.00</c:formatCode>
                <c:ptCount val="10"/>
                <c:pt idx="0">
                  <c:v>87.497251630000008</c:v>
                </c:pt>
                <c:pt idx="1">
                  <c:v>101.23408172999999</c:v>
                </c:pt>
                <c:pt idx="2">
                  <c:v>121.42592561000001</c:v>
                </c:pt>
                <c:pt idx="3">
                  <c:v>129.66296869000001</c:v>
                </c:pt>
                <c:pt idx="4">
                  <c:v>133.39157000000003</c:v>
                </c:pt>
                <c:pt idx="5">
                  <c:v>136.35</c:v>
                </c:pt>
                <c:pt idx="6">
                  <c:v>152.3645071462</c:v>
                </c:pt>
                <c:pt idx="7">
                  <c:v>155.78507265760001</c:v>
                </c:pt>
                <c:pt idx="8">
                  <c:v>154.97818707200003</c:v>
                </c:pt>
                <c:pt idx="9">
                  <c:v>158.63565675320001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79-4188-9DE1-95EFF71D56D8}"/>
            </c:ext>
          </c:extLst>
        </c:ser>
        <c:ser>
          <c:idx val="2"/>
          <c:order val="2"/>
          <c:tx>
            <c:strRef>
              <c:f>'Growth 2010-2021'!$B$101</c:f>
              <c:strCache>
                <c:ptCount val="1"/>
                <c:pt idx="0">
                  <c:v>Auto-producers in Commerce (Commerce,..)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2010-2021'!$D$101:$M$101</c:f>
              <c:numCache>
                <c:formatCode>0.00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66.786800000000014</c:v>
                </c:pt>
                <c:pt idx="9">
                  <c:v>75.366457510920014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79-4188-9DE1-95EFF71D56D8}"/>
            </c:ext>
          </c:extLst>
        </c:ser>
        <c:overlap val="100"/>
        <c:axId val="263217152"/>
        <c:axId val="263218688"/>
      </c:barChart>
      <c:catAx>
        <c:axId val="263217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18688"/>
        <c:crosses val="autoZero"/>
        <c:auto val="1"/>
        <c:lblAlgn val="ctr"/>
        <c:lblOffset val="100"/>
      </c:catAx>
      <c:valAx>
        <c:axId val="263218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171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721"/>
          <c:y val="0.29527929597036101"/>
          <c:w val="0.23272401249713634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plotArea>
      <c:layout/>
      <c:barChart>
        <c:barDir val="col"/>
        <c:grouping val="stacked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2010-2021'!$D$241:$L$241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60-4B9C-9594-C46263C8DD67}"/>
            </c:ext>
          </c:extLst>
        </c:ser>
        <c:ser>
          <c:idx val="2"/>
          <c:order val="1"/>
          <c:tx>
            <c:strRef>
              <c:f>'Growth 2010-2021'!$B$243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2010-2021'!$D$243:$L$243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60-4B9C-9594-C46263C8DD67}"/>
            </c:ext>
          </c:extLst>
        </c:ser>
        <c:ser>
          <c:idx val="1"/>
          <c:order val="2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2010-2021'!$D$242:$L$242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60-4B9C-9594-C46263C8DD67}"/>
            </c:ext>
          </c:extLst>
        </c:ser>
        <c:ser>
          <c:idx val="3"/>
          <c:order val="3"/>
          <c:tx>
            <c:strRef>
              <c:f>'Growth 2010-2021'!$B$244</c:f>
              <c:strCache>
                <c:ptCount val="1"/>
                <c:pt idx="0">
                  <c:v>INDUSTRY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2010-2021'!$D$244:$L$244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60-4B9C-9594-C46263C8DD67}"/>
            </c:ext>
          </c:extLst>
        </c:ser>
        <c:ser>
          <c:idx val="4"/>
          <c:order val="4"/>
          <c:tx>
            <c:strRef>
              <c:f>'Growth 2010-2021'!$B$245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2010-2021'!$D$245:$L$245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60-4B9C-9594-C46263C8DD67}"/>
            </c:ext>
          </c:extLst>
        </c:ser>
        <c:dLbls>
          <c:showVal val="1"/>
        </c:dLbls>
        <c:overlap val="100"/>
        <c:axId val="158782592"/>
        <c:axId val="158784128"/>
      </c:barChart>
      <c:catAx>
        <c:axId val="158782592"/>
        <c:scaling>
          <c:orientation val="minMax"/>
        </c:scaling>
        <c:axPos val="b"/>
        <c:numFmt formatCode="General" sourceLinked="1"/>
        <c:tickLblPos val="nextTo"/>
        <c:crossAx val="158784128"/>
        <c:crosses val="autoZero"/>
        <c:auto val="1"/>
        <c:lblAlgn val="ctr"/>
        <c:lblOffset val="100"/>
      </c:catAx>
      <c:valAx>
        <c:axId val="1587841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5878259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</c:legend>
    <c:plotVisOnly val="1"/>
    <c:dispBlanksAs val="gap"/>
  </c:chart>
  <c:spPr>
    <a:solidFill>
      <a:schemeClr val="accent1">
        <a:lumMod val="20000"/>
        <a:lumOff val="80000"/>
      </a:schemeClr>
    </a:solidFill>
    <a:ln w="3175">
      <a:solidFill>
        <a:schemeClr val="tx2">
          <a:lumMod val="20000"/>
          <a:lumOff val="80000"/>
        </a:schemeClr>
      </a:solidFill>
    </a:ln>
  </c:spPr>
  <c:txPr>
    <a:bodyPr/>
    <a:lstStyle/>
    <a:p>
      <a:pPr>
        <a:defRPr sz="800"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Fuel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757"/>
          <c:h val="0.675992959266153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2010-2021'!$B$206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2010-2021'!$D$206:$M$206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F1-47AA-B7D6-F9B8E9C23059}"/>
            </c:ext>
          </c:extLst>
        </c:ser>
        <c:ser>
          <c:idx val="1"/>
          <c:order val="1"/>
          <c:tx>
            <c:strRef>
              <c:f>'Growth 2010-2021'!$B$204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2010-2021'!$D$207:$M$207</c:f>
              <c:numCache>
                <c:formatCode>_(* #,##0_);_(* \(#,##0\);_(* "-"??_);_(@_)</c:formatCode>
                <c:ptCount val="10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F1-47AA-B7D6-F9B8E9C23059}"/>
            </c:ext>
          </c:extLst>
        </c:ser>
        <c:ser>
          <c:idx val="2"/>
          <c:order val="2"/>
          <c:tx>
            <c:strRef>
              <c:f>'Growth 2010-2021'!$B$209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2010-2021'!$D$209:$M$209</c:f>
              <c:numCache>
                <c:formatCode>_(* #,##0_);_(* \(#,##0\);_(* "-"??_);_(@_)</c:formatCode>
                <c:ptCount val="10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F1-47AA-B7D6-F9B8E9C23059}"/>
            </c:ext>
          </c:extLst>
        </c:ser>
        <c:dLbls>
          <c:showVal val="1"/>
        </c:dLbls>
        <c:overlap val="100"/>
        <c:axId val="265442816"/>
        <c:axId val="265444352"/>
      </c:barChart>
      <c:catAx>
        <c:axId val="265442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4352"/>
        <c:crosses val="autoZero"/>
        <c:auto val="1"/>
        <c:lblAlgn val="ctr"/>
        <c:lblOffset val="100"/>
      </c:catAx>
      <c:valAx>
        <c:axId val="265444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28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798"/>
          <c:y val="0.29527929597036123"/>
          <c:w val="0.23272401249713648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</a:t>
            </a:r>
            <a:r>
              <a:rPr lang="en-US" sz="1400" baseline="0"/>
              <a:t> GENERATION : </a:t>
            </a:r>
            <a:r>
              <a:rPr lang="en-US" sz="1400" b="0" baseline="0"/>
              <a:t> 447.5 GWh</a:t>
            </a:r>
            <a:endParaRPr lang="en-US" sz="1400" b="0"/>
          </a:p>
        </c:rich>
      </c:tx>
    </c:title>
    <c:plotArea>
      <c:layout>
        <c:manualLayout>
          <c:layoutTarget val="inner"/>
          <c:xMode val="edge"/>
          <c:yMode val="edge"/>
          <c:x val="3.7288802487611468E-2"/>
          <c:y val="0.20978303747534702"/>
          <c:w val="0.44599171107164032"/>
          <c:h val="0.74287968441815566"/>
        </c:manualLayout>
      </c:layout>
      <c:doughnutChart>
        <c:varyColors val="1"/>
        <c:ser>
          <c:idx val="0"/>
          <c:order val="0"/>
          <c:tx>
            <c:strRef>
              <c:f>'Booklet-2019'!$C$18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637-4578-BE9E-659C575492EB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37-4578-BE9E-659C575492EB}"/>
              </c:ext>
            </c:extLst>
          </c:dPt>
          <c:dPt>
            <c:idx val="2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637-4578-BE9E-659C575492EB}"/>
              </c:ext>
            </c:extLst>
          </c:dPt>
          <c:cat>
            <c:strRef>
              <c:f>'Booklet-2019'!$B$20:$B$22</c:f>
              <c:strCache>
                <c:ptCount val="3"/>
                <c:pt idx="0">
                  <c:v>Fuel Oil &amp; Gasoil 437.8 GWh  97.8%</c:v>
                </c:pt>
                <c:pt idx="1">
                  <c:v> Wind                         5.7 GWh  1.27%</c:v>
                </c:pt>
                <c:pt idx="2">
                  <c:v> Solar PV                   4.03  GWh   0.9%</c:v>
                </c:pt>
              </c:strCache>
            </c:strRef>
          </c:cat>
          <c:val>
            <c:numRef>
              <c:f>'Booklet-2019'!$C$20:$C$22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437.82</c:v>
                </c:pt>
                <c:pt idx="1">
                  <c:v>5.7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37-4578-BE9E-659C575492EB}"/>
            </c:ext>
          </c:extLst>
        </c:ser>
        <c:firstSliceAng val="90"/>
        <c:holeSize val="72"/>
      </c:doughnutChart>
    </c:plotArea>
    <c:legend>
      <c:legendPos val="r"/>
      <c:layout>
        <c:manualLayout>
          <c:xMode val="edge"/>
          <c:yMode val="edge"/>
          <c:x val="0.67707086614173928"/>
          <c:y val="0.23721638961796715"/>
          <c:w val="0.23681802274715671"/>
          <c:h val="0.543969816272965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43"/>
          <c:y val="0.1688147110718079"/>
          <c:w val="0.77682740840829156"/>
          <c:h val="0.67599295926615088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2010-2021'!$D$241:$L$241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F6-4DFA-8870-A1CDEE6F631B}"/>
            </c:ext>
          </c:extLst>
        </c:ser>
        <c:ser>
          <c:idx val="3"/>
          <c:order val="1"/>
          <c:tx>
            <c:strRef>
              <c:f>'Growth 2010-2021'!$B$243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2010-2021'!$D$243:$L$243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6-4DFA-8870-A1CDEE6F631B}"/>
            </c:ext>
          </c:extLst>
        </c:ser>
        <c:ser>
          <c:idx val="4"/>
          <c:order val="2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2010-2021'!$D$242:$L$242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F6-4DFA-8870-A1CDEE6F631B}"/>
            </c:ext>
          </c:extLst>
        </c:ser>
        <c:ser>
          <c:idx val="1"/>
          <c:order val="3"/>
          <c:tx>
            <c:strRef>
              <c:f>'Growth 2010-2021'!$B$244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2010-2021'!$D$244:$L$244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F6-4DFA-8870-A1CDEE6F631B}"/>
            </c:ext>
          </c:extLst>
        </c:ser>
        <c:ser>
          <c:idx val="5"/>
          <c:order val="4"/>
          <c:tx>
            <c:strRef>
              <c:f>'Growth 2010-2021'!$B$245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2010-2021'!$D$245:$L$245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F6-4DFA-8870-A1CDEE6F631B}"/>
            </c:ext>
          </c:extLst>
        </c:ser>
        <c:dLbls>
          <c:showVal val="1"/>
        </c:dLbls>
        <c:overlap val="100"/>
        <c:axId val="163812864"/>
        <c:axId val="163814400"/>
      </c:barChart>
      <c:catAx>
        <c:axId val="163812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4400"/>
        <c:crosses val="autoZero"/>
        <c:auto val="1"/>
        <c:lblAlgn val="ctr"/>
        <c:lblOffset val="100"/>
      </c:catAx>
      <c:valAx>
        <c:axId val="163814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28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'Growth 2010-2021'!$B$343</c:f>
              <c:strCache>
                <c:ptCount val="1"/>
                <c:pt idx="0">
                  <c:v>Carbon Intensity of PUC elec generation (MT CO2/GWh or g CO2/kWh)</c:v>
                </c:pt>
              </c:strCache>
            </c:strRef>
          </c:tx>
          <c:marker>
            <c:symbol val="none"/>
          </c:marker>
          <c:cat>
            <c:numRef>
              <c:f>'Growth 2010-2021'!$D$296:$L$296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2010-2021'!$D$343:$L$343</c:f>
              <c:numCache>
                <c:formatCode>_(* #,##0.0_);_(* \(#,##0.0\);_(* "-"??_);_(@_)</c:formatCode>
                <c:ptCount val="9"/>
                <c:pt idx="0">
                  <c:v>693.59553610355317</c:v>
                </c:pt>
                <c:pt idx="1">
                  <c:v>685.79448685559339</c:v>
                </c:pt>
                <c:pt idx="2">
                  <c:v>692.13187687038089</c:v>
                </c:pt>
                <c:pt idx="3">
                  <c:v>668.16397813518074</c:v>
                </c:pt>
                <c:pt idx="4">
                  <c:v>658.13766231195132</c:v>
                </c:pt>
                <c:pt idx="5">
                  <c:v>663.05716715725623</c:v>
                </c:pt>
                <c:pt idx="6">
                  <c:v>658.29116182227244</c:v>
                </c:pt>
                <c:pt idx="7">
                  <c:v>653.20936115483153</c:v>
                </c:pt>
                <c:pt idx="8">
                  <c:v>658.11609971372354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0-4327-8B78-87655E4C574F}"/>
            </c:ext>
          </c:extLst>
        </c:ser>
        <c:ser>
          <c:idx val="1"/>
          <c:order val="1"/>
          <c:tx>
            <c:strRef>
              <c:f>'Growth 2010-2021'!$B$345</c:f>
              <c:strCache>
                <c:ptCount val="1"/>
                <c:pt idx="0">
                  <c:v>Carbon Intensity of the Primary Energy Supply</c:v>
                </c:pt>
              </c:strCache>
            </c:strRef>
          </c:tx>
          <c:marker>
            <c:symbol val="none"/>
          </c:marker>
          <c:cat>
            <c:numRef>
              <c:f>'Growth 2010-2021'!$D$296:$L$296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2010-2021'!$D$345:$L$345</c:f>
              <c:numCache>
                <c:formatCode>_(* #,##0.0_);_(* \(#,##0.0\);_(* "-"??_);_(@_)</c:formatCode>
                <c:ptCount val="9"/>
                <c:pt idx="0">
                  <c:v>3.3019080304988475</c:v>
                </c:pt>
                <c:pt idx="1">
                  <c:v>3.0887252708054569</c:v>
                </c:pt>
                <c:pt idx="2">
                  <c:v>3.2453598794789951</c:v>
                </c:pt>
                <c:pt idx="3">
                  <c:v>3.0611796993363543</c:v>
                </c:pt>
                <c:pt idx="4">
                  <c:v>3.2027374790993544</c:v>
                </c:pt>
                <c:pt idx="5">
                  <c:v>3.2269567239216328</c:v>
                </c:pt>
                <c:pt idx="6">
                  <c:v>3.1677584176071525</c:v>
                </c:pt>
                <c:pt idx="7">
                  <c:v>3.1559744651799173</c:v>
                </c:pt>
                <c:pt idx="8">
                  <c:v>3.2254449008539332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0-4327-8B78-87655E4C574F}"/>
            </c:ext>
          </c:extLst>
        </c:ser>
        <c:marker val="1"/>
        <c:axId val="163650560"/>
        <c:axId val="163107584"/>
      </c:lineChart>
      <c:catAx>
        <c:axId val="163650560"/>
        <c:scaling>
          <c:orientation val="minMax"/>
        </c:scaling>
        <c:axPos val="b"/>
        <c:numFmt formatCode="General" sourceLinked="1"/>
        <c:tickLblPos val="nextTo"/>
        <c:crossAx val="163107584"/>
        <c:crosses val="autoZero"/>
        <c:auto val="1"/>
        <c:lblAlgn val="ctr"/>
        <c:lblOffset val="100"/>
      </c:catAx>
      <c:valAx>
        <c:axId val="163107584"/>
        <c:scaling>
          <c:orientation val="minMax"/>
        </c:scaling>
        <c:axPos val="l"/>
        <c:majorGridlines/>
        <c:numFmt formatCode="_(* #,##0.0_);_(* \(#,##0.0\);_(* &quot;-&quot;??_);_(@_)" sourceLinked="1"/>
        <c:tickLblPos val="nextTo"/>
        <c:crossAx val="16365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7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600075</xdr:colOff>
      <xdr:row>135</xdr:row>
      <xdr:rowOff>171450</xdr:rowOff>
    </xdr:from>
    <xdr:to>
      <xdr:col>38</xdr:col>
      <xdr:colOff>542925</xdr:colOff>
      <xdr:row>161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452003</xdr:colOff>
      <xdr:row>75</xdr:row>
      <xdr:rowOff>79374</xdr:rowOff>
    </xdr:from>
    <xdr:to>
      <xdr:col>61</xdr:col>
      <xdr:colOff>23378</xdr:colOff>
      <xdr:row>98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228600</xdr:colOff>
      <xdr:row>75</xdr:row>
      <xdr:rowOff>63500</xdr:rowOff>
    </xdr:from>
    <xdr:to>
      <xdr:col>49</xdr:col>
      <xdr:colOff>304799</xdr:colOff>
      <xdr:row>98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584489</xdr:colOff>
      <xdr:row>80</xdr:row>
      <xdr:rowOff>3462</xdr:rowOff>
    </xdr:from>
    <xdr:to>
      <xdr:col>38</xdr:col>
      <xdr:colOff>172316</xdr:colOff>
      <xdr:row>98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257175</xdr:colOff>
      <xdr:row>0</xdr:row>
      <xdr:rowOff>114300</xdr:rowOff>
    </xdr:from>
    <xdr:to>
      <xdr:col>45</xdr:col>
      <xdr:colOff>542925</xdr:colOff>
      <xdr:row>20</xdr:row>
      <xdr:rowOff>154782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47625</xdr:colOff>
      <xdr:row>0</xdr:row>
      <xdr:rowOff>104776</xdr:rowOff>
    </xdr:from>
    <xdr:to>
      <xdr:col>56</xdr:col>
      <xdr:colOff>95250</xdr:colOff>
      <xdr:row>20</xdr:row>
      <xdr:rowOff>178594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269875</xdr:colOff>
      <xdr:row>137</xdr:row>
      <xdr:rowOff>111125</xdr:rowOff>
    </xdr:from>
    <xdr:to>
      <xdr:col>53</xdr:col>
      <xdr:colOff>547461</xdr:colOff>
      <xdr:row>164</xdr:row>
      <xdr:rowOff>53975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438150</xdr:colOff>
      <xdr:row>209</xdr:row>
      <xdr:rowOff>158750</xdr:rowOff>
    </xdr:from>
    <xdr:to>
      <xdr:col>37</xdr:col>
      <xdr:colOff>171450</xdr:colOff>
      <xdr:row>233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414337</xdr:colOff>
      <xdr:row>273</xdr:row>
      <xdr:rowOff>54769</xdr:rowOff>
    </xdr:from>
    <xdr:to>
      <xdr:col>29</xdr:col>
      <xdr:colOff>414337</xdr:colOff>
      <xdr:row>290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  <a:ext uri="{147F2762-F138-4A5C-976F-8EAC2B608ADB}">
              <a16:predDERef xmlns="" xmlns:a16="http://schemas.microsoft.com/office/drawing/2014/main" pre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476249</xdr:colOff>
      <xdr:row>239</xdr:row>
      <xdr:rowOff>57149</xdr:rowOff>
    </xdr:from>
    <xdr:to>
      <xdr:col>27</xdr:col>
      <xdr:colOff>457199</xdr:colOff>
      <xdr:row>257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476249</xdr:colOff>
      <xdr:row>372</xdr:row>
      <xdr:rowOff>47625</xdr:rowOff>
    </xdr:from>
    <xdr:to>
      <xdr:col>12</xdr:col>
      <xdr:colOff>657224</xdr:colOff>
      <xdr:row>391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988220</xdr:colOff>
      <xdr:row>309</xdr:row>
      <xdr:rowOff>157162</xdr:rowOff>
    </xdr:from>
    <xdr:to>
      <xdr:col>26</xdr:col>
      <xdr:colOff>409575</xdr:colOff>
      <xdr:row>333</xdr:row>
      <xdr:rowOff>85724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000-000011000000}"/>
            </a:ext>
            <a:ext uri="{147F2762-F138-4A5C-976F-8EAC2B608ADB}">
              <a16:predDERef xmlns="" xmlns:a16="http://schemas.microsoft.com/office/drawing/2014/main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192880</xdr:colOff>
      <xdr:row>312</xdr:row>
      <xdr:rowOff>61910</xdr:rowOff>
    </xdr:from>
    <xdr:to>
      <xdr:col>39</xdr:col>
      <xdr:colOff>290512</xdr:colOff>
      <xdr:row>337</xdr:row>
      <xdr:rowOff>2381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0.49023</cdr:x>
      <cdr:y>0.44083</cdr:y>
    </cdr:from>
    <cdr:to>
      <cdr:x>0.63766</cdr:x>
      <cdr:y>0.64497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8901" y="1419226"/>
          <a:ext cx="790575" cy="657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Renewable Energy </a:t>
          </a:r>
        </a:p>
        <a:p xmlns:a="http://schemas.openxmlformats.org/drawingml/2006/main">
          <a:r>
            <a:rPr lang="en-US" sz="1400" b="1"/>
            <a:t>2.2%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0.01776</cdr:x>
      <cdr:y>0.1568</cdr:y>
    </cdr:from>
    <cdr:to>
      <cdr:x>0.16163</cdr:x>
      <cdr:y>0.31953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1" y="504825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Fossil Fuel</a:t>
          </a:r>
        </a:p>
        <a:p xmlns:a="http://schemas.openxmlformats.org/drawingml/2006/main">
          <a:r>
            <a:rPr lang="en-US" sz="1400" b="1"/>
            <a:t>97.8%</a:t>
          </a:r>
        </a:p>
      </cdr:txBody>
    </cdr:sp>
  </cdr:relSizeAnchor>
  <cdr:relSizeAnchor xmlns:cdr="http://schemas.openxmlformats.org/drawingml/2006/chartDrawing">
    <cdr:from>
      <cdr:x>0.15986</cdr:x>
      <cdr:y>0.39349</cdr:y>
    </cdr:from>
    <cdr:to>
      <cdr:x>0.3659</cdr:x>
      <cdr:y>0.71893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251" y="1266825"/>
          <a:ext cx="1104900" cy="1047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Total Electricity Generation in 2019:</a:t>
          </a:r>
        </a:p>
        <a:p xmlns:a="http://schemas.openxmlformats.org/drawingml/2006/main">
          <a:pPr algn="ctr"/>
          <a:endParaRPr lang="en-US" sz="1100"/>
        </a:p>
        <a:p xmlns:a="http://schemas.openxmlformats.org/drawingml/2006/main">
          <a:pPr algn="ctr"/>
          <a:r>
            <a:rPr lang="en-US" sz="1400" b="1"/>
            <a:t>447.5 GWh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19050</xdr:rowOff>
    </xdr:from>
    <xdr:to>
      <xdr:col>16</xdr:col>
      <xdr:colOff>466724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19</xdr:row>
      <xdr:rowOff>238125</xdr:rowOff>
    </xdr:from>
    <xdr:to>
      <xdr:col>14</xdr:col>
      <xdr:colOff>333375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61</xdr:row>
      <xdr:rowOff>104775</xdr:rowOff>
    </xdr:from>
    <xdr:to>
      <xdr:col>12</xdr:col>
      <xdr:colOff>314325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561975</xdr:colOff>
      <xdr:row>1</xdr:row>
      <xdr:rowOff>0</xdr:rowOff>
    </xdr:from>
    <xdr:to>
      <xdr:col>28</xdr:col>
      <xdr:colOff>400050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438150</xdr:colOff>
      <xdr:row>80</xdr:row>
      <xdr:rowOff>85725</xdr:rowOff>
    </xdr:from>
    <xdr:to>
      <xdr:col>11</xdr:col>
      <xdr:colOff>368994</xdr:colOff>
      <xdr:row>92</xdr:row>
      <xdr:rowOff>175132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342899</xdr:colOff>
      <xdr:row>79</xdr:row>
      <xdr:rowOff>180976</xdr:rowOff>
    </xdr:from>
    <xdr:to>
      <xdr:col>19</xdr:col>
      <xdr:colOff>190500</xdr:colOff>
      <xdr:row>93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371475</xdr:colOff>
      <xdr:row>21</xdr:row>
      <xdr:rowOff>57150</xdr:rowOff>
    </xdr:from>
    <xdr:to>
      <xdr:col>22</xdr:col>
      <xdr:colOff>219076</xdr:colOff>
      <xdr:row>34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180974</xdr:colOff>
      <xdr:row>93</xdr:row>
      <xdr:rowOff>76200</xdr:rowOff>
    </xdr:from>
    <xdr:to>
      <xdr:col>11</xdr:col>
      <xdr:colOff>457199</xdr:colOff>
      <xdr:row>107</xdr:row>
      <xdr:rowOff>98932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108</xdr:row>
      <xdr:rowOff>19050</xdr:rowOff>
    </xdr:from>
    <xdr:to>
      <xdr:col>12</xdr:col>
      <xdr:colOff>276225</xdr:colOff>
      <xdr:row>122</xdr:row>
      <xdr:rowOff>41782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12</xdr:col>
      <xdr:colOff>276225</xdr:colOff>
      <xdr:row>139</xdr:row>
      <xdr:rowOff>22732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</xdr:colOff>
      <xdr:row>140</xdr:row>
      <xdr:rowOff>114300</xdr:rowOff>
    </xdr:from>
    <xdr:to>
      <xdr:col>12</xdr:col>
      <xdr:colOff>342900</xdr:colOff>
      <xdr:row>154</xdr:row>
      <xdr:rowOff>137032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36</xdr:col>
      <xdr:colOff>457201</xdr:colOff>
      <xdr:row>16</xdr:row>
      <xdr:rowOff>85724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152400</xdr:colOff>
      <xdr:row>3</xdr:row>
      <xdr:rowOff>161925</xdr:rowOff>
    </xdr:from>
    <xdr:to>
      <xdr:col>13</xdr:col>
      <xdr:colOff>457200</xdr:colOff>
      <xdr:row>18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171449</xdr:colOff>
      <xdr:row>138</xdr:row>
      <xdr:rowOff>142875</xdr:rowOff>
    </xdr:from>
    <xdr:to>
      <xdr:col>21</xdr:col>
      <xdr:colOff>161924</xdr:colOff>
      <xdr:row>154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0.36008</cdr:x>
      <cdr:y>0.45016</cdr:y>
    </cdr:from>
    <cdr:to>
      <cdr:x>0.60274</cdr:x>
      <cdr:y>0.72347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1" y="1333500"/>
          <a:ext cx="11811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Structure of fuel consumption in the transport sector </a:t>
          </a:r>
          <a:r>
            <a:rPr lang="en-US" sz="1100" b="1" baseline="0"/>
            <a:t> </a:t>
          </a:r>
          <a:r>
            <a:rPr lang="en-US" sz="1100" b="1"/>
            <a:t>- 20</a:t>
          </a:r>
          <a:r>
            <a:rPr lang="en-US" sz="1100"/>
            <a:t>19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57150</xdr:rowOff>
    </xdr:from>
    <xdr:to>
      <xdr:col>30</xdr:col>
      <xdr:colOff>82031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2</xdr:row>
      <xdr:rowOff>38100</xdr:rowOff>
    </xdr:from>
    <xdr:to>
      <xdr:col>40</xdr:col>
      <xdr:colOff>101081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184668</xdr:rowOff>
    </xdr:from>
    <xdr:to>
      <xdr:col>9</xdr:col>
      <xdr:colOff>43931</xdr:colOff>
      <xdr:row>20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174365</xdr:rowOff>
    </xdr:from>
    <xdr:to>
      <xdr:col>9</xdr:col>
      <xdr:colOff>170283</xdr:colOff>
      <xdr:row>40</xdr:row>
      <xdr:rowOff>158814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164452</xdr:colOff>
      <xdr:row>25</xdr:row>
      <xdr:rowOff>36933</xdr:rowOff>
    </xdr:from>
    <xdr:to>
      <xdr:col>30</xdr:col>
      <xdr:colOff>243374</xdr:colOff>
      <xdr:row>39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135295</xdr:colOff>
      <xdr:row>2</xdr:row>
      <xdr:rowOff>8553</xdr:rowOff>
    </xdr:from>
    <xdr:to>
      <xdr:col>19</xdr:col>
      <xdr:colOff>154733</xdr:colOff>
      <xdr:row>20</xdr:row>
      <xdr:rowOff>103803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19439</xdr:colOff>
      <xdr:row>44</xdr:row>
      <xdr:rowOff>174949</xdr:rowOff>
    </xdr:from>
    <xdr:to>
      <xdr:col>12</xdr:col>
      <xdr:colOff>324240</xdr:colOff>
      <xdr:row>63</xdr:row>
      <xdr:rowOff>581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602602</xdr:colOff>
      <xdr:row>24</xdr:row>
      <xdr:rowOff>0</xdr:rowOff>
    </xdr:from>
    <xdr:to>
      <xdr:col>19</xdr:col>
      <xdr:colOff>9719</xdr:colOff>
      <xdr:row>42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349897</xdr:colOff>
      <xdr:row>44</xdr:row>
      <xdr:rowOff>174949</xdr:rowOff>
    </xdr:from>
    <xdr:to>
      <xdr:col>24</xdr:col>
      <xdr:colOff>320740</xdr:colOff>
      <xdr:row>63</xdr:row>
      <xdr:rowOff>167173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18</xdr:col>
      <xdr:colOff>466530</xdr:colOff>
      <xdr:row>84</xdr:row>
      <xdr:rowOff>185249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9718</xdr:colOff>
      <xdr:row>105</xdr:row>
      <xdr:rowOff>29158</xdr:rowOff>
    </xdr:from>
    <xdr:to>
      <xdr:col>12</xdr:col>
      <xdr:colOff>314519</xdr:colOff>
      <xdr:row>123</xdr:row>
      <xdr:rowOff>49177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175</xdr:row>
      <xdr:rowOff>9525</xdr:rowOff>
    </xdr:from>
    <xdr:to>
      <xdr:col>10</xdr:col>
      <xdr:colOff>47625</xdr:colOff>
      <xdr:row>191</xdr:row>
      <xdr:rowOff>123824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195</xdr:row>
      <xdr:rowOff>152400</xdr:rowOff>
    </xdr:from>
    <xdr:to>
      <xdr:col>10</xdr:col>
      <xdr:colOff>419099</xdr:colOff>
      <xdr:row>213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218</xdr:row>
      <xdr:rowOff>0</xdr:rowOff>
    </xdr:from>
    <xdr:to>
      <xdr:col>8</xdr:col>
      <xdr:colOff>304800</xdr:colOff>
      <xdr:row>234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536723</xdr:colOff>
      <xdr:row>0</xdr:row>
      <xdr:rowOff>187743</xdr:rowOff>
    </xdr:from>
    <xdr:to>
      <xdr:col>22</xdr:col>
      <xdr:colOff>270024</xdr:colOff>
      <xdr:row>20</xdr:row>
      <xdr:rowOff>155279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579578</xdr:colOff>
      <xdr:row>23</xdr:row>
      <xdr:rowOff>161863</xdr:rowOff>
    </xdr:from>
    <xdr:to>
      <xdr:col>10</xdr:col>
      <xdr:colOff>260591</xdr:colOff>
      <xdr:row>38</xdr:row>
      <xdr:rowOff>84107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600356</xdr:colOff>
      <xdr:row>41</xdr:row>
      <xdr:rowOff>2663</xdr:rowOff>
    </xdr:from>
    <xdr:to>
      <xdr:col>10</xdr:col>
      <xdr:colOff>136546</xdr:colOff>
      <xdr:row>59</xdr:row>
      <xdr:rowOff>2663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17962</xdr:colOff>
      <xdr:row>61</xdr:row>
      <xdr:rowOff>184939</xdr:rowOff>
    </xdr:from>
    <xdr:to>
      <xdr:col>22</xdr:col>
      <xdr:colOff>599844</xdr:colOff>
      <xdr:row>80</xdr:row>
      <xdr:rowOff>16257</xdr:rowOff>
    </xdr:to>
    <xdr:graphicFrame macro="">
      <xdr:nvGraphicFramePr>
        <xdr:cNvPr id="25" name="Chart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601436</xdr:colOff>
      <xdr:row>24</xdr:row>
      <xdr:rowOff>18706</xdr:rowOff>
    </xdr:from>
    <xdr:to>
      <xdr:col>33</xdr:col>
      <xdr:colOff>137626</xdr:colOff>
      <xdr:row>40</xdr:row>
      <xdr:rowOff>115900</xdr:rowOff>
    </xdr:to>
    <xdr:graphicFrame macro="">
      <xdr:nvGraphicFramePr>
        <xdr:cNvPr id="34" name="Chart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152401</xdr:colOff>
      <xdr:row>0</xdr:row>
      <xdr:rowOff>179357</xdr:rowOff>
    </xdr:from>
    <xdr:to>
      <xdr:col>33</xdr:col>
      <xdr:colOff>495301</xdr:colOff>
      <xdr:row>20</xdr:row>
      <xdr:rowOff>150781</xdr:rowOff>
    </xdr:to>
    <xdr:graphicFrame macro="">
      <xdr:nvGraphicFramePr>
        <xdr:cNvPr id="35" name="Chart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399691</xdr:colOff>
      <xdr:row>23</xdr:row>
      <xdr:rowOff>177377</xdr:rowOff>
    </xdr:from>
    <xdr:to>
      <xdr:col>22</xdr:col>
      <xdr:colOff>167710</xdr:colOff>
      <xdr:row>39</xdr:row>
      <xdr:rowOff>17833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34147</xdr:colOff>
      <xdr:row>1</xdr:row>
      <xdr:rowOff>6469</xdr:rowOff>
    </xdr:from>
    <xdr:to>
      <xdr:col>48</xdr:col>
      <xdr:colOff>378485</xdr:colOff>
      <xdr:row>20</xdr:row>
      <xdr:rowOff>166595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8986</xdr:colOff>
      <xdr:row>62</xdr:row>
      <xdr:rowOff>1</xdr:rowOff>
    </xdr:from>
    <xdr:to>
      <xdr:col>12</xdr:col>
      <xdr:colOff>152759</xdr:colOff>
      <xdr:row>80</xdr:row>
      <xdr:rowOff>20021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8986</xdr:colOff>
      <xdr:row>88</xdr:row>
      <xdr:rowOff>17972</xdr:rowOff>
    </xdr:from>
    <xdr:to>
      <xdr:col>13</xdr:col>
      <xdr:colOff>161745</xdr:colOff>
      <xdr:row>106</xdr:row>
      <xdr:rowOff>37992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179716</xdr:rowOff>
    </xdr:from>
    <xdr:to>
      <xdr:col>11</xdr:col>
      <xdr:colOff>152759</xdr:colOff>
      <xdr:row>20</xdr:row>
      <xdr:rowOff>151140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85725</xdr:rowOff>
    </xdr:from>
    <xdr:to>
      <xdr:col>10</xdr:col>
      <xdr:colOff>141514</xdr:colOff>
      <xdr:row>22</xdr:row>
      <xdr:rowOff>71728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5</xdr:row>
      <xdr:rowOff>152400</xdr:rowOff>
    </xdr:from>
    <xdr:to>
      <xdr:col>23</xdr:col>
      <xdr:colOff>389164</xdr:colOff>
      <xdr:row>22</xdr:row>
      <xdr:rowOff>138403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371475</xdr:colOff>
      <xdr:row>45</xdr:row>
      <xdr:rowOff>158036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0</xdr:rowOff>
    </xdr:from>
    <xdr:to>
      <xdr:col>7</xdr:col>
      <xdr:colOff>9525</xdr:colOff>
      <xdr:row>64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180975</xdr:rowOff>
    </xdr:from>
    <xdr:to>
      <xdr:col>12</xdr:col>
      <xdr:colOff>371475</xdr:colOff>
      <xdr:row>85</xdr:row>
      <xdr:rowOff>148511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66675</xdr:colOff>
      <xdr:row>50</xdr:row>
      <xdr:rowOff>38100</xdr:rowOff>
    </xdr:from>
    <xdr:to>
      <xdr:col>19</xdr:col>
      <xdr:colOff>66675</xdr:colOff>
      <xdr:row>63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171449</xdr:rowOff>
    </xdr:from>
    <xdr:to>
      <xdr:col>10</xdr:col>
      <xdr:colOff>28574</xdr:colOff>
      <xdr:row>121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161925</xdr:rowOff>
    </xdr:from>
    <xdr:to>
      <xdr:col>10</xdr:col>
      <xdr:colOff>28574</xdr:colOff>
      <xdr:row>103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94</xdr:row>
      <xdr:rowOff>0</xdr:rowOff>
    </xdr:from>
    <xdr:to>
      <xdr:col>20</xdr:col>
      <xdr:colOff>0</xdr:colOff>
      <xdr:row>107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10863</xdr:colOff>
      <xdr:row>1</xdr:row>
      <xdr:rowOff>185142</xdr:rowOff>
    </xdr:from>
    <xdr:to>
      <xdr:col>19</xdr:col>
      <xdr:colOff>54796</xdr:colOff>
      <xdr:row>16</xdr:row>
      <xdr:rowOff>165702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10698</xdr:colOff>
      <xdr:row>19</xdr:row>
      <xdr:rowOff>10017</xdr:rowOff>
    </xdr:from>
    <xdr:to>
      <xdr:col>9</xdr:col>
      <xdr:colOff>54628</xdr:colOff>
      <xdr:row>33</xdr:row>
      <xdr:rowOff>184812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180018</xdr:rowOff>
    </xdr:from>
    <xdr:to>
      <xdr:col>13</xdr:col>
      <xdr:colOff>114846</xdr:colOff>
      <xdr:row>56</xdr:row>
      <xdr:rowOff>147554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7291</xdr:rowOff>
    </xdr:from>
    <xdr:to>
      <xdr:col>9</xdr:col>
      <xdr:colOff>43933</xdr:colOff>
      <xdr:row>16</xdr:row>
      <xdr:rowOff>178351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22</xdr:col>
      <xdr:colOff>27106</xdr:colOff>
      <xdr:row>16</xdr:row>
      <xdr:rowOff>139117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13</xdr:col>
      <xdr:colOff>96015</xdr:colOff>
      <xdr:row>41</xdr:row>
      <xdr:rowOff>125263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2</xdr:row>
      <xdr:rowOff>0</xdr:rowOff>
    </xdr:from>
    <xdr:to>
      <xdr:col>32</xdr:col>
      <xdr:colOff>36634</xdr:colOff>
      <xdr:row>16</xdr:row>
      <xdr:rowOff>125857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19050</xdr:rowOff>
    </xdr:from>
    <xdr:to>
      <xdr:col>11</xdr:col>
      <xdr:colOff>600075</xdr:colOff>
      <xdr:row>19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171450</xdr:colOff>
      <xdr:row>21</xdr:row>
      <xdr:rowOff>190499</xdr:rowOff>
    </xdr:from>
    <xdr:to>
      <xdr:col>26</xdr:col>
      <xdr:colOff>161925</xdr:colOff>
      <xdr:row>41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8</xdr:row>
      <xdr:rowOff>28575</xdr:rowOff>
    </xdr:from>
    <xdr:to>
      <xdr:col>15</xdr:col>
      <xdr:colOff>523874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17</xdr:col>
      <xdr:colOff>571500</xdr:colOff>
      <xdr:row>59</xdr:row>
      <xdr:rowOff>19050</xdr:rowOff>
    </xdr:to>
    <xdr:pic>
      <xdr:nvPicPr>
        <xdr:cNvPr id="4098" name="Picture 2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24525" y="6010275"/>
          <a:ext cx="6667500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85727</xdr:colOff>
      <xdr:row>59</xdr:row>
      <xdr:rowOff>13975</xdr:rowOff>
    </xdr:from>
    <xdr:to>
      <xdr:col>16</xdr:col>
      <xdr:colOff>266701</xdr:colOff>
      <xdr:row>68</xdr:row>
      <xdr:rowOff>114299</xdr:rowOff>
    </xdr:to>
    <xdr:pic>
      <xdr:nvPicPr>
        <xdr:cNvPr id="4099" name="Picture 3">
          <a:extLst>
            <a:ext uri="{FF2B5EF4-FFF2-40B4-BE49-F238E27FC236}">
              <a16:creationId xmlns="" xmlns:a16="http://schemas.microsoft.com/office/drawing/2014/main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48652" y="11358250"/>
          <a:ext cx="3228974" cy="1814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16</xdr:col>
      <xdr:colOff>419100</xdr:colOff>
      <xdr:row>118</xdr:row>
      <xdr:rowOff>180975</xdr:rowOff>
    </xdr:to>
    <xdr:pic>
      <xdr:nvPicPr>
        <xdr:cNvPr id="4100" name="Picture 4" descr="http://mapas.owje.com/img620/t-Mapa-de-Relieve-Sombreado-de-la-Isla-Mahe-Seychelles-6316.jpg">
          <a:extLst>
            <a:ext uri="{FF2B5EF4-FFF2-40B4-BE49-F238E27FC236}">
              <a16:creationId xmlns="" xmlns:a16="http://schemas.microsoft.com/office/drawing/2014/main" id="{00000000-0008-0000-08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24525" y="14963775"/>
          <a:ext cx="5905500" cy="78009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609599</xdr:colOff>
      <xdr:row>124</xdr:row>
      <xdr:rowOff>0</xdr:rowOff>
    </xdr:from>
    <xdr:to>
      <xdr:col>15</xdr:col>
      <xdr:colOff>165714</xdr:colOff>
      <xdr:row>144</xdr:row>
      <xdr:rowOff>114300</xdr:rowOff>
    </xdr:to>
    <xdr:pic>
      <xdr:nvPicPr>
        <xdr:cNvPr id="4101" name="Picture 5">
          <a:extLst>
            <a:ext uri="{FF2B5EF4-FFF2-40B4-BE49-F238E27FC236}">
              <a16:creationId xmlns="" xmlns:a16="http://schemas.microsoft.com/office/drawing/2014/main" id="{00000000-0008-0000-08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24524" y="23726775"/>
          <a:ext cx="5042515" cy="392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609599</xdr:colOff>
      <xdr:row>125</xdr:row>
      <xdr:rowOff>0</xdr:rowOff>
    </xdr:from>
    <xdr:to>
      <xdr:col>22</xdr:col>
      <xdr:colOff>584886</xdr:colOff>
      <xdr:row>144</xdr:row>
      <xdr:rowOff>114300</xdr:rowOff>
    </xdr:to>
    <xdr:pic>
      <xdr:nvPicPr>
        <xdr:cNvPr id="4102" name="Picture 6">
          <a:extLst>
            <a:ext uri="{FF2B5EF4-FFF2-40B4-BE49-F238E27FC236}">
              <a16:creationId xmlns="" xmlns:a16="http://schemas.microsoft.com/office/drawing/2014/main" id="{00000000-0008-0000-08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820524" y="23917275"/>
          <a:ext cx="3632887" cy="3733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342901</xdr:colOff>
      <xdr:row>35</xdr:row>
      <xdr:rowOff>66675</xdr:rowOff>
    </xdr:from>
    <xdr:to>
      <xdr:col>27</xdr:col>
      <xdr:colOff>178205</xdr:colOff>
      <xdr:row>74</xdr:row>
      <xdr:rowOff>51866</xdr:rowOff>
    </xdr:to>
    <xdr:pic>
      <xdr:nvPicPr>
        <xdr:cNvPr id="4103" name="Picture 7">
          <a:extLst>
            <a:ext uri="{FF2B5EF4-FFF2-40B4-BE49-F238E27FC236}">
              <a16:creationId xmlns="" xmlns:a16="http://schemas.microsoft.com/office/drawing/2014/main" id="{00000000-0008-0000-08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773026" y="6838950"/>
          <a:ext cx="5321704" cy="74146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609599</xdr:colOff>
      <xdr:row>2</xdr:row>
      <xdr:rowOff>0</xdr:rowOff>
    </xdr:from>
    <xdr:to>
      <xdr:col>24</xdr:col>
      <xdr:colOff>180974</xdr:colOff>
      <xdr:row>20</xdr:row>
      <xdr:rowOff>9525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9324" y="381000"/>
          <a:ext cx="2619375" cy="3543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77</xdr:row>
      <xdr:rowOff>123826</xdr:rowOff>
    </xdr:from>
    <xdr:to>
      <xdr:col>22</xdr:col>
      <xdr:colOff>533400</xdr:colOff>
      <xdr:row>94</xdr:row>
      <xdr:rowOff>22676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5" y="14897101"/>
          <a:ext cx="2362200" cy="31373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22</xdr:col>
      <xdr:colOff>0</xdr:colOff>
      <xdr:row>107</xdr:row>
      <xdr:rowOff>157030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5" y="18773775"/>
          <a:ext cx="1828800" cy="18715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26</xdr:col>
      <xdr:colOff>0</xdr:colOff>
      <xdr:row>109</xdr:row>
      <xdr:rowOff>67836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18773775"/>
          <a:ext cx="1828800" cy="2163336"/>
        </a:xfrm>
        <a:prstGeom prst="rect">
          <a:avLst/>
        </a:prstGeom>
      </xdr:spPr>
    </xdr:pic>
    <xdr:clientData/>
  </xdr:twoCellAnchor>
  <xdr:twoCellAnchor editAs="oneCell">
    <xdr:from>
      <xdr:col>25</xdr:col>
      <xdr:colOff>322194</xdr:colOff>
      <xdr:row>38</xdr:row>
      <xdr:rowOff>47211</xdr:rowOff>
    </xdr:from>
    <xdr:to>
      <xdr:col>26</xdr:col>
      <xdr:colOff>36445</xdr:colOff>
      <xdr:row>40</xdr:row>
      <xdr:rowOff>172071</xdr:rowOff>
    </xdr:to>
    <xdr:pic>
      <xdr:nvPicPr>
        <xdr:cNvPr id="14" name="Picture 13" descr="C:\Users\ACER\Documents\e!Sankey\4.0.0.484\clipart\dark gray and green\wind_engines.png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7047887" y="7429086"/>
          <a:ext cx="325093" cy="5079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152401</xdr:colOff>
      <xdr:row>45</xdr:row>
      <xdr:rowOff>0</xdr:rowOff>
    </xdr:from>
    <xdr:to>
      <xdr:col>24</xdr:col>
      <xdr:colOff>476251</xdr:colOff>
      <xdr:row>47</xdr:row>
      <xdr:rowOff>25842</xdr:rowOff>
    </xdr:to>
    <xdr:pic>
      <xdr:nvPicPr>
        <xdr:cNvPr id="15" name="Picture 14" descr="C:\Users\ACER\Documents\e!Sankey\4.0.0.484\clipart\colored\Science and Technology\science_technology66.png"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240126" y="8677275"/>
          <a:ext cx="323850" cy="4068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ERGY-2018-2019\ENERGY%20INFORMATION%20SYSTEM\ENERGY%20STATISTICS\SEC-ENERGY-DATABASES\ELECTRICITY\TB-ELECTRI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UC-Plants"/>
      <sheetName val="Generation-Summary"/>
      <sheetName val="Annual-Peaks"/>
      <sheetName val="PUC-Generation"/>
      <sheetName val="PublicElectricity-Costs"/>
      <sheetName val="Auto-Producers"/>
      <sheetName val="EnergySector"/>
      <sheetName val="Distrib-ResConsumers"/>
      <sheetName val="Consumers&amp;Cons+Fisheries"/>
      <sheetName val="SectorialCons-Detail-1"/>
      <sheetName val="SectorialCons-Detail-2"/>
      <sheetName val="Load-Duration-Curves"/>
      <sheetName val="Daily Load Profiles"/>
      <sheetName val="Renewable Energy"/>
      <sheetName val="CO2 emissions"/>
      <sheetName val="ElecTariffs"/>
      <sheetName val="Dashboard"/>
      <sheetName val="Growth 2015-2019"/>
    </sheetNames>
    <sheetDataSet>
      <sheetData sheetId="0"/>
      <sheetData sheetId="1"/>
      <sheetData sheetId="2">
        <row r="38">
          <cell r="K38" t="str">
            <v>Solar PV</v>
          </cell>
          <cell r="L38" t="str">
            <v>Wind</v>
          </cell>
          <cell r="M38" t="str">
            <v>HFO/LFO</v>
          </cell>
        </row>
        <row r="48">
          <cell r="K48">
            <v>3.5350169999999999</v>
          </cell>
          <cell r="L48">
            <v>7.3920000000000003</v>
          </cell>
          <cell r="M48">
            <v>416.89648099999999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59"/>
  <sheetViews>
    <sheetView tabSelected="1" topLeftCell="A280" zoomScaleNormal="100" workbookViewId="0">
      <selection activeCell="D291" sqref="D291"/>
    </sheetView>
  </sheetViews>
  <sheetFormatPr defaultRowHeight="15"/>
  <cols>
    <col min="2" max="2" width="49.85546875" customWidth="1"/>
    <col min="3" max="3" width="9.42578125" customWidth="1"/>
    <col min="4" max="4" width="10.42578125" customWidth="1"/>
    <col min="5" max="5" width="10.5703125" customWidth="1"/>
    <col min="6" max="6" width="9.7109375" customWidth="1"/>
    <col min="7" max="7" width="9.85546875" customWidth="1"/>
    <col min="8" max="8" width="9.7109375" customWidth="1"/>
    <col min="9" max="10" width="9.28515625" customWidth="1"/>
    <col min="11" max="11" width="9.85546875" customWidth="1"/>
    <col min="12" max="12" width="10.42578125" customWidth="1"/>
    <col min="13" max="15" width="10" customWidth="1"/>
    <col min="16" max="16" width="9.28515625" customWidth="1"/>
    <col min="17" max="17" width="15.140625" bestFit="1" customWidth="1"/>
    <col min="18" max="18" width="10.5703125" bestFit="1" customWidth="1"/>
    <col min="19" max="19" width="9.5703125" bestFit="1" customWidth="1"/>
    <col min="20" max="20" width="12.28515625" customWidth="1"/>
    <col min="24" max="24" width="10.5703125" bestFit="1" customWidth="1"/>
  </cols>
  <sheetData>
    <row r="1" spans="1:22" ht="18.75">
      <c r="D1" s="22" t="s">
        <v>0</v>
      </c>
      <c r="R1" s="6" t="s">
        <v>1</v>
      </c>
    </row>
    <row r="2" spans="1:22"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22">
      <c r="A3" s="4" t="s">
        <v>2</v>
      </c>
      <c r="D3" s="8"/>
      <c r="E3" s="8"/>
      <c r="F3" s="8"/>
      <c r="G3" s="8"/>
      <c r="H3" s="119"/>
      <c r="I3" s="119"/>
      <c r="J3" s="119"/>
      <c r="K3" s="119"/>
      <c r="L3" s="8"/>
      <c r="M3" s="119"/>
      <c r="N3" s="119"/>
      <c r="O3" s="119"/>
    </row>
    <row r="4" spans="1:22">
      <c r="B4" s="5"/>
      <c r="C4" s="102"/>
      <c r="H4" s="119"/>
      <c r="I4" s="119"/>
      <c r="J4" s="119"/>
      <c r="K4" s="119"/>
      <c r="L4" s="119"/>
      <c r="M4" s="119"/>
      <c r="N4" s="119"/>
      <c r="O4" s="119"/>
      <c r="Q4" s="6" t="s">
        <v>3</v>
      </c>
      <c r="S4" s="6" t="s">
        <v>4</v>
      </c>
      <c r="T4" s="60" t="s">
        <v>4</v>
      </c>
      <c r="U4" t="s">
        <v>5</v>
      </c>
    </row>
    <row r="5" spans="1:22" ht="15.75" thickBot="1">
      <c r="B5" s="1" t="s">
        <v>6</v>
      </c>
      <c r="C5" s="1" t="s">
        <v>7</v>
      </c>
      <c r="D5" s="2">
        <v>2010</v>
      </c>
      <c r="E5" s="2">
        <v>2011</v>
      </c>
      <c r="F5" s="2">
        <v>2012</v>
      </c>
      <c r="G5" s="2">
        <v>2013</v>
      </c>
      <c r="H5" s="2">
        <v>2014</v>
      </c>
      <c r="I5" s="2">
        <v>2015</v>
      </c>
      <c r="J5" s="2">
        <v>2016</v>
      </c>
      <c r="K5" s="2">
        <v>2017</v>
      </c>
      <c r="L5" s="2">
        <v>2018</v>
      </c>
      <c r="M5" s="2">
        <v>2019</v>
      </c>
      <c r="N5" s="2">
        <v>2020</v>
      </c>
      <c r="O5" s="2">
        <v>2021</v>
      </c>
      <c r="P5" s="2"/>
      <c r="Q5" s="29" t="s">
        <v>8</v>
      </c>
      <c r="S5" t="s">
        <v>9</v>
      </c>
      <c r="T5" s="61" t="s">
        <v>10</v>
      </c>
      <c r="U5" s="23" t="s">
        <v>11</v>
      </c>
      <c r="V5" s="24"/>
    </row>
    <row r="6" spans="1:22" ht="18" thickBot="1">
      <c r="B6" s="289" t="s">
        <v>12</v>
      </c>
      <c r="C6" s="289"/>
      <c r="D6" s="290">
        <v>89700</v>
      </c>
      <c r="E6" s="290">
        <v>87400</v>
      </c>
      <c r="F6" s="290">
        <v>88300</v>
      </c>
      <c r="G6" s="290">
        <v>89949</v>
      </c>
      <c r="H6" s="290">
        <v>91359</v>
      </c>
      <c r="I6" s="290">
        <v>93419</v>
      </c>
      <c r="J6" s="290">
        <v>94677</v>
      </c>
      <c r="K6" s="290">
        <v>95843</v>
      </c>
      <c r="L6" s="290">
        <v>97000</v>
      </c>
      <c r="M6" s="290">
        <v>97625</v>
      </c>
      <c r="N6" s="290">
        <v>98462</v>
      </c>
      <c r="O6" s="290">
        <v>98908</v>
      </c>
      <c r="Q6" s="358">
        <f>(M6/D6)^(1/9)-1</f>
        <v>9.4513668442570697E-3</v>
      </c>
    </row>
    <row r="7" spans="1:22" ht="17.25">
      <c r="B7" s="289" t="s">
        <v>424</v>
      </c>
      <c r="C7" s="289" t="s">
        <v>425</v>
      </c>
      <c r="D7" s="377"/>
      <c r="E7" s="377"/>
      <c r="F7" s="377"/>
      <c r="G7" s="377"/>
      <c r="H7" s="290">
        <v>17688</v>
      </c>
      <c r="I7" s="290">
        <v>18685</v>
      </c>
      <c r="J7" s="290">
        <v>19685</v>
      </c>
      <c r="K7" s="290">
        <v>20572.8</v>
      </c>
      <c r="L7" s="290">
        <v>21230.9</v>
      </c>
      <c r="M7" s="290">
        <v>21886.400000000001</v>
      </c>
      <c r="N7" s="290">
        <v>20196</v>
      </c>
      <c r="O7" s="290">
        <v>21794.3</v>
      </c>
      <c r="P7" s="140" t="s">
        <v>426</v>
      </c>
    </row>
    <row r="8" spans="1:22">
      <c r="B8" s="289" t="s">
        <v>13</v>
      </c>
      <c r="C8" s="289" t="s">
        <v>14</v>
      </c>
      <c r="D8" s="377"/>
      <c r="E8" s="377"/>
      <c r="F8" s="377"/>
      <c r="G8" s="377"/>
      <c r="H8" s="290">
        <f t="shared" ref="H8:O8" si="0">H9/H7*100</f>
        <v>100</v>
      </c>
      <c r="I8" s="290">
        <f t="shared" si="0"/>
        <v>100.92052448488091</v>
      </c>
      <c r="J8" s="290">
        <f t="shared" si="0"/>
        <v>100.83312166624334</v>
      </c>
      <c r="K8" s="290">
        <f t="shared" si="0"/>
        <v>104.38005521854099</v>
      </c>
      <c r="L8" s="290">
        <f t="shared" si="0"/>
        <v>107.21589758323952</v>
      </c>
      <c r="M8" s="290">
        <f t="shared" si="0"/>
        <v>107.99035017179619</v>
      </c>
      <c r="N8" s="290">
        <f t="shared" si="0"/>
        <v>104.72865914042384</v>
      </c>
      <c r="O8" s="290">
        <f t="shared" si="0"/>
        <v>114.16287744960837</v>
      </c>
    </row>
    <row r="9" spans="1:22" ht="17.25">
      <c r="B9" s="289" t="s">
        <v>15</v>
      </c>
      <c r="C9" s="289" t="s">
        <v>16</v>
      </c>
      <c r="D9" s="290">
        <v>11705.4</v>
      </c>
      <c r="E9" s="290">
        <v>13195.9</v>
      </c>
      <c r="F9" s="290">
        <v>15543.6</v>
      </c>
      <c r="G9" s="290">
        <v>17014.7</v>
      </c>
      <c r="H9" s="290">
        <v>17688</v>
      </c>
      <c r="I9" s="290">
        <v>18857</v>
      </c>
      <c r="J9" s="290">
        <v>19849</v>
      </c>
      <c r="K9" s="290">
        <v>21473.9</v>
      </c>
      <c r="L9" s="290">
        <v>22762.9</v>
      </c>
      <c r="M9" s="290">
        <v>23635.200000000001</v>
      </c>
      <c r="N9" s="290">
        <v>21151</v>
      </c>
      <c r="O9" s="290">
        <v>24881</v>
      </c>
    </row>
    <row r="10" spans="1:22">
      <c r="B10" s="289" t="s">
        <v>17</v>
      </c>
      <c r="C10" s="289"/>
      <c r="D10" s="291"/>
      <c r="E10" s="291"/>
      <c r="F10" s="291"/>
      <c r="G10" s="291"/>
      <c r="H10" s="291">
        <f>H7/$H$7</f>
        <v>1</v>
      </c>
      <c r="I10" s="291">
        <f t="shared" ref="I10:O10" si="1">I7/$H$7</f>
        <v>1.0563658977838082</v>
      </c>
      <c r="J10" s="291">
        <f t="shared" si="1"/>
        <v>1.1129014020805066</v>
      </c>
      <c r="K10" s="291">
        <f t="shared" si="1"/>
        <v>1.1630936227951152</v>
      </c>
      <c r="L10" s="291">
        <f t="shared" si="1"/>
        <v>1.2002996381727726</v>
      </c>
      <c r="M10" s="291">
        <f t="shared" si="1"/>
        <v>1.2373586612392584</v>
      </c>
      <c r="N10" s="291">
        <f t="shared" si="1"/>
        <v>1.1417910447761195</v>
      </c>
      <c r="O10" s="291">
        <f t="shared" si="1"/>
        <v>1.2321517412935323</v>
      </c>
    </row>
    <row r="11" spans="1:22">
      <c r="B11" s="289" t="s">
        <v>18</v>
      </c>
      <c r="C11" s="289"/>
      <c r="D11" s="291"/>
      <c r="E11" s="291"/>
      <c r="F11" s="291"/>
      <c r="G11" s="291"/>
      <c r="H11" s="291">
        <f>H6/$H$6</f>
        <v>1</v>
      </c>
      <c r="I11" s="291">
        <f t="shared" ref="I11:O11" si="2">I6/$H$6</f>
        <v>1.0225484079291587</v>
      </c>
      <c r="J11" s="291">
        <f t="shared" si="2"/>
        <v>1.0363182609266739</v>
      </c>
      <c r="K11" s="291">
        <f t="shared" si="2"/>
        <v>1.0490810976477414</v>
      </c>
      <c r="L11" s="291">
        <f t="shared" si="2"/>
        <v>1.0617454219069824</v>
      </c>
      <c r="M11" s="291">
        <f t="shared" si="2"/>
        <v>1.0685865650893727</v>
      </c>
      <c r="N11" s="291">
        <f t="shared" si="2"/>
        <v>1.0777482240392298</v>
      </c>
      <c r="O11" s="291">
        <f t="shared" si="2"/>
        <v>1.0826300638141837</v>
      </c>
    </row>
    <row r="12" spans="1:22" ht="15.75" thickBot="1">
      <c r="B12" s="9"/>
      <c r="C12" s="9"/>
      <c r="R12" t="s">
        <v>19</v>
      </c>
    </row>
    <row r="13" spans="1:22" ht="15.75" thickBot="1">
      <c r="B13" s="297" t="s">
        <v>20</v>
      </c>
      <c r="C13" s="297" t="s">
        <v>21</v>
      </c>
      <c r="D13" s="298">
        <f>D14/1000</f>
        <v>118.718</v>
      </c>
      <c r="E13" s="298">
        <f t="shared" ref="E13:O13" si="3">E14/1000</f>
        <v>133.36699999999999</v>
      </c>
      <c r="F13" s="298">
        <f t="shared" si="3"/>
        <v>131</v>
      </c>
      <c r="G13" s="298">
        <f t="shared" si="3"/>
        <v>141.23050000000001</v>
      </c>
      <c r="H13" s="298">
        <f t="shared" si="3"/>
        <v>138.1574</v>
      </c>
      <c r="I13" s="298">
        <f t="shared" si="3"/>
        <v>145.24100000000001</v>
      </c>
      <c r="J13" s="298">
        <f t="shared" si="3"/>
        <v>156.76300000000001</v>
      </c>
      <c r="K13" s="298">
        <f t="shared" si="3"/>
        <v>163.58000000000001</v>
      </c>
      <c r="L13" s="298">
        <f t="shared" si="3"/>
        <v>162.72320000000002</v>
      </c>
      <c r="M13" s="298">
        <f t="shared" si="3"/>
        <v>179.07295982398097</v>
      </c>
      <c r="N13" s="298">
        <f t="shared" si="3"/>
        <v>151.47065995846083</v>
      </c>
      <c r="O13" s="298">
        <f t="shared" si="3"/>
        <v>156.7915020054287</v>
      </c>
      <c r="Q13" s="358">
        <f>(M13/D13)^(1/9)-1</f>
        <v>4.6730374017829979E-2</v>
      </c>
      <c r="T13" s="122">
        <f>(M13/D13)^(1/9)-1</f>
        <v>4.6730374017829979E-2</v>
      </c>
    </row>
    <row r="14" spans="1:22" ht="15.75" thickBot="1">
      <c r="B14" s="297" t="s">
        <v>22</v>
      </c>
      <c r="C14" s="297" t="s">
        <v>23</v>
      </c>
      <c r="D14" s="299">
        <v>118718</v>
      </c>
      <c r="E14" s="299">
        <v>133367</v>
      </c>
      <c r="F14" s="299">
        <v>131000</v>
      </c>
      <c r="G14" s="299">
        <v>141230.5</v>
      </c>
      <c r="H14" s="299">
        <v>138157.4</v>
      </c>
      <c r="I14" s="299">
        <v>145241</v>
      </c>
      <c r="J14" s="299">
        <v>156763</v>
      </c>
      <c r="K14" s="299">
        <v>163580</v>
      </c>
      <c r="L14" s="299">
        <v>162723.20000000001</v>
      </c>
      <c r="M14" s="299">
        <v>179072.95982398096</v>
      </c>
      <c r="N14" s="299">
        <v>151470.65995846083</v>
      </c>
      <c r="O14" s="299">
        <v>156791.50200542869</v>
      </c>
      <c r="Q14" s="358">
        <f>(M14/D14)^(1/9)-1</f>
        <v>4.6730374017829979E-2</v>
      </c>
      <c r="R14" s="360">
        <f>M14/D14*100</f>
        <v>150.83892907897786</v>
      </c>
    </row>
    <row r="15" spans="1:22">
      <c r="B15" s="297" t="s">
        <v>24</v>
      </c>
      <c r="C15" s="297"/>
      <c r="D15" s="300">
        <f t="shared" ref="D15:M15" si="4">(D14-D17)/D14</f>
        <v>0.99698192354992499</v>
      </c>
      <c r="E15" s="300">
        <f t="shared" si="4"/>
        <v>0.99711997720575551</v>
      </c>
      <c r="F15" s="300">
        <f t="shared" si="4"/>
        <v>0.99693664122137404</v>
      </c>
      <c r="G15" s="300">
        <f t="shared" si="4"/>
        <v>0.99323028453485607</v>
      </c>
      <c r="H15" s="300">
        <f t="shared" si="4"/>
        <v>0.99269989549600679</v>
      </c>
      <c r="I15" s="300">
        <f t="shared" si="4"/>
        <v>0.99259703841201863</v>
      </c>
      <c r="J15" s="300">
        <f t="shared" si="4"/>
        <v>0.99269144990846059</v>
      </c>
      <c r="K15" s="300">
        <f t="shared" si="4"/>
        <v>0.99276341172514981</v>
      </c>
      <c r="L15" s="300">
        <f t="shared" si="4"/>
        <v>0.99202311986244118</v>
      </c>
      <c r="M15" s="300">
        <f t="shared" si="4"/>
        <v>0.99498831263622689</v>
      </c>
      <c r="N15" s="300">
        <f t="shared" ref="N15:O15" si="5">(N14-N17)/N14</f>
        <v>0.9919307943300657</v>
      </c>
      <c r="O15" s="300">
        <f t="shared" si="5"/>
        <v>0.99240294032069387</v>
      </c>
    </row>
    <row r="16" spans="1:22">
      <c r="B16" s="297" t="s">
        <v>25</v>
      </c>
      <c r="C16" s="297"/>
      <c r="D16" s="300">
        <f t="shared" ref="D16:M16" si="6">D17/D14</f>
        <v>3.0180764500749675E-3</v>
      </c>
      <c r="E16" s="300">
        <f t="shared" si="6"/>
        <v>2.8800227942444535E-3</v>
      </c>
      <c r="F16" s="300">
        <f t="shared" si="6"/>
        <v>3.063358778625954E-3</v>
      </c>
      <c r="G16" s="300">
        <f t="shared" si="6"/>
        <v>6.7697154651438609E-3</v>
      </c>
      <c r="H16" s="300">
        <f t="shared" si="6"/>
        <v>7.3001045039932724E-3</v>
      </c>
      <c r="I16" s="300">
        <f t="shared" si="6"/>
        <v>7.402961587981355E-3</v>
      </c>
      <c r="J16" s="300">
        <f t="shared" si="6"/>
        <v>7.3085500915394588E-3</v>
      </c>
      <c r="K16" s="300">
        <f t="shared" si="6"/>
        <v>7.2365882748502272E-3</v>
      </c>
      <c r="L16" s="300">
        <f t="shared" si="6"/>
        <v>7.9768801375587495E-3</v>
      </c>
      <c r="M16" s="300">
        <f t="shared" si="6"/>
        <v>5.011687363773088E-3</v>
      </c>
      <c r="N16" s="300">
        <f t="shared" ref="N16:O16" si="7">N17/N14</f>
        <v>8.0692056699343713E-3</v>
      </c>
      <c r="O16" s="300">
        <f t="shared" si="7"/>
        <v>7.5970596793061449E-3</v>
      </c>
    </row>
    <row r="17" spans="2:24">
      <c r="B17" s="297" t="s">
        <v>26</v>
      </c>
      <c r="C17" s="297" t="s">
        <v>23</v>
      </c>
      <c r="D17" s="259">
        <v>358.3</v>
      </c>
      <c r="E17" s="259">
        <v>384.1</v>
      </c>
      <c r="F17" s="259">
        <v>401.29999999999995</v>
      </c>
      <c r="G17" s="259">
        <v>956.09030000000007</v>
      </c>
      <c r="H17" s="259">
        <v>1008.5634580000001</v>
      </c>
      <c r="I17" s="259">
        <v>1075.213544</v>
      </c>
      <c r="J17" s="259">
        <v>1145.7102380000001</v>
      </c>
      <c r="K17" s="259">
        <v>1183.7611100000001</v>
      </c>
      <c r="L17" s="259">
        <v>1298.0234619999999</v>
      </c>
      <c r="M17" s="259">
        <v>897.45768994329114</v>
      </c>
      <c r="N17" s="259">
        <v>1222.2479081655133</v>
      </c>
      <c r="O17" s="259">
        <v>1191.1543979432909</v>
      </c>
      <c r="P17" s="27"/>
      <c r="R17" s="8"/>
    </row>
    <row r="18" spans="2:24">
      <c r="B18" s="297" t="s">
        <v>27</v>
      </c>
      <c r="C18" s="297" t="s">
        <v>28</v>
      </c>
      <c r="D18" s="259">
        <v>0</v>
      </c>
      <c r="E18" s="259">
        <v>0</v>
      </c>
      <c r="F18" s="259">
        <v>0</v>
      </c>
      <c r="G18" s="301">
        <v>6.9510500000000004</v>
      </c>
      <c r="H18" s="301">
        <v>7.0908100000000003</v>
      </c>
      <c r="I18" s="301">
        <v>6.79542</v>
      </c>
      <c r="J18" s="301">
        <v>6.8568930000000003</v>
      </c>
      <c r="K18" s="301">
        <v>6.6166200000000002</v>
      </c>
      <c r="L18" s="301">
        <v>7.3920000000000003</v>
      </c>
      <c r="M18" s="301">
        <v>5.7088900000000002</v>
      </c>
      <c r="N18" s="301">
        <v>5.9850000000000003</v>
      </c>
      <c r="O18" s="361">
        <v>5078.6180000000004</v>
      </c>
      <c r="P18" s="27"/>
      <c r="Q18" s="138"/>
      <c r="R18" s="8"/>
    </row>
    <row r="19" spans="2:24">
      <c r="B19" s="297" t="s">
        <v>29</v>
      </c>
      <c r="C19" s="297" t="s">
        <v>28</v>
      </c>
      <c r="D19" s="259"/>
      <c r="E19" s="259"/>
      <c r="F19" s="259"/>
      <c r="G19" s="259"/>
      <c r="H19" s="302">
        <v>0.47120300000000004</v>
      </c>
      <c r="I19" s="302">
        <v>1.541204</v>
      </c>
      <c r="J19" s="302">
        <v>2.2990400000000002</v>
      </c>
      <c r="K19" s="302">
        <v>2.9817649999999998</v>
      </c>
      <c r="L19" s="302">
        <v>3.5350169999999999</v>
      </c>
      <c r="M19" s="302">
        <v>4.0328390000000001</v>
      </c>
      <c r="N19" s="302">
        <v>6.6866319999999995</v>
      </c>
      <c r="O19" s="259">
        <v>7373.9059999999999</v>
      </c>
      <c r="P19" s="27"/>
      <c r="R19" s="8"/>
      <c r="T19" s="140">
        <f>(M19/H19)^(1/5)-1</f>
        <v>0.5363160493825827</v>
      </c>
    </row>
    <row r="20" spans="2:24">
      <c r="B20" s="297" t="s">
        <v>30</v>
      </c>
      <c r="C20" s="297"/>
      <c r="D20" s="303">
        <f>D16</f>
        <v>3.0180764500749675E-3</v>
      </c>
      <c r="E20" s="303">
        <f t="shared" ref="E20:K20" si="8">E16</f>
        <v>2.8800227942444535E-3</v>
      </c>
      <c r="F20" s="303">
        <f t="shared" si="8"/>
        <v>3.063358778625954E-3</v>
      </c>
      <c r="G20" s="303">
        <f t="shared" si="8"/>
        <v>6.7697154651438609E-3</v>
      </c>
      <c r="H20" s="303">
        <f t="shared" si="8"/>
        <v>7.3001045039932724E-3</v>
      </c>
      <c r="I20" s="303">
        <f t="shared" si="8"/>
        <v>7.402961587981355E-3</v>
      </c>
      <c r="J20" s="303">
        <f t="shared" si="8"/>
        <v>7.3085500915394588E-3</v>
      </c>
      <c r="K20" s="303">
        <f t="shared" si="8"/>
        <v>7.2365882748502272E-3</v>
      </c>
      <c r="L20" s="303">
        <f>L16</f>
        <v>7.9768801375587495E-3</v>
      </c>
      <c r="M20" s="303">
        <f>M16</f>
        <v>5.011687363773088E-3</v>
      </c>
      <c r="N20" s="303">
        <f>N16</f>
        <v>8.0692056699343713E-3</v>
      </c>
      <c r="O20" s="303">
        <f>O16</f>
        <v>7.5970596793061449E-3</v>
      </c>
      <c r="P20" s="378"/>
      <c r="R20" s="8"/>
    </row>
    <row r="21" spans="2:24">
      <c r="B21" s="297" t="s">
        <v>31</v>
      </c>
      <c r="C21" s="297"/>
      <c r="D21" s="304"/>
      <c r="E21" s="304"/>
      <c r="F21" s="304"/>
      <c r="G21" s="304"/>
      <c r="H21" s="304">
        <f>H14/$H$14</f>
        <v>1</v>
      </c>
      <c r="I21" s="304">
        <f t="shared" ref="I21:O21" si="9">I14/$H$14</f>
        <v>1.051271955031001</v>
      </c>
      <c r="J21" s="304">
        <f t="shared" si="9"/>
        <v>1.1346695870072832</v>
      </c>
      <c r="K21" s="304">
        <f t="shared" si="9"/>
        <v>1.1840118589377044</v>
      </c>
      <c r="L21" s="304">
        <f t="shared" si="9"/>
        <v>1.1778102367299907</v>
      </c>
      <c r="M21" s="304">
        <f t="shared" si="9"/>
        <v>1.2961517792313764</v>
      </c>
      <c r="N21" s="304">
        <f t="shared" si="9"/>
        <v>1.0963629885801327</v>
      </c>
      <c r="O21" s="304">
        <f t="shared" si="9"/>
        <v>1.1348758879758065</v>
      </c>
      <c r="R21" s="8"/>
    </row>
    <row r="22" spans="2:24" ht="15.75" thickBot="1">
      <c r="B22" s="9"/>
      <c r="C22" s="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R22" s="8"/>
    </row>
    <row r="23" spans="2:24" ht="15.75" thickBot="1">
      <c r="B23" s="19" t="s">
        <v>32</v>
      </c>
      <c r="C23" s="19" t="s">
        <v>21</v>
      </c>
      <c r="D23" s="159">
        <f>D25/1000</f>
        <v>72.740264152282521</v>
      </c>
      <c r="E23" s="159">
        <f t="shared" ref="E23:O23" si="10">E25/1000</f>
        <v>74.788397231227123</v>
      </c>
      <c r="F23" s="159">
        <f t="shared" si="10"/>
        <v>78.339644256130114</v>
      </c>
      <c r="G23" s="159">
        <f t="shared" si="10"/>
        <v>80.818349421107612</v>
      </c>
      <c r="H23" s="159">
        <f t="shared" si="10"/>
        <v>84.085328418713814</v>
      </c>
      <c r="I23" s="159">
        <f t="shared" si="10"/>
        <v>89.6901440780575</v>
      </c>
      <c r="J23" s="159">
        <f t="shared" si="10"/>
        <v>96.032421878266518</v>
      </c>
      <c r="K23" s="159">
        <f t="shared" si="10"/>
        <v>101.5083668162635</v>
      </c>
      <c r="L23" s="159">
        <f t="shared" si="10"/>
        <v>103.16498082382169</v>
      </c>
      <c r="M23" s="159">
        <f t="shared" si="10"/>
        <v>104.18719606958388</v>
      </c>
      <c r="N23" s="159">
        <f t="shared" si="10"/>
        <v>97.172214563693942</v>
      </c>
      <c r="O23" s="159">
        <f t="shared" si="10"/>
        <v>96.824013765765301</v>
      </c>
      <c r="Q23" s="313">
        <f>(M23/D23)^(1/9)-1</f>
        <v>4.0729151501363248E-2</v>
      </c>
      <c r="R23" s="8"/>
      <c r="S23" s="7">
        <f>(L14/I14)^(1/3)-1</f>
        <v>3.8612189367776883E-2</v>
      </c>
      <c r="T23" s="7">
        <f>(M23/D23)^(1/9)-1</f>
        <v>4.0729151501363248E-2</v>
      </c>
      <c r="U23" s="13"/>
      <c r="V23" s="13"/>
      <c r="W23" s="14" t="s">
        <v>33</v>
      </c>
    </row>
    <row r="24" spans="2:24">
      <c r="B24" s="19" t="s">
        <v>34</v>
      </c>
      <c r="C24" s="19" t="s">
        <v>23</v>
      </c>
      <c r="D24" s="305">
        <v>73546</v>
      </c>
      <c r="E24" s="305">
        <v>70403</v>
      </c>
      <c r="F24" s="305">
        <v>72000</v>
      </c>
      <c r="G24" s="305">
        <v>77425</v>
      </c>
      <c r="H24" s="305">
        <v>81187.600000000006</v>
      </c>
      <c r="I24" s="305">
        <v>89580</v>
      </c>
      <c r="J24" s="305">
        <v>92774.7</v>
      </c>
      <c r="K24" s="305">
        <v>95382.1</v>
      </c>
      <c r="L24" s="305">
        <v>100385.69446997551</v>
      </c>
      <c r="M24" s="305">
        <v>107957.49677746928</v>
      </c>
      <c r="N24" s="305">
        <v>86064.1166192378</v>
      </c>
      <c r="O24" s="305">
        <v>90924.3</v>
      </c>
      <c r="Q24" s="7">
        <f>(L17-K17)/K17</f>
        <v>9.6524840218817229E-2</v>
      </c>
      <c r="R24" s="8"/>
      <c r="S24" s="7">
        <f>(L17/I17)^(1/3)-1</f>
        <v>6.4786669458061219E-2</v>
      </c>
      <c r="U24" s="13" t="s">
        <v>35</v>
      </c>
      <c r="V24" s="13"/>
      <c r="W24" s="48">
        <v>23770</v>
      </c>
    </row>
    <row r="25" spans="2:24">
      <c r="B25" s="19" t="s">
        <v>36</v>
      </c>
      <c r="C25" s="19"/>
      <c r="D25" s="295">
        <f t="shared" ref="D25:L25" si="11">D110+D226</f>
        <v>72740.264152282514</v>
      </c>
      <c r="E25" s="295">
        <f t="shared" si="11"/>
        <v>74788.397231227122</v>
      </c>
      <c r="F25" s="295">
        <f t="shared" si="11"/>
        <v>78339.644256130108</v>
      </c>
      <c r="G25" s="295">
        <f t="shared" si="11"/>
        <v>80818.349421107618</v>
      </c>
      <c r="H25" s="295">
        <f t="shared" si="11"/>
        <v>84085.32841871382</v>
      </c>
      <c r="I25" s="295">
        <f t="shared" si="11"/>
        <v>89690.144078057507</v>
      </c>
      <c r="J25" s="295">
        <f t="shared" si="11"/>
        <v>96032.421878266512</v>
      </c>
      <c r="K25" s="295">
        <f t="shared" si="11"/>
        <v>101508.3668162635</v>
      </c>
      <c r="L25" s="295">
        <f t="shared" si="11"/>
        <v>103164.98082382169</v>
      </c>
      <c r="M25" s="305">
        <v>104187.19606958388</v>
      </c>
      <c r="N25" s="305">
        <v>97172.214563693939</v>
      </c>
      <c r="O25" s="305">
        <v>96824.013765765296</v>
      </c>
      <c r="Q25" s="7"/>
      <c r="R25" s="8"/>
      <c r="S25" s="7">
        <f>(M25/D25)^(1/9)-1</f>
        <v>4.0729151501363248E-2</v>
      </c>
      <c r="U25" s="13"/>
      <c r="V25" s="13"/>
      <c r="W25" s="48"/>
    </row>
    <row r="26" spans="2:24">
      <c r="B26" s="19" t="s">
        <v>37</v>
      </c>
      <c r="C26" s="19" t="s">
        <v>23</v>
      </c>
      <c r="D26" s="306">
        <f t="shared" ref="D26:M26" si="12">D226/D25</f>
        <v>0.65482353823412487</v>
      </c>
      <c r="E26" s="306">
        <f t="shared" si="12"/>
        <v>0.62939413443631009</v>
      </c>
      <c r="F26" s="306">
        <f t="shared" si="12"/>
        <v>0.60811921783015077</v>
      </c>
      <c r="G26" s="306">
        <f t="shared" si="12"/>
        <v>0.60105051819359323</v>
      </c>
      <c r="H26" s="306">
        <f t="shared" si="12"/>
        <v>0.60912840515604993</v>
      </c>
      <c r="I26" s="306">
        <f t="shared" si="12"/>
        <v>0.62258728688405152</v>
      </c>
      <c r="J26" s="306">
        <f t="shared" si="12"/>
        <v>0.60912774479954035</v>
      </c>
      <c r="K26" s="306">
        <f t="shared" si="12"/>
        <v>0.61619321040954877</v>
      </c>
      <c r="L26" s="306">
        <f t="shared" si="12"/>
        <v>0.61800063630409618</v>
      </c>
      <c r="M26" s="306">
        <f t="shared" si="12"/>
        <v>0.62593982173351681</v>
      </c>
      <c r="N26" s="306">
        <f t="shared" ref="N26:O26" si="13">N226/N25</f>
        <v>0.62649773507601736</v>
      </c>
      <c r="O26" s="306">
        <f t="shared" si="13"/>
        <v>0.60276331542284634</v>
      </c>
      <c r="Q26" s="7">
        <f>(L24-K24)/K24</f>
        <v>5.2458422177489333E-2</v>
      </c>
      <c r="R26" s="8"/>
      <c r="S26" s="7">
        <f>(L24/I24)^(1/3)-1</f>
        <v>3.8692326532647758E-2</v>
      </c>
      <c r="U26" s="13" t="s">
        <v>38</v>
      </c>
      <c r="V26" s="13"/>
      <c r="W26" s="48">
        <v>24770</v>
      </c>
    </row>
    <row r="27" spans="2:24">
      <c r="B27" s="19" t="s">
        <v>39</v>
      </c>
      <c r="C27" s="19"/>
      <c r="D27" s="306">
        <f t="shared" ref="D27:L27" si="14">D110/D25</f>
        <v>0.34517646176587513</v>
      </c>
      <c r="E27" s="306">
        <f t="shared" si="14"/>
        <v>0.37060586556368991</v>
      </c>
      <c r="F27" s="306">
        <f t="shared" si="14"/>
        <v>0.39188078216984923</v>
      </c>
      <c r="G27" s="306">
        <f t="shared" si="14"/>
        <v>0.39894948180640682</v>
      </c>
      <c r="H27" s="306">
        <f t="shared" si="14"/>
        <v>0.39087159484395018</v>
      </c>
      <c r="I27" s="306">
        <f t="shared" si="14"/>
        <v>0.37741271311594843</v>
      </c>
      <c r="J27" s="306">
        <f t="shared" si="14"/>
        <v>0.39087225520045971</v>
      </c>
      <c r="K27" s="306">
        <f t="shared" si="14"/>
        <v>0.38380678959045128</v>
      </c>
      <c r="L27" s="306">
        <f t="shared" si="14"/>
        <v>0.38199936369590382</v>
      </c>
      <c r="M27" s="306">
        <f>M110/M25</f>
        <v>0.39737340938485699</v>
      </c>
      <c r="N27" s="306">
        <f t="shared" ref="N27:O27" si="15">N110/N25</f>
        <v>0.39254577567538312</v>
      </c>
      <c r="O27" s="306">
        <f t="shared" si="15"/>
        <v>0.41614162314137598</v>
      </c>
      <c r="Q27" s="7"/>
      <c r="R27" s="8"/>
      <c r="S27" s="7"/>
    </row>
    <row r="28" spans="2:24">
      <c r="B28" s="19" t="s">
        <v>40</v>
      </c>
      <c r="C28" s="19" t="s">
        <v>23</v>
      </c>
      <c r="D28" s="306"/>
      <c r="E28" s="306"/>
      <c r="F28" s="306"/>
      <c r="G28" s="46">
        <v>892.66972921623528</v>
      </c>
      <c r="H28" s="46">
        <v>937.62009001407296</v>
      </c>
      <c r="I28" s="46">
        <v>995.05586439124522</v>
      </c>
      <c r="J28" s="46">
        <v>1084.1173589154434</v>
      </c>
      <c r="K28" s="46">
        <v>1123.0064070055978</v>
      </c>
      <c r="L28" s="46">
        <v>1231.0263320907784</v>
      </c>
      <c r="M28" s="46">
        <v>1232.02633209078</v>
      </c>
      <c r="N28" s="376">
        <v>1089.8</v>
      </c>
      <c r="O28" s="287">
        <v>1003</v>
      </c>
      <c r="Q28" s="7"/>
      <c r="R28" s="8"/>
      <c r="S28" s="7"/>
    </row>
    <row r="29" spans="2:24">
      <c r="B29" s="19" t="s">
        <v>40</v>
      </c>
      <c r="C29" s="19" t="s">
        <v>41</v>
      </c>
      <c r="D29" s="306"/>
      <c r="E29" s="306"/>
      <c r="F29" s="306"/>
      <c r="G29" s="296">
        <f t="shared" ref="G29:L29" si="16">G28/G24</f>
        <v>1.1529476644704363E-2</v>
      </c>
      <c r="H29" s="296">
        <f t="shared" si="16"/>
        <v>1.1548809054758028E-2</v>
      </c>
      <c r="I29" s="296">
        <f t="shared" si="16"/>
        <v>1.1108013668131784E-2</v>
      </c>
      <c r="J29" s="296">
        <f t="shared" si="16"/>
        <v>1.1685484931942044E-2</v>
      </c>
      <c r="K29" s="296">
        <f t="shared" si="16"/>
        <v>1.1773764752564661E-2</v>
      </c>
      <c r="L29" s="296">
        <f t="shared" si="16"/>
        <v>1.2262965740192868E-2</v>
      </c>
      <c r="M29" s="296">
        <f>M28/M24</f>
        <v>1.1412142452972323E-2</v>
      </c>
      <c r="N29" s="296">
        <f t="shared" ref="N29:O29" si="17">N28/N24</f>
        <v>1.2662652482932689E-2</v>
      </c>
      <c r="O29" s="296">
        <f t="shared" si="17"/>
        <v>1.1031154487854182E-2</v>
      </c>
      <c r="P29" s="27" t="s">
        <v>42</v>
      </c>
      <c r="Q29" s="7"/>
      <c r="R29" s="8"/>
      <c r="S29" s="7"/>
    </row>
    <row r="30" spans="2:24">
      <c r="B30" s="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Q30" s="7"/>
      <c r="R30" s="8"/>
      <c r="S30" s="7"/>
      <c r="U30" s="13"/>
      <c r="V30" s="13"/>
      <c r="W30" s="13"/>
      <c r="X30" s="13" t="s">
        <v>43</v>
      </c>
    </row>
    <row r="31" spans="2:24">
      <c r="B31" s="307" t="s">
        <v>44</v>
      </c>
      <c r="C31" s="307">
        <v>2014</v>
      </c>
      <c r="D31" s="308">
        <f t="shared" ref="D31:O31" si="18">D7*1000000/D6</f>
        <v>0</v>
      </c>
      <c r="E31" s="308">
        <f t="shared" si="18"/>
        <v>0</v>
      </c>
      <c r="F31" s="308">
        <f t="shared" si="18"/>
        <v>0</v>
      </c>
      <c r="G31" s="308">
        <f t="shared" si="18"/>
        <v>0</v>
      </c>
      <c r="H31" s="308">
        <f t="shared" si="18"/>
        <v>193609.82497619282</v>
      </c>
      <c r="I31" s="308">
        <f t="shared" si="18"/>
        <v>200012.84535265845</v>
      </c>
      <c r="J31" s="308">
        <f t="shared" si="18"/>
        <v>207917.44563093464</v>
      </c>
      <c r="K31" s="308">
        <f t="shared" si="18"/>
        <v>214651.0438947028</v>
      </c>
      <c r="L31" s="308">
        <f t="shared" si="18"/>
        <v>218875.25773195876</v>
      </c>
      <c r="M31" s="308">
        <f t="shared" si="18"/>
        <v>224188.47631241998</v>
      </c>
      <c r="N31" s="308">
        <f t="shared" si="18"/>
        <v>205114.66352501474</v>
      </c>
      <c r="O31" s="308">
        <f t="shared" si="18"/>
        <v>220349.21341044203</v>
      </c>
      <c r="T31" s="7">
        <f>(L24/D24)^(1/8)-1</f>
        <v>3.9654640299799038E-2</v>
      </c>
      <c r="U31" s="13"/>
      <c r="V31" s="13"/>
      <c r="W31" s="14" t="s">
        <v>45</v>
      </c>
      <c r="X31" s="59" t="s">
        <v>46</v>
      </c>
    </row>
    <row r="32" spans="2:24">
      <c r="B32" s="307" t="s">
        <v>47</v>
      </c>
      <c r="C32" s="307" t="s">
        <v>23</v>
      </c>
      <c r="D32" s="309">
        <f t="shared" ref="D32:O32" si="19">D14/D6</f>
        <v>1.323500557413601</v>
      </c>
      <c r="E32" s="309">
        <f t="shared" si="19"/>
        <v>1.5259382151029748</v>
      </c>
      <c r="F32" s="309">
        <f t="shared" si="19"/>
        <v>1.4835787089467725</v>
      </c>
      <c r="G32" s="309">
        <f t="shared" si="19"/>
        <v>1.5701175110340304</v>
      </c>
      <c r="H32" s="309">
        <f t="shared" si="19"/>
        <v>1.5122472881708424</v>
      </c>
      <c r="I32" s="309">
        <f t="shared" si="19"/>
        <v>1.5547265545552831</v>
      </c>
      <c r="J32" s="309">
        <f t="shared" si="19"/>
        <v>1.6557664480285603</v>
      </c>
      <c r="K32" s="309">
        <f t="shared" si="19"/>
        <v>1.7067495800423609</v>
      </c>
      <c r="L32" s="309">
        <f t="shared" si="19"/>
        <v>1.677558762886598</v>
      </c>
      <c r="M32" s="309">
        <f t="shared" si="19"/>
        <v>1.8342940827040304</v>
      </c>
      <c r="N32" s="309">
        <f t="shared" si="19"/>
        <v>1.5383666791093096</v>
      </c>
      <c r="O32" s="309">
        <f t="shared" si="19"/>
        <v>1.5852256845293473</v>
      </c>
      <c r="U32" s="13" t="s">
        <v>48</v>
      </c>
      <c r="V32" s="13"/>
      <c r="W32" s="14">
        <f>W33+W35</f>
        <v>95.8</v>
      </c>
      <c r="X32" s="14">
        <f>X33+X35</f>
        <v>102.9</v>
      </c>
    </row>
    <row r="33" spans="1:24">
      <c r="B33" s="307" t="s">
        <v>49</v>
      </c>
      <c r="C33" s="307" t="s">
        <v>23</v>
      </c>
      <c r="D33" s="309">
        <f t="shared" ref="D33:O33" si="20">D24/D6</f>
        <v>0.81991081382385733</v>
      </c>
      <c r="E33" s="309">
        <f t="shared" si="20"/>
        <v>0.80552631578947365</v>
      </c>
      <c r="F33" s="309">
        <f t="shared" si="20"/>
        <v>0.81540203850509629</v>
      </c>
      <c r="G33" s="309">
        <f t="shared" si="20"/>
        <v>0.86076554491989909</v>
      </c>
      <c r="H33" s="309">
        <f t="shared" si="20"/>
        <v>0.88866559397541578</v>
      </c>
      <c r="I33" s="309">
        <f t="shared" si="20"/>
        <v>0.95890557595349979</v>
      </c>
      <c r="J33" s="309">
        <f t="shared" si="20"/>
        <v>0.97990747488830443</v>
      </c>
      <c r="K33" s="309">
        <f t="shared" si="20"/>
        <v>0.99519109376793302</v>
      </c>
      <c r="L33" s="309">
        <f t="shared" si="20"/>
        <v>1.0349040667007785</v>
      </c>
      <c r="M33" s="309">
        <f t="shared" si="20"/>
        <v>1.1058386353646021</v>
      </c>
      <c r="N33" s="309">
        <f t="shared" si="20"/>
        <v>0.87408458714263171</v>
      </c>
      <c r="O33" s="309">
        <f t="shared" si="20"/>
        <v>0.91928155457596961</v>
      </c>
      <c r="S33" s="8"/>
      <c r="U33" s="13"/>
      <c r="V33" s="13" t="s">
        <v>50</v>
      </c>
      <c r="W33" s="13">
        <v>48.8</v>
      </c>
      <c r="X33" s="13">
        <v>52.3</v>
      </c>
    </row>
    <row r="34" spans="1:24">
      <c r="B34" s="307" t="s">
        <v>51</v>
      </c>
      <c r="C34" s="307" t="s">
        <v>52</v>
      </c>
      <c r="D34" s="308">
        <f t="shared" ref="D34:M34" si="21">D79/D6*1000000</f>
        <v>2902.1512151616503</v>
      </c>
      <c r="E34" s="308">
        <f t="shared" si="21"/>
        <v>3201.1689702517165</v>
      </c>
      <c r="F34" s="308">
        <f t="shared" si="21"/>
        <v>3280.9969535673836</v>
      </c>
      <c r="G34" s="308">
        <f t="shared" si="21"/>
        <v>3411.0359981767442</v>
      </c>
      <c r="H34" s="308">
        <f t="shared" si="21"/>
        <v>3421.6772184459119</v>
      </c>
      <c r="I34" s="308">
        <f t="shared" si="21"/>
        <v>3470.6158062064465</v>
      </c>
      <c r="J34" s="308">
        <f t="shared" si="21"/>
        <v>3864.5698080843295</v>
      </c>
      <c r="K34" s="308">
        <f t="shared" si="21"/>
        <v>3981.5553469736965</v>
      </c>
      <c r="L34" s="308">
        <f t="shared" si="21"/>
        <v>3979.3699628865975</v>
      </c>
      <c r="M34" s="308">
        <f t="shared" si="21"/>
        <v>4100.7932668886042</v>
      </c>
      <c r="N34" s="308">
        <f>N79/N6*1000000</f>
        <v>4083.00857183482</v>
      </c>
      <c r="O34" s="308">
        <f>O79/O6*1000000</f>
        <v>4060.9235046710073</v>
      </c>
      <c r="S34" s="8"/>
      <c r="U34" s="13"/>
      <c r="V34" s="13"/>
      <c r="W34" s="13"/>
      <c r="X34" s="13"/>
    </row>
    <row r="35" spans="1:24">
      <c r="S35" s="8"/>
      <c r="U35" s="13"/>
      <c r="V35" s="13" t="s">
        <v>53</v>
      </c>
      <c r="W35" s="13">
        <v>47</v>
      </c>
      <c r="X35" s="13">
        <v>50.6</v>
      </c>
    </row>
    <row r="36" spans="1:24">
      <c r="B36" s="292" t="s">
        <v>54</v>
      </c>
      <c r="C36" s="310" t="s">
        <v>55</v>
      </c>
      <c r="D36" s="293" t="e">
        <f>D$14/D$7</f>
        <v>#DIV/0!</v>
      </c>
      <c r="E36" s="293" t="e">
        <f t="shared" ref="E36:O36" si="22">E$14/E$7</f>
        <v>#DIV/0!</v>
      </c>
      <c r="F36" s="293" t="e">
        <f t="shared" si="22"/>
        <v>#DIV/0!</v>
      </c>
      <c r="G36" s="293" t="e">
        <f t="shared" si="22"/>
        <v>#DIV/0!</v>
      </c>
      <c r="H36" s="293">
        <f t="shared" si="22"/>
        <v>7.8107982813206691</v>
      </c>
      <c r="I36" s="293">
        <f t="shared" si="22"/>
        <v>7.773133529569173</v>
      </c>
      <c r="J36" s="293">
        <f t="shared" si="22"/>
        <v>7.9635763271526541</v>
      </c>
      <c r="K36" s="293">
        <f t="shared" si="22"/>
        <v>7.9512754705241875</v>
      </c>
      <c r="L36" s="293">
        <f t="shared" si="22"/>
        <v>7.6644513421475304</v>
      </c>
      <c r="M36" s="293">
        <f t="shared" si="22"/>
        <v>8.1819284955031861</v>
      </c>
      <c r="N36" s="293">
        <f t="shared" si="22"/>
        <v>7.5000326776817605</v>
      </c>
      <c r="O36" s="293">
        <f t="shared" si="22"/>
        <v>7.1941517738779721</v>
      </c>
      <c r="S36" s="8"/>
    </row>
    <row r="37" spans="1:24">
      <c r="B37" s="292" t="s">
        <v>56</v>
      </c>
      <c r="C37" s="292" t="s">
        <v>57</v>
      </c>
      <c r="D37" s="311">
        <f>D$24/D$14</f>
        <v>0.61950167624117658</v>
      </c>
      <c r="E37" s="311">
        <f t="shared" ref="E37:O37" si="23">E$24/E$14</f>
        <v>0.52788920797498629</v>
      </c>
      <c r="F37" s="311">
        <f t="shared" si="23"/>
        <v>0.54961832061068705</v>
      </c>
      <c r="G37" s="311">
        <f t="shared" si="23"/>
        <v>0.54821727601332571</v>
      </c>
      <c r="H37" s="311">
        <f t="shared" si="23"/>
        <v>0.58764568528359684</v>
      </c>
      <c r="I37" s="311">
        <f t="shared" si="23"/>
        <v>0.61676799250900227</v>
      </c>
      <c r="J37" s="311">
        <f t="shared" si="23"/>
        <v>0.59181503288403514</v>
      </c>
      <c r="K37" s="311">
        <f t="shared" si="23"/>
        <v>0.58309145372294902</v>
      </c>
      <c r="L37" s="311">
        <f t="shared" si="23"/>
        <v>0.61691076914647391</v>
      </c>
      <c r="M37" s="311">
        <f t="shared" si="23"/>
        <v>0.60286877976209063</v>
      </c>
      <c r="N37" s="311">
        <f t="shared" si="23"/>
        <v>0.56819001543163505</v>
      </c>
      <c r="O37" s="311">
        <f t="shared" si="23"/>
        <v>0.57990579104760331</v>
      </c>
      <c r="P37" s="127">
        <f>SUM(D37:L37)/9</f>
        <v>0.58238415715402581</v>
      </c>
      <c r="S37" s="8"/>
    </row>
    <row r="38" spans="1:24">
      <c r="B38" s="292" t="s">
        <v>58</v>
      </c>
      <c r="C38" s="292" t="s">
        <v>59</v>
      </c>
      <c r="D38" s="294"/>
      <c r="E38" s="294"/>
      <c r="F38" s="312">
        <f>1/F37</f>
        <v>1.8194444444444444</v>
      </c>
      <c r="G38" s="312">
        <f t="shared" ref="G38:O38" si="24">1/G37</f>
        <v>1.8240942847917341</v>
      </c>
      <c r="H38" s="312">
        <f t="shared" si="24"/>
        <v>1.701705679192389</v>
      </c>
      <c r="I38" s="312">
        <f t="shared" si="24"/>
        <v>1.621355213217236</v>
      </c>
      <c r="J38" s="312">
        <f t="shared" si="24"/>
        <v>1.6897171319335982</v>
      </c>
      <c r="K38" s="312">
        <f t="shared" si="24"/>
        <v>1.7149968390295454</v>
      </c>
      <c r="L38" s="312">
        <f t="shared" si="24"/>
        <v>1.6209799698966978</v>
      </c>
      <c r="M38" s="312">
        <f t="shared" si="24"/>
        <v>1.6587357540634775</v>
      </c>
      <c r="N38" s="312">
        <f t="shared" si="24"/>
        <v>1.7599746085652936</v>
      </c>
      <c r="O38" s="312">
        <f t="shared" si="24"/>
        <v>1.7244180269238112</v>
      </c>
      <c r="S38" s="8"/>
    </row>
    <row r="39" spans="1:24">
      <c r="B39" s="27" t="s">
        <v>60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R39">
        <f>3600/86</f>
        <v>41.860465116279073</v>
      </c>
      <c r="S39" s="8"/>
    </row>
    <row r="40" spans="1:24">
      <c r="B40" s="28" t="s">
        <v>61</v>
      </c>
      <c r="S40" s="8"/>
    </row>
    <row r="41" spans="1:24">
      <c r="B41" s="28" t="s">
        <v>62</v>
      </c>
      <c r="C41" s="9"/>
      <c r="D41" s="96"/>
      <c r="E41" s="96"/>
      <c r="F41" s="96"/>
      <c r="G41" s="96"/>
      <c r="H41" s="96"/>
      <c r="I41" s="96"/>
      <c r="J41" s="96"/>
      <c r="K41" s="96"/>
      <c r="L41" s="96"/>
      <c r="S41" s="8"/>
    </row>
    <row r="42" spans="1:24">
      <c r="D42" s="140">
        <f>D48*86/D14</f>
        <v>0.21807437793763371</v>
      </c>
      <c r="E42" s="140">
        <f t="shared" ref="E42:L42" si="25">E48*86/E14</f>
        <v>0.20882020289876807</v>
      </c>
      <c r="F42" s="140">
        <f t="shared" si="25"/>
        <v>0.22092152671755724</v>
      </c>
      <c r="G42" s="140">
        <f t="shared" si="25"/>
        <v>0.21569929998123638</v>
      </c>
      <c r="H42" s="140">
        <f t="shared" si="25"/>
        <v>0.22561331867855072</v>
      </c>
      <c r="I42" s="140">
        <f t="shared" si="25"/>
        <v>0.22360310981059064</v>
      </c>
      <c r="J42" s="140">
        <f t="shared" si="25"/>
        <v>0.22474472554110345</v>
      </c>
      <c r="K42" s="140">
        <f t="shared" si="25"/>
        <v>0.2228220532950238</v>
      </c>
      <c r="L42" s="140">
        <f t="shared" si="25"/>
        <v>0.22610690143753315</v>
      </c>
      <c r="M42" s="140">
        <f>M48*86/M14</f>
        <v>0.21494204782136786</v>
      </c>
      <c r="N42" s="140"/>
      <c r="S42" s="8"/>
    </row>
    <row r="43" spans="1:24" ht="26.25">
      <c r="A43" s="133" t="s">
        <v>63</v>
      </c>
      <c r="N43">
        <v>441834384</v>
      </c>
      <c r="S43" s="8"/>
    </row>
    <row r="44" spans="1:24">
      <c r="S44" s="8"/>
    </row>
    <row r="45" spans="1:24">
      <c r="B45" s="1" t="s">
        <v>6</v>
      </c>
      <c r="C45" s="1"/>
      <c r="D45" s="2">
        <v>2010</v>
      </c>
      <c r="E45" s="2">
        <v>2011</v>
      </c>
      <c r="F45" s="2">
        <v>2012</v>
      </c>
      <c r="G45" s="2">
        <v>2013</v>
      </c>
      <c r="H45" s="2">
        <v>2014</v>
      </c>
      <c r="I45" s="2">
        <v>2015</v>
      </c>
      <c r="J45" s="2">
        <v>2016</v>
      </c>
      <c r="K45" s="2">
        <v>2017</v>
      </c>
      <c r="L45" s="2">
        <v>2018</v>
      </c>
      <c r="M45" s="2">
        <v>2019</v>
      </c>
      <c r="N45" s="2">
        <v>2020</v>
      </c>
      <c r="O45" s="2">
        <v>2021</v>
      </c>
    </row>
    <row r="46" spans="1:24">
      <c r="B46" s="25" t="s">
        <v>64</v>
      </c>
      <c r="C46" s="397" t="s">
        <v>28</v>
      </c>
      <c r="D46" s="123">
        <f t="shared" ref="D46:O46" si="26">D48+D56</f>
        <v>356.26060000000001</v>
      </c>
      <c r="E46" s="123">
        <f t="shared" si="26"/>
        <v>390.26600000000002</v>
      </c>
      <c r="F46" s="123">
        <f t="shared" si="26"/>
        <v>403.7824</v>
      </c>
      <c r="G46" s="123">
        <f t="shared" si="26"/>
        <v>422.31745100000006</v>
      </c>
      <c r="H46" s="123">
        <f t="shared" si="26"/>
        <v>431.36679900000001</v>
      </c>
      <c r="I46" s="123">
        <f t="shared" si="26"/>
        <v>447.38545199999993</v>
      </c>
      <c r="J46" s="123">
        <f t="shared" si="26"/>
        <v>480.254435</v>
      </c>
      <c r="K46" s="123">
        <f t="shared" si="26"/>
        <v>495.24267299999997</v>
      </c>
      <c r="L46" s="123">
        <f t="shared" si="26"/>
        <v>500.06850399999996</v>
      </c>
      <c r="M46" s="123">
        <f t="shared" si="26"/>
        <v>528.63133651092005</v>
      </c>
      <c r="N46" s="123">
        <f t="shared" si="26"/>
        <v>483.35438399999998</v>
      </c>
      <c r="O46" s="123">
        <f t="shared" si="26"/>
        <v>502.05843199999998</v>
      </c>
      <c r="P46" s="9"/>
    </row>
    <row r="47" spans="1:24" ht="15.75" thickBot="1">
      <c r="A47" t="s">
        <v>65</v>
      </c>
      <c r="C47" s="398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Q47" t="s">
        <v>66</v>
      </c>
    </row>
    <row r="48" spans="1:24" ht="15.75" thickBot="1">
      <c r="B48" s="21" t="s">
        <v>67</v>
      </c>
      <c r="C48" s="398"/>
      <c r="D48" s="124">
        <v>301.03899999999999</v>
      </c>
      <c r="E48" s="124">
        <v>323.834</v>
      </c>
      <c r="F48" s="124">
        <v>336.52</v>
      </c>
      <c r="G48" s="124">
        <v>354.22465100000005</v>
      </c>
      <c r="H48" s="124">
        <v>362.44359900000001</v>
      </c>
      <c r="I48" s="125">
        <f t="shared" ref="I48:O48" si="27">SUM(I49:I51)</f>
        <v>377.63185199999992</v>
      </c>
      <c r="J48" s="125">
        <f t="shared" si="27"/>
        <v>409.670435</v>
      </c>
      <c r="K48" s="125">
        <f t="shared" si="27"/>
        <v>423.82827299999997</v>
      </c>
      <c r="L48" s="125">
        <f t="shared" si="27"/>
        <v>427.82370399999996</v>
      </c>
      <c r="M48" s="125">
        <f t="shared" si="27"/>
        <v>447.56172900000001</v>
      </c>
      <c r="N48" s="125">
        <f t="shared" si="27"/>
        <v>441.834384</v>
      </c>
      <c r="O48" s="125">
        <f t="shared" si="27"/>
        <v>436.59799999999996</v>
      </c>
      <c r="P48" s="9"/>
      <c r="Q48" s="313">
        <f>(O48/D48)^(1/9)-1</f>
        <v>4.2173165705124305E-2</v>
      </c>
    </row>
    <row r="49" spans="1:26">
      <c r="B49" s="21" t="s">
        <v>68</v>
      </c>
      <c r="C49" s="398"/>
      <c r="D49" s="105">
        <v>301.03899999999999</v>
      </c>
      <c r="E49" s="104">
        <v>323.834</v>
      </c>
      <c r="F49" s="105">
        <v>336.52</v>
      </c>
      <c r="G49" s="105">
        <v>347.27360100000004</v>
      </c>
      <c r="H49" s="105">
        <v>354.88159999999999</v>
      </c>
      <c r="I49" s="105">
        <v>369.29522799999995</v>
      </c>
      <c r="J49" s="105">
        <v>400.51450199999999</v>
      </c>
      <c r="K49" s="105">
        <v>414.22988799999996</v>
      </c>
      <c r="L49" s="105">
        <v>416.89648099999999</v>
      </c>
      <c r="M49" s="105">
        <v>437.82</v>
      </c>
      <c r="N49" s="105">
        <v>430.12942399999997</v>
      </c>
      <c r="O49" s="105">
        <v>424.12</v>
      </c>
      <c r="P49" s="9"/>
      <c r="V49" s="2" t="s">
        <v>69</v>
      </c>
    </row>
    <row r="50" spans="1:26">
      <c r="B50" s="21" t="s">
        <v>70</v>
      </c>
      <c r="C50" s="398"/>
      <c r="D50" s="126"/>
      <c r="E50" s="126"/>
      <c r="F50" s="126"/>
      <c r="G50" s="105">
        <v>6.9510500000000004</v>
      </c>
      <c r="H50" s="105">
        <v>7.0908100000000003</v>
      </c>
      <c r="I50" s="105">
        <v>6.79542</v>
      </c>
      <c r="J50" s="105">
        <v>6.8568930000000003</v>
      </c>
      <c r="K50" s="105">
        <v>6.6166200000000002</v>
      </c>
      <c r="L50" s="105">
        <v>7.3924099999999999</v>
      </c>
      <c r="M50" s="263">
        <f>M18</f>
        <v>5.7088900000000002</v>
      </c>
      <c r="N50" s="263">
        <v>5.9857639999999996</v>
      </c>
      <c r="O50" s="263">
        <v>5.0780000000000003</v>
      </c>
      <c r="P50" s="9"/>
      <c r="R50" s="8">
        <v>3708890</v>
      </c>
      <c r="S50" s="8"/>
      <c r="V50" s="1" t="s">
        <v>71</v>
      </c>
    </row>
    <row r="51" spans="1:26">
      <c r="B51" s="21" t="s">
        <v>72</v>
      </c>
      <c r="C51" s="398"/>
      <c r="D51" s="126"/>
      <c r="E51" s="126"/>
      <c r="F51" s="126"/>
      <c r="G51" s="126"/>
      <c r="H51" s="105">
        <v>0.47120300000000004</v>
      </c>
      <c r="I51" s="105">
        <v>1.541204</v>
      </c>
      <c r="J51" s="105">
        <v>2.2990400000000002</v>
      </c>
      <c r="K51" s="105">
        <v>2.9817649999999998</v>
      </c>
      <c r="L51" s="105">
        <v>3.5348129999999998</v>
      </c>
      <c r="M51" s="105">
        <v>4.0328390000000001</v>
      </c>
      <c r="N51" s="105">
        <v>5.7191960000000002</v>
      </c>
      <c r="O51" s="263">
        <v>7.4</v>
      </c>
      <c r="P51" s="9"/>
      <c r="R51" s="8"/>
      <c r="S51" s="8"/>
      <c r="V51" s="1">
        <v>4.1518386714116257E-3</v>
      </c>
      <c r="W51" s="1" t="s">
        <v>73</v>
      </c>
    </row>
    <row r="52" spans="1:26">
      <c r="B52" s="21" t="s">
        <v>74</v>
      </c>
      <c r="C52" s="398"/>
      <c r="D52" s="160">
        <f>SUM(D50:D51)</f>
        <v>0</v>
      </c>
      <c r="E52" s="160">
        <f t="shared" ref="E52:O52" si="28">SUM(E50:E51)</f>
        <v>0</v>
      </c>
      <c r="F52" s="160">
        <f t="shared" si="28"/>
        <v>0</v>
      </c>
      <c r="G52" s="160">
        <f t="shared" si="28"/>
        <v>6.9510500000000004</v>
      </c>
      <c r="H52" s="160">
        <f t="shared" si="28"/>
        <v>7.5620130000000003</v>
      </c>
      <c r="I52" s="160">
        <f t="shared" si="28"/>
        <v>8.3366240000000005</v>
      </c>
      <c r="J52" s="160">
        <f t="shared" si="28"/>
        <v>9.155933000000001</v>
      </c>
      <c r="K52" s="160">
        <f t="shared" si="28"/>
        <v>9.5983850000000004</v>
      </c>
      <c r="L52" s="160">
        <f t="shared" si="28"/>
        <v>10.927223</v>
      </c>
      <c r="M52" s="160">
        <f t="shared" si="28"/>
        <v>9.7417289999999994</v>
      </c>
      <c r="N52" s="160">
        <f t="shared" si="28"/>
        <v>11.70496</v>
      </c>
      <c r="O52" s="160">
        <f t="shared" si="28"/>
        <v>12.478000000000002</v>
      </c>
      <c r="P52" s="9"/>
      <c r="R52" s="8" t="s">
        <v>75</v>
      </c>
      <c r="S52" s="8"/>
      <c r="T52" s="41">
        <f>0.232*M52*1000000</f>
        <v>2260081.128</v>
      </c>
      <c r="V52" s="1"/>
      <c r="W52" s="1"/>
    </row>
    <row r="53" spans="1:26">
      <c r="B53" s="21" t="s">
        <v>76</v>
      </c>
      <c r="C53" s="398"/>
      <c r="D53" s="106">
        <f>(D50+D51)/D48</f>
        <v>0</v>
      </c>
      <c r="E53" s="106">
        <f t="shared" ref="E53:O53" si="29">(E50+E51)/E48</f>
        <v>0</v>
      </c>
      <c r="F53" s="106">
        <f t="shared" si="29"/>
        <v>0</v>
      </c>
      <c r="G53" s="359">
        <f t="shared" si="29"/>
        <v>1.9623281384784256E-2</v>
      </c>
      <c r="H53" s="359">
        <f t="shared" si="29"/>
        <v>2.0863971721018035E-2</v>
      </c>
      <c r="I53" s="359">
        <f t="shared" si="29"/>
        <v>2.2076061528835237E-2</v>
      </c>
      <c r="J53" s="359">
        <f t="shared" si="29"/>
        <v>2.2349508819204885E-2</v>
      </c>
      <c r="K53" s="359">
        <f t="shared" si="29"/>
        <v>2.2646872829080945E-2</v>
      </c>
      <c r="L53" s="359">
        <f t="shared" si="29"/>
        <v>2.5541415535965721E-2</v>
      </c>
      <c r="M53" s="359">
        <f t="shared" si="29"/>
        <v>2.1766224341313149E-2</v>
      </c>
      <c r="N53" s="359">
        <f t="shared" si="29"/>
        <v>2.6491736324441423E-2</v>
      </c>
      <c r="O53" s="359">
        <f t="shared" si="29"/>
        <v>2.8580066789128677E-2</v>
      </c>
      <c r="P53" s="9"/>
      <c r="R53" s="288"/>
      <c r="S53" s="288"/>
    </row>
    <row r="54" spans="1:26">
      <c r="B54" s="21" t="s">
        <v>77</v>
      </c>
      <c r="C54" s="398"/>
      <c r="D54" s="106">
        <f>D49/D48</f>
        <v>1</v>
      </c>
      <c r="E54" s="106">
        <f t="shared" ref="E54:O54" si="30">E49/E48</f>
        <v>1</v>
      </c>
      <c r="F54" s="106">
        <f t="shared" si="30"/>
        <v>1</v>
      </c>
      <c r="G54" s="107">
        <f t="shared" si="30"/>
        <v>0.98037671861521569</v>
      </c>
      <c r="H54" s="107">
        <f t="shared" si="30"/>
        <v>0.97913606690568145</v>
      </c>
      <c r="I54" s="107">
        <f t="shared" si="30"/>
        <v>0.97792393847116488</v>
      </c>
      <c r="J54" s="107">
        <f t="shared" si="30"/>
        <v>0.97765049118079506</v>
      </c>
      <c r="K54" s="107">
        <f t="shared" si="30"/>
        <v>0.97735312717091904</v>
      </c>
      <c r="L54" s="107">
        <f t="shared" si="30"/>
        <v>0.97445858446403433</v>
      </c>
      <c r="M54" s="107">
        <f t="shared" si="30"/>
        <v>0.97823377565868685</v>
      </c>
      <c r="N54" s="107">
        <f t="shared" si="30"/>
        <v>0.97350826367555854</v>
      </c>
      <c r="O54" s="107">
        <f t="shared" si="30"/>
        <v>0.97141993321087139</v>
      </c>
      <c r="P54" s="9"/>
      <c r="R54" s="288"/>
      <c r="S54" s="288"/>
    </row>
    <row r="55" spans="1:26">
      <c r="A55" t="s">
        <v>78</v>
      </c>
      <c r="B55" s="9"/>
      <c r="C55" s="398"/>
      <c r="D55" s="116"/>
      <c r="E55" s="116"/>
      <c r="F55" s="116"/>
      <c r="G55" s="116"/>
      <c r="H55" s="116"/>
      <c r="I55" s="116"/>
      <c r="J55" s="116"/>
      <c r="K55" s="116"/>
      <c r="L55" s="116"/>
      <c r="N55" t="s">
        <v>79</v>
      </c>
      <c r="P55" s="9"/>
      <c r="R55" s="288"/>
      <c r="S55" s="288"/>
    </row>
    <row r="56" spans="1:26">
      <c r="B56" s="108" t="s">
        <v>80</v>
      </c>
      <c r="C56" s="399"/>
      <c r="D56" s="109">
        <f>0.004152*D$140</f>
        <v>55.221600000000002</v>
      </c>
      <c r="E56" s="109">
        <f t="shared" ref="E56:O56" si="31">0.004152*E$140</f>
        <v>66.432000000000002</v>
      </c>
      <c r="F56" s="109">
        <f t="shared" si="31"/>
        <v>67.2624</v>
      </c>
      <c r="G56" s="109">
        <f t="shared" si="31"/>
        <v>68.092800000000011</v>
      </c>
      <c r="H56" s="109">
        <f t="shared" si="31"/>
        <v>68.923200000000008</v>
      </c>
      <c r="I56" s="109">
        <f t="shared" si="31"/>
        <v>69.753600000000006</v>
      </c>
      <c r="J56" s="109">
        <f t="shared" si="31"/>
        <v>70.584000000000003</v>
      </c>
      <c r="K56" s="109">
        <f t="shared" si="31"/>
        <v>71.414400000000001</v>
      </c>
      <c r="L56" s="109">
        <f t="shared" si="31"/>
        <v>72.244800000000012</v>
      </c>
      <c r="M56" s="109">
        <f t="shared" si="31"/>
        <v>81.069607510920008</v>
      </c>
      <c r="N56" s="356">
        <f t="shared" si="31"/>
        <v>41.52</v>
      </c>
      <c r="O56" s="368">
        <f t="shared" si="31"/>
        <v>65.460432000000011</v>
      </c>
      <c r="P56" s="9"/>
      <c r="R56" s="288"/>
      <c r="S56" s="288"/>
    </row>
    <row r="57" spans="1:26">
      <c r="B57" s="108" t="s">
        <v>81</v>
      </c>
      <c r="C57" s="271" t="s">
        <v>41</v>
      </c>
      <c r="D57" s="110">
        <f>D$56/D$46</f>
        <v>0.15500338796936849</v>
      </c>
      <c r="E57" s="110">
        <f t="shared" ref="E57:O57" si="32">E$56/E$46</f>
        <v>0.17022236115879938</v>
      </c>
      <c r="F57" s="110">
        <f t="shared" si="32"/>
        <v>0.16658081184321061</v>
      </c>
      <c r="G57" s="110">
        <f t="shared" si="32"/>
        <v>0.16123605557564327</v>
      </c>
      <c r="H57" s="110">
        <f t="shared" si="32"/>
        <v>0.15977863887480132</v>
      </c>
      <c r="I57" s="110">
        <f t="shared" si="32"/>
        <v>0.15591387625183667</v>
      </c>
      <c r="J57" s="110">
        <f t="shared" si="32"/>
        <v>0.1469720940734259</v>
      </c>
      <c r="K57" s="110">
        <f t="shared" si="32"/>
        <v>0.14420082091754644</v>
      </c>
      <c r="L57" s="110">
        <f t="shared" si="32"/>
        <v>0.14446980648075372</v>
      </c>
      <c r="M57" s="110">
        <f t="shared" si="32"/>
        <v>0.15335755168431134</v>
      </c>
      <c r="N57" s="110">
        <f t="shared" si="32"/>
        <v>8.589970707703358E-2</v>
      </c>
      <c r="O57" s="110">
        <f t="shared" si="32"/>
        <v>0.13038409043192808</v>
      </c>
      <c r="R57" s="288"/>
      <c r="S57" s="288"/>
      <c r="T57" s="288"/>
    </row>
    <row r="58" spans="1:26">
      <c r="D58" s="134"/>
      <c r="E58" s="134"/>
      <c r="F58" s="134"/>
      <c r="G58" s="134"/>
      <c r="H58" s="134"/>
      <c r="I58" s="134"/>
      <c r="J58" s="135"/>
      <c r="K58" s="135"/>
      <c r="L58" s="135"/>
      <c r="Q58" t="s">
        <v>82</v>
      </c>
      <c r="R58" s="357"/>
      <c r="S58" s="357"/>
      <c r="T58" s="357"/>
    </row>
    <row r="59" spans="1:26">
      <c r="A59" s="4" t="s">
        <v>83</v>
      </c>
      <c r="R59" t="s">
        <v>84</v>
      </c>
      <c r="S59" s="8"/>
    </row>
    <row r="60" spans="1:26">
      <c r="B60" s="77" t="s">
        <v>6</v>
      </c>
      <c r="C60" s="77"/>
      <c r="D60" s="88">
        <v>2010</v>
      </c>
      <c r="E60" s="88">
        <v>2011</v>
      </c>
      <c r="F60" s="88">
        <v>2012</v>
      </c>
      <c r="G60" s="88">
        <v>2013</v>
      </c>
      <c r="H60" s="88">
        <v>2014</v>
      </c>
      <c r="I60" s="88">
        <v>2015</v>
      </c>
      <c r="J60" s="88">
        <v>2016</v>
      </c>
      <c r="K60" s="88">
        <v>2017</v>
      </c>
      <c r="L60" s="88">
        <v>2018</v>
      </c>
      <c r="M60" s="88">
        <v>2019</v>
      </c>
      <c r="N60" s="88">
        <v>2020</v>
      </c>
      <c r="O60" s="88">
        <v>2021</v>
      </c>
      <c r="S60" s="8" t="s">
        <v>28</v>
      </c>
    </row>
    <row r="61" spans="1:26">
      <c r="B61" s="117" t="s">
        <v>85</v>
      </c>
      <c r="C61" s="77"/>
      <c r="D61" s="118">
        <v>25906</v>
      </c>
      <c r="E61" s="118">
        <v>26694</v>
      </c>
      <c r="F61" s="118">
        <v>27476</v>
      </c>
      <c r="G61" s="118">
        <v>28128</v>
      </c>
      <c r="H61" s="118">
        <v>28727</v>
      </c>
      <c r="I61" s="118">
        <v>29422</v>
      </c>
      <c r="J61" s="118">
        <v>30386</v>
      </c>
      <c r="K61" s="118">
        <v>31419</v>
      </c>
      <c r="L61" s="118">
        <v>32278</v>
      </c>
      <c r="M61" s="380">
        <v>33156.254830082602</v>
      </c>
      <c r="N61" s="380">
        <v>34058.406170065551</v>
      </c>
      <c r="O61" s="380">
        <v>34985.10422210642</v>
      </c>
      <c r="P61" s="7">
        <f>(L61/D61)^(1/8)-1</f>
        <v>2.7870216156790306E-2</v>
      </c>
      <c r="Q61" s="118">
        <v>32278</v>
      </c>
      <c r="R61" s="7">
        <f>S61/$S$65</f>
        <v>0.32717616580310876</v>
      </c>
      <c r="S61" s="38">
        <v>126.29</v>
      </c>
      <c r="T61" s="288"/>
    </row>
    <row r="62" spans="1:26">
      <c r="B62" s="117" t="s">
        <v>86</v>
      </c>
      <c r="C62" s="77"/>
      <c r="D62" s="118">
        <v>3484</v>
      </c>
      <c r="E62" s="118">
        <v>3926</v>
      </c>
      <c r="F62" s="118">
        <v>4053</v>
      </c>
      <c r="G62" s="118">
        <v>4197</v>
      </c>
      <c r="H62" s="118">
        <v>4409</v>
      </c>
      <c r="I62" s="118">
        <v>4720</v>
      </c>
      <c r="J62" s="118">
        <v>4964</v>
      </c>
      <c r="K62" s="118">
        <v>5264</v>
      </c>
      <c r="L62" s="118">
        <v>5498</v>
      </c>
      <c r="M62" s="380">
        <v>5784.3988890295104</v>
      </c>
      <c r="N62" s="380">
        <v>6085.7167165161572</v>
      </c>
      <c r="O62" s="380">
        <v>6402.7306318596538</v>
      </c>
      <c r="Q62" s="118">
        <v>5498</v>
      </c>
      <c r="R62" s="7">
        <f>S62/$S$65</f>
        <v>0.54999999999999993</v>
      </c>
      <c r="S62" s="38">
        <v>212.3</v>
      </c>
      <c r="T62" s="288"/>
      <c r="W62" t="s">
        <v>87</v>
      </c>
      <c r="X62">
        <v>1144319</v>
      </c>
      <c r="Y62" s="8">
        <f>X62/10^6</f>
        <v>1.1443190000000001</v>
      </c>
    </row>
    <row r="63" spans="1:26">
      <c r="B63" s="117" t="s">
        <v>88</v>
      </c>
      <c r="C63" s="77"/>
      <c r="D63" s="118">
        <v>679</v>
      </c>
      <c r="E63" s="118">
        <v>678</v>
      </c>
      <c r="F63" s="118">
        <v>614</v>
      </c>
      <c r="G63" s="118">
        <v>470</v>
      </c>
      <c r="H63" s="118">
        <v>484</v>
      </c>
      <c r="I63" s="118">
        <v>511</v>
      </c>
      <c r="J63" s="118">
        <v>517</v>
      </c>
      <c r="K63" s="118">
        <v>524</v>
      </c>
      <c r="L63" s="118">
        <v>532</v>
      </c>
      <c r="M63" s="380">
        <v>785.50559899236646</v>
      </c>
      <c r="N63" s="380">
        <v>802.36546950371439</v>
      </c>
      <c r="O63" s="380">
        <v>819.58721551795384</v>
      </c>
      <c r="Q63" s="118">
        <v>532</v>
      </c>
      <c r="R63" s="7">
        <f>S63/$S$65</f>
        <v>0.12007772020725385</v>
      </c>
      <c r="S63" s="38">
        <v>46.349999999999994</v>
      </c>
      <c r="T63" s="288"/>
      <c r="W63" t="s">
        <v>89</v>
      </c>
      <c r="X63">
        <v>26368176</v>
      </c>
      <c r="Y63" s="8">
        <f t="shared" ref="Y63:Y68" si="33">X63/10^6</f>
        <v>26.368175999999998</v>
      </c>
      <c r="Z63" s="36">
        <f>Y63+Y65</f>
        <v>47.326193000000004</v>
      </c>
    </row>
    <row r="64" spans="1:26">
      <c r="B64" s="117" t="s">
        <v>90</v>
      </c>
      <c r="C64" s="77"/>
      <c r="D64" s="118">
        <v>215</v>
      </c>
      <c r="E64" s="118">
        <v>218</v>
      </c>
      <c r="F64" s="118">
        <v>221</v>
      </c>
      <c r="G64" s="118">
        <v>268</v>
      </c>
      <c r="H64" s="118">
        <v>267</v>
      </c>
      <c r="I64" s="118">
        <v>267</v>
      </c>
      <c r="J64" s="118">
        <v>270</v>
      </c>
      <c r="K64" s="118">
        <v>275</v>
      </c>
      <c r="L64" s="118">
        <v>275</v>
      </c>
      <c r="M64" s="380">
        <v>285.20431847915984</v>
      </c>
      <c r="N64" s="380">
        <v>295.78728465149828</v>
      </c>
      <c r="O64" s="380">
        <v>306.76294885029751</v>
      </c>
      <c r="Q64" s="118">
        <v>275</v>
      </c>
      <c r="R64" s="7">
        <f>S64/$S$65</f>
        <v>2.7461139896373054E-3</v>
      </c>
      <c r="S64" s="38">
        <v>1.06</v>
      </c>
      <c r="T64" s="288"/>
      <c r="W64" t="s">
        <v>91</v>
      </c>
      <c r="X64">
        <v>119570298</v>
      </c>
      <c r="Y64" s="8">
        <f t="shared" si="33"/>
        <v>119.57029799999999</v>
      </c>
      <c r="Z64" s="36">
        <f>Y64+Y66</f>
        <v>217.30911884</v>
      </c>
    </row>
    <row r="65" spans="1:26">
      <c r="B65" s="117" t="s">
        <v>92</v>
      </c>
      <c r="C65" s="42"/>
      <c r="D65" s="130">
        <f>SUM(D61:D64)</f>
        <v>30284</v>
      </c>
      <c r="E65" s="130">
        <f t="shared" ref="E65:M65" si="34">SUM(E61:E64)</f>
        <v>31516</v>
      </c>
      <c r="F65" s="130">
        <f t="shared" si="34"/>
        <v>32364</v>
      </c>
      <c r="G65" s="130">
        <f t="shared" si="34"/>
        <v>33063</v>
      </c>
      <c r="H65" s="130">
        <f t="shared" si="34"/>
        <v>33887</v>
      </c>
      <c r="I65" s="130">
        <f t="shared" si="34"/>
        <v>34920</v>
      </c>
      <c r="J65" s="130">
        <f t="shared" si="34"/>
        <v>36137</v>
      </c>
      <c r="K65" s="130">
        <f t="shared" si="34"/>
        <v>37482</v>
      </c>
      <c r="L65" s="130">
        <f t="shared" si="34"/>
        <v>38583</v>
      </c>
      <c r="M65" s="130">
        <f t="shared" si="34"/>
        <v>40011.363636583636</v>
      </c>
      <c r="N65" s="130">
        <f>SUM(N61:N64)</f>
        <v>41242.275640736916</v>
      </c>
      <c r="O65" s="130">
        <f>SUM(O61:O64)</f>
        <v>42514.185018334327</v>
      </c>
      <c r="R65" s="8"/>
      <c r="S65" s="8">
        <f>SUM(S61:S64)</f>
        <v>386.00000000000006</v>
      </c>
      <c r="T65" s="288"/>
      <c r="W65" t="s">
        <v>65</v>
      </c>
      <c r="X65">
        <v>20958017</v>
      </c>
      <c r="Y65" s="8">
        <f t="shared" si="33"/>
        <v>20.958017000000002</v>
      </c>
    </row>
    <row r="66" spans="1:26">
      <c r="B66" s="117" t="s">
        <v>93</v>
      </c>
      <c r="C66" s="42"/>
      <c r="D66" s="379">
        <f>D61/D65</f>
        <v>0.85543521331396122</v>
      </c>
      <c r="E66" s="379">
        <f t="shared" ref="E66:O66" si="35">E61/E65</f>
        <v>0.84699835004442192</v>
      </c>
      <c r="F66" s="379">
        <f t="shared" si="35"/>
        <v>0.84896798912371774</v>
      </c>
      <c r="G66" s="379">
        <f t="shared" si="35"/>
        <v>0.8507394973232919</v>
      </c>
      <c r="H66" s="379">
        <f t="shared" si="35"/>
        <v>0.84772921769410103</v>
      </c>
      <c r="I66" s="379">
        <f t="shared" si="35"/>
        <v>0.84255441008018328</v>
      </c>
      <c r="J66" s="379">
        <f t="shared" si="35"/>
        <v>0.84085563273099595</v>
      </c>
      <c r="K66" s="379">
        <f t="shared" si="35"/>
        <v>0.83824235633103894</v>
      </c>
      <c r="L66" s="379">
        <f t="shared" si="35"/>
        <v>0.83658606121867141</v>
      </c>
      <c r="M66" s="379">
        <f t="shared" si="35"/>
        <v>0.82867095286317127</v>
      </c>
      <c r="N66" s="379">
        <f t="shared" si="35"/>
        <v>0.82581297081542415</v>
      </c>
      <c r="O66" s="379">
        <f t="shared" si="35"/>
        <v>0.82290426611774459</v>
      </c>
      <c r="R66" s="8"/>
      <c r="S66" s="8"/>
      <c r="T66" s="288"/>
      <c r="W66" t="s">
        <v>94</v>
      </c>
      <c r="X66">
        <v>97738820.840000004</v>
      </c>
      <c r="Y66" s="8">
        <f t="shared" si="33"/>
        <v>97.738820840000002</v>
      </c>
    </row>
    <row r="67" spans="1:26">
      <c r="B67" s="117" t="s">
        <v>95</v>
      </c>
      <c r="D67" s="119"/>
      <c r="E67" s="119"/>
      <c r="F67" s="7"/>
      <c r="G67" s="7"/>
      <c r="H67" s="161"/>
      <c r="I67" s="161"/>
      <c r="J67" s="7"/>
      <c r="K67" s="7"/>
      <c r="L67" s="7"/>
      <c r="N67" s="288">
        <v>26</v>
      </c>
      <c r="R67" s="8"/>
      <c r="S67" s="8"/>
      <c r="W67" t="s">
        <v>96</v>
      </c>
      <c r="X67">
        <v>134538602.44</v>
      </c>
      <c r="Y67" s="8">
        <f t="shared" si="33"/>
        <v>134.53860244000001</v>
      </c>
      <c r="Z67" s="36">
        <f>Y67+Y68</f>
        <v>134.56031184</v>
      </c>
    </row>
    <row r="68" spans="1:26" ht="26.25">
      <c r="A68" s="133" t="s">
        <v>97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288"/>
      <c r="O68" s="119"/>
      <c r="P68" s="119"/>
      <c r="Q68" s="119" t="s">
        <v>98</v>
      </c>
      <c r="R68" s="8"/>
      <c r="S68" s="8"/>
      <c r="W68" t="s">
        <v>95</v>
      </c>
      <c r="X68">
        <v>21709.4</v>
      </c>
      <c r="Y68" s="8">
        <f t="shared" si="33"/>
        <v>2.17094E-2</v>
      </c>
    </row>
    <row r="69" spans="1:26" ht="26.25">
      <c r="A69" s="133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8"/>
      <c r="S69" s="8"/>
      <c r="Y69" s="8"/>
    </row>
    <row r="70" spans="1:26">
      <c r="B70" s="1" t="s">
        <v>6</v>
      </c>
      <c r="C70" s="1"/>
      <c r="D70" s="2">
        <v>2010</v>
      </c>
      <c r="E70" s="2">
        <v>2011</v>
      </c>
      <c r="F70" s="2">
        <v>2012</v>
      </c>
      <c r="G70" s="2">
        <v>2013</v>
      </c>
      <c r="H70" s="2">
        <v>2014</v>
      </c>
      <c r="I70" s="2">
        <v>2015</v>
      </c>
      <c r="J70" s="2">
        <v>2016</v>
      </c>
      <c r="K70" s="2">
        <v>2017</v>
      </c>
      <c r="L70" s="2">
        <v>2018</v>
      </c>
      <c r="M70" s="2">
        <v>2019</v>
      </c>
      <c r="N70" s="2">
        <v>2020</v>
      </c>
      <c r="O70" s="2">
        <v>2021</v>
      </c>
      <c r="R70" s="8"/>
    </row>
    <row r="71" spans="1:26">
      <c r="B71" s="3" t="s">
        <v>85</v>
      </c>
      <c r="C71" s="394" t="s">
        <v>28</v>
      </c>
      <c r="D71" s="10">
        <v>81.721000000000004</v>
      </c>
      <c r="E71" s="10">
        <v>84.044355999999993</v>
      </c>
      <c r="F71" s="10">
        <v>86.208770999999999</v>
      </c>
      <c r="G71" s="10">
        <v>89.021339000000012</v>
      </c>
      <c r="H71" s="10">
        <v>93.434331999999998</v>
      </c>
      <c r="I71" s="10">
        <v>98.350320000000011</v>
      </c>
      <c r="J71" s="10">
        <v>111.82259678</v>
      </c>
      <c r="K71" s="10">
        <v>119.6</v>
      </c>
      <c r="L71" s="10">
        <v>126.29</v>
      </c>
      <c r="M71" s="38">
        <v>134.56031184</v>
      </c>
      <c r="N71" s="38">
        <v>140.994698</v>
      </c>
      <c r="O71" s="38">
        <v>138.74536900000001</v>
      </c>
      <c r="P71" s="9"/>
      <c r="Q71" s="7">
        <f>(M71/D71)^(1/9)-1</f>
        <v>5.6975236533198803E-2</v>
      </c>
      <c r="R71" s="8"/>
    </row>
    <row r="72" spans="1:26">
      <c r="B72" s="3" t="s">
        <v>99</v>
      </c>
      <c r="C72" s="395"/>
      <c r="D72" s="38">
        <v>115.951031</v>
      </c>
      <c r="E72" s="38">
        <v>134.65540099999998</v>
      </c>
      <c r="F72" s="38">
        <v>162.90105700000001</v>
      </c>
      <c r="G72" s="38">
        <v>174.79805300000001</v>
      </c>
      <c r="H72" s="38">
        <v>181.19840000000002</v>
      </c>
      <c r="I72" s="38">
        <v>187.285033</v>
      </c>
      <c r="J72" s="38">
        <v>208.71850294000001</v>
      </c>
      <c r="K72" s="38">
        <v>213.40420912000002</v>
      </c>
      <c r="L72" s="38">
        <v>212.29888640000001</v>
      </c>
      <c r="M72" s="38">
        <v>217.30911884</v>
      </c>
      <c r="N72" s="38">
        <v>210.14006599999999</v>
      </c>
      <c r="O72" s="38">
        <v>207.422855</v>
      </c>
      <c r="P72" s="9"/>
      <c r="Q72" s="7">
        <f>(M72/D72)^(1/9)-1</f>
        <v>7.2288088844513654E-2</v>
      </c>
      <c r="R72" s="8"/>
    </row>
    <row r="73" spans="1:26">
      <c r="B73" s="3" t="s">
        <v>100</v>
      </c>
      <c r="C73" s="395"/>
      <c r="D73" s="38">
        <v>35.076498000000001</v>
      </c>
      <c r="E73" s="38">
        <v>33.147844000000006</v>
      </c>
      <c r="F73" s="38">
        <v>36.951712999999998</v>
      </c>
      <c r="G73" s="38">
        <v>39.695903000000001</v>
      </c>
      <c r="H73" s="38">
        <v>36.279471999999998</v>
      </c>
      <c r="I73" s="38">
        <v>37.394832999999998</v>
      </c>
      <c r="J73" s="38">
        <v>43.990423</v>
      </c>
      <c r="K73" s="38">
        <v>47.4</v>
      </c>
      <c r="L73" s="38">
        <v>46.349999999999994</v>
      </c>
      <c r="M73" s="38">
        <v>47.326193000000004</v>
      </c>
      <c r="N73" s="38">
        <v>49.804751000000003</v>
      </c>
      <c r="O73" s="38">
        <v>55.489598000000001</v>
      </c>
      <c r="P73" s="9"/>
      <c r="Q73" s="7">
        <f>(M73/D73)^(1/9)-1</f>
        <v>3.3841418058372152E-2</v>
      </c>
      <c r="R73" s="8"/>
    </row>
    <row r="74" spans="1:26">
      <c r="B74" s="3" t="s">
        <v>101</v>
      </c>
      <c r="C74" s="395"/>
      <c r="D74" s="182">
        <v>1.133</v>
      </c>
      <c r="E74" s="182">
        <v>1.0756749999999999</v>
      </c>
      <c r="F74" s="182">
        <v>1.142336</v>
      </c>
      <c r="G74" s="182">
        <v>1.243592</v>
      </c>
      <c r="H74" s="182">
        <v>1.2172349999999998</v>
      </c>
      <c r="I74" s="182">
        <v>1.1912719999999999</v>
      </c>
      <c r="J74" s="182">
        <v>1.3543529999999999</v>
      </c>
      <c r="K74" s="182">
        <v>1.2</v>
      </c>
      <c r="L74" s="182">
        <v>1.06</v>
      </c>
      <c r="M74" s="182">
        <v>1.1443190000000001</v>
      </c>
      <c r="N74" s="182">
        <v>1.0816749999999999</v>
      </c>
      <c r="O74" s="182">
        <v>1.0194369999999999</v>
      </c>
      <c r="P74" s="9"/>
      <c r="Q74" s="7">
        <f>(M74/D74)^(1/9)-1</f>
        <v>1.1051344554597886E-3</v>
      </c>
      <c r="R74" s="40"/>
      <c r="S74" s="288">
        <v>0</v>
      </c>
      <c r="T74" s="288">
        <v>0</v>
      </c>
    </row>
    <row r="75" spans="1:26">
      <c r="B75" s="3" t="s">
        <v>102</v>
      </c>
      <c r="C75" s="395"/>
      <c r="D75" s="182">
        <v>2.4359500000000001</v>
      </c>
      <c r="E75" s="182">
        <v>2.5393500000000002</v>
      </c>
      <c r="F75" s="182">
        <v>2.38829</v>
      </c>
      <c r="G75" s="182">
        <v>2.0603899999999999</v>
      </c>
      <c r="H75" s="182">
        <v>0.47156999999999999</v>
      </c>
      <c r="I75" s="183"/>
      <c r="J75" s="183"/>
      <c r="K75" s="183"/>
      <c r="L75" s="183"/>
      <c r="M75" s="183"/>
      <c r="N75" s="183"/>
      <c r="O75" s="183"/>
      <c r="P75" s="9"/>
      <c r="Q75" s="9"/>
      <c r="R75" s="40"/>
      <c r="S75" s="288">
        <f t="shared" ref="S75:T75" si="36">SUM(S69:S74)</f>
        <v>0</v>
      </c>
      <c r="T75" s="288">
        <f t="shared" si="36"/>
        <v>0</v>
      </c>
    </row>
    <row r="76" spans="1:26">
      <c r="B76" s="3" t="s">
        <v>103</v>
      </c>
      <c r="C76" s="395"/>
      <c r="D76" s="182">
        <v>2.6597559999999998</v>
      </c>
      <c r="E76" s="182">
        <v>2.4923730000000002</v>
      </c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9"/>
      <c r="Q76" s="9" t="s">
        <v>104</v>
      </c>
      <c r="R76" s="40"/>
      <c r="S76" s="8"/>
    </row>
    <row r="77" spans="1:26">
      <c r="B77" s="3" t="s">
        <v>105</v>
      </c>
      <c r="C77" s="395"/>
      <c r="D77" s="182">
        <v>20.92868</v>
      </c>
      <c r="E77" s="182">
        <v>21.430879999999998</v>
      </c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9"/>
      <c r="Q77" s="9"/>
      <c r="R77" s="40"/>
      <c r="S77" s="8"/>
    </row>
    <row r="78" spans="1:26" ht="15.75" thickBot="1">
      <c r="B78" s="162" t="s">
        <v>106</v>
      </c>
      <c r="C78" s="395"/>
      <c r="D78" s="163">
        <v>0.417049</v>
      </c>
      <c r="E78" s="163">
        <v>0.396289</v>
      </c>
      <c r="F78" s="163">
        <v>0.119864</v>
      </c>
      <c r="G78" s="184"/>
      <c r="H78" s="184"/>
      <c r="I78" s="184"/>
      <c r="J78" s="184"/>
      <c r="K78" s="184"/>
      <c r="L78" s="184"/>
      <c r="M78" s="184"/>
      <c r="N78" s="183"/>
      <c r="O78" s="183"/>
      <c r="P78" s="9"/>
      <c r="Q78" s="9"/>
      <c r="R78" s="40"/>
      <c r="S78" s="8"/>
    </row>
    <row r="79" spans="1:26" ht="15.75" thickBot="1">
      <c r="B79" s="111" t="s">
        <v>107</v>
      </c>
      <c r="C79" s="395"/>
      <c r="D79" s="115">
        <f>SUM(D71:D78)</f>
        <v>260.32296400000001</v>
      </c>
      <c r="E79" s="115">
        <f t="shared" ref="E79:N79" si="37">SUM(E71:E78)</f>
        <v>279.78216800000001</v>
      </c>
      <c r="F79" s="115">
        <f t="shared" si="37"/>
        <v>289.71203099999997</v>
      </c>
      <c r="G79" s="115">
        <f t="shared" si="37"/>
        <v>306.81927699999994</v>
      </c>
      <c r="H79" s="115">
        <f t="shared" si="37"/>
        <v>312.60100900000003</v>
      </c>
      <c r="I79" s="115">
        <f t="shared" si="37"/>
        <v>324.22145800000004</v>
      </c>
      <c r="J79" s="115">
        <f t="shared" si="37"/>
        <v>365.88587572000006</v>
      </c>
      <c r="K79" s="115">
        <f t="shared" si="37"/>
        <v>381.60420912000001</v>
      </c>
      <c r="L79" s="115">
        <f t="shared" si="37"/>
        <v>385.9988864</v>
      </c>
      <c r="M79" s="266">
        <f t="shared" si="37"/>
        <v>400.33994267999998</v>
      </c>
      <c r="N79" s="266">
        <f t="shared" si="37"/>
        <v>402.02119000000005</v>
      </c>
      <c r="O79" s="266">
        <v>401.65782200000001</v>
      </c>
      <c r="P79" s="381">
        <f>(O79+O80)/O6*1000000</f>
        <v>4192.3708698993005</v>
      </c>
      <c r="Q79" s="313">
        <f>(O79/D79)^(1/10)-1</f>
        <v>4.4321874415840679E-2</v>
      </c>
      <c r="R79" s="40"/>
      <c r="S79" s="8"/>
    </row>
    <row r="80" spans="1:26">
      <c r="B80" s="3" t="s">
        <v>108</v>
      </c>
      <c r="C80" s="395"/>
      <c r="D80" s="38">
        <v>11.397786</v>
      </c>
      <c r="E80" s="38">
        <v>10.69897117713213</v>
      </c>
      <c r="F80" s="38">
        <v>10.018831</v>
      </c>
      <c r="G80" s="38">
        <v>10.86116</v>
      </c>
      <c r="H80" s="38">
        <v>11.353982</v>
      </c>
      <c r="I80" s="38">
        <v>12.21865</v>
      </c>
      <c r="J80" s="38">
        <v>11.816122999999999</v>
      </c>
      <c r="K80" s="38">
        <v>11.893601</v>
      </c>
      <c r="L80" s="38">
        <v>12.155467</v>
      </c>
      <c r="M80" s="38">
        <v>13.0465</v>
      </c>
      <c r="N80" s="38">
        <v>12.987965999999998</v>
      </c>
      <c r="O80" s="38">
        <v>13.001196</v>
      </c>
      <c r="P80" s="9"/>
      <c r="Q80" s="8"/>
      <c r="V80" s="1"/>
    </row>
    <row r="81" spans="2:22">
      <c r="B81" s="3" t="s">
        <v>109</v>
      </c>
      <c r="C81" s="396"/>
      <c r="D81" s="45">
        <f>D$48-D$79-D$80</f>
        <v>29.318249999999974</v>
      </c>
      <c r="E81" s="45">
        <f t="shared" ref="E81:O81" si="38">E$48-E$79-E$80</f>
        <v>33.352860822867861</v>
      </c>
      <c r="F81" s="45">
        <f t="shared" si="38"/>
        <v>36.789138000000015</v>
      </c>
      <c r="G81" s="45">
        <f t="shared" si="38"/>
        <v>36.54421400000011</v>
      </c>
      <c r="H81" s="45">
        <f t="shared" si="38"/>
        <v>38.488607999999971</v>
      </c>
      <c r="I81" s="45">
        <f t="shared" si="38"/>
        <v>41.191743999999886</v>
      </c>
      <c r="J81" s="45">
        <f t="shared" si="38"/>
        <v>31.968436279999942</v>
      </c>
      <c r="K81" s="45">
        <f t="shared" si="38"/>
        <v>30.33046287999996</v>
      </c>
      <c r="L81" s="45">
        <f t="shared" si="38"/>
        <v>29.669350599999959</v>
      </c>
      <c r="M81" s="45">
        <f t="shared" si="38"/>
        <v>34.175286320000033</v>
      </c>
      <c r="N81" s="45">
        <v>21.006128444444002</v>
      </c>
      <c r="O81" s="45">
        <f t="shared" si="38"/>
        <v>21.938981999999946</v>
      </c>
      <c r="P81" s="9"/>
      <c r="Q81" s="8" t="s">
        <v>110</v>
      </c>
      <c r="V81" s="1"/>
    </row>
    <row r="82" spans="2:22">
      <c r="B82" s="3" t="s">
        <v>111</v>
      </c>
      <c r="C82" s="268"/>
      <c r="D82" s="164">
        <f t="shared" ref="D82:O82" si="39">D81/D48</f>
        <v>9.7390205255797335E-2</v>
      </c>
      <c r="E82" s="164">
        <f t="shared" si="39"/>
        <v>0.10299369684118363</v>
      </c>
      <c r="F82" s="164">
        <f t="shared" si="39"/>
        <v>0.10932229288006662</v>
      </c>
      <c r="G82" s="164">
        <f t="shared" si="39"/>
        <v>0.10316677254627347</v>
      </c>
      <c r="H82" s="164">
        <f t="shared" si="39"/>
        <v>0.10619199264710968</v>
      </c>
      <c r="I82" s="164">
        <f t="shared" si="39"/>
        <v>0.10907910384635641</v>
      </c>
      <c r="J82" s="164">
        <f t="shared" si="39"/>
        <v>7.8034521285383809E-2</v>
      </c>
      <c r="K82" s="164">
        <f t="shared" si="39"/>
        <v>7.1563094800898203E-2</v>
      </c>
      <c r="L82" s="164">
        <f t="shared" si="39"/>
        <v>6.9349478120548369E-2</v>
      </c>
      <c r="M82" s="164">
        <f t="shared" si="39"/>
        <v>7.6358821824106485E-2</v>
      </c>
      <c r="N82" s="164">
        <f t="shared" si="39"/>
        <v>4.7542991684513175E-2</v>
      </c>
      <c r="O82" s="164">
        <f t="shared" si="39"/>
        <v>5.0249845395535363E-2</v>
      </c>
      <c r="P82" s="9"/>
      <c r="Q82" s="8"/>
      <c r="V82" s="1"/>
    </row>
    <row r="83" spans="2:22">
      <c r="B83" s="140"/>
      <c r="C83" s="16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/>
      <c r="R83" s="240">
        <f>1/3</f>
        <v>0.33333333333333331</v>
      </c>
      <c r="V83" s="1"/>
    </row>
    <row r="84" spans="2:22">
      <c r="B84" s="172" t="s">
        <v>112</v>
      </c>
      <c r="C84" s="269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9"/>
      <c r="V84" s="1"/>
    </row>
    <row r="85" spans="2:22">
      <c r="B85" s="174" t="s">
        <v>113</v>
      </c>
      <c r="C85" s="389" t="s">
        <v>28</v>
      </c>
      <c r="D85" s="175">
        <f>0.27*D$72</f>
        <v>31.306778370000004</v>
      </c>
      <c r="E85" s="175">
        <f t="shared" ref="E85:O85" si="40">0.27*E$72</f>
        <v>36.35695827</v>
      </c>
      <c r="F85" s="175">
        <f t="shared" si="40"/>
        <v>43.983285390000006</v>
      </c>
      <c r="G85" s="175">
        <f t="shared" si="40"/>
        <v>47.195474310000009</v>
      </c>
      <c r="H85" s="175">
        <f t="shared" si="40"/>
        <v>48.92356800000001</v>
      </c>
      <c r="I85" s="175">
        <f t="shared" si="40"/>
        <v>50.566958910000004</v>
      </c>
      <c r="J85" s="175">
        <f t="shared" si="40"/>
        <v>56.353995793800003</v>
      </c>
      <c r="K85" s="175">
        <f t="shared" si="40"/>
        <v>57.619136462400007</v>
      </c>
      <c r="L85" s="175">
        <f t="shared" si="40"/>
        <v>57.320699328000011</v>
      </c>
      <c r="M85" s="175">
        <f t="shared" si="40"/>
        <v>58.673462086800001</v>
      </c>
      <c r="N85" s="175">
        <f t="shared" si="40"/>
        <v>56.737817820000004</v>
      </c>
      <c r="O85" s="175">
        <f t="shared" si="40"/>
        <v>56.004170850000001</v>
      </c>
      <c r="P85" s="9" t="s">
        <v>114</v>
      </c>
      <c r="Q85" s="8"/>
      <c r="R85" t="s">
        <v>115</v>
      </c>
      <c r="V85" s="1"/>
    </row>
    <row r="86" spans="2:22">
      <c r="B86" s="174" t="s">
        <v>116</v>
      </c>
      <c r="C86" s="390"/>
      <c r="D86" s="175">
        <f>0.38*D$72</f>
        <v>44.061391780000001</v>
      </c>
      <c r="E86" s="175">
        <f t="shared" ref="E86:L86" si="41">0.38*E$72</f>
        <v>51.169052379999997</v>
      </c>
      <c r="F86" s="175">
        <f t="shared" si="41"/>
        <v>61.902401660000002</v>
      </c>
      <c r="G86" s="175">
        <f t="shared" si="41"/>
        <v>66.423260140000011</v>
      </c>
      <c r="H86" s="176">
        <v>70.95</v>
      </c>
      <c r="I86" s="176">
        <v>70.569999999999993</v>
      </c>
      <c r="J86" s="175">
        <f t="shared" si="41"/>
        <v>79.313031117199998</v>
      </c>
      <c r="K86" s="175">
        <f t="shared" si="41"/>
        <v>81.093599465600008</v>
      </c>
      <c r="L86" s="175">
        <f t="shared" si="41"/>
        <v>80.673576832000009</v>
      </c>
      <c r="M86" s="175">
        <f>0.38*M$72</f>
        <v>82.577465159200003</v>
      </c>
      <c r="N86" s="175">
        <f>0.38*N$72</f>
        <v>79.853225080000001</v>
      </c>
      <c r="O86" s="175">
        <f>0.38*O$72</f>
        <v>78.820684900000003</v>
      </c>
      <c r="P86" s="9" t="s">
        <v>117</v>
      </c>
      <c r="Q86" s="8"/>
      <c r="R86" t="s">
        <v>115</v>
      </c>
      <c r="V86" s="1"/>
    </row>
    <row r="87" spans="2:22">
      <c r="B87" s="174" t="s">
        <v>118</v>
      </c>
      <c r="C87" s="390"/>
      <c r="D87" s="175">
        <f>0.35*D$72</f>
        <v>40.582860849999996</v>
      </c>
      <c r="E87" s="175">
        <f t="shared" ref="E87:L87" si="42">0.35*E$72</f>
        <v>47.129390349999994</v>
      </c>
      <c r="F87" s="175">
        <f t="shared" si="42"/>
        <v>57.01536995</v>
      </c>
      <c r="G87" s="175">
        <f t="shared" si="42"/>
        <v>61.179318549999998</v>
      </c>
      <c r="H87" s="176">
        <v>61.97</v>
      </c>
      <c r="I87" s="176">
        <v>65.78</v>
      </c>
      <c r="J87" s="175">
        <f t="shared" si="42"/>
        <v>73.051476029</v>
      </c>
      <c r="K87" s="175">
        <f t="shared" si="42"/>
        <v>74.691473192000004</v>
      </c>
      <c r="L87" s="175">
        <f t="shared" si="42"/>
        <v>74.304610240000002</v>
      </c>
      <c r="M87" s="175">
        <f>0.35*M$72</f>
        <v>76.058191593999993</v>
      </c>
      <c r="N87" s="175">
        <f>0.35*N$72</f>
        <v>73.549023099999985</v>
      </c>
      <c r="O87" s="175">
        <f>0.35*O$72</f>
        <v>72.597999250000001</v>
      </c>
      <c r="P87" s="9" t="s">
        <v>119</v>
      </c>
      <c r="Q87" s="8"/>
      <c r="R87" t="s">
        <v>115</v>
      </c>
      <c r="V87" s="1"/>
    </row>
    <row r="88" spans="2:22">
      <c r="B88" s="140"/>
      <c r="C88" s="390"/>
      <c r="D88" s="140"/>
      <c r="E88" s="140"/>
      <c r="K88" s="140"/>
      <c r="L88" s="140"/>
      <c r="M88" s="140"/>
      <c r="N88" s="140"/>
      <c r="O88" s="140"/>
      <c r="P88" s="9"/>
      <c r="Q88" s="8"/>
      <c r="V88" s="1"/>
    </row>
    <row r="89" spans="2:22">
      <c r="B89" s="172" t="s">
        <v>120</v>
      </c>
      <c r="C89" s="390"/>
      <c r="D89" s="174"/>
      <c r="E89" s="174"/>
      <c r="F89" s="173"/>
      <c r="G89" s="173"/>
      <c r="H89" s="173"/>
      <c r="I89" s="173"/>
      <c r="J89" s="173"/>
      <c r="K89" s="174"/>
      <c r="L89" s="174"/>
      <c r="M89" s="174"/>
      <c r="N89" s="174"/>
      <c r="O89" s="174"/>
      <c r="P89" s="9"/>
      <c r="Q89" s="8"/>
      <c r="V89" s="1"/>
    </row>
    <row r="90" spans="2:22">
      <c r="B90" s="174" t="s">
        <v>121</v>
      </c>
      <c r="C90" s="390"/>
      <c r="D90" s="175">
        <v>0</v>
      </c>
      <c r="E90" s="175">
        <v>0</v>
      </c>
      <c r="F90" s="175">
        <v>0</v>
      </c>
      <c r="G90" s="175">
        <v>0</v>
      </c>
      <c r="H90" s="175">
        <v>0</v>
      </c>
      <c r="I90" s="175">
        <v>0</v>
      </c>
      <c r="J90" s="175">
        <v>0</v>
      </c>
      <c r="K90" s="175">
        <v>0</v>
      </c>
      <c r="L90" s="175">
        <v>5.4580000000000002</v>
      </c>
      <c r="M90" s="175">
        <v>5.7031499999999999</v>
      </c>
      <c r="N90" s="354">
        <v>5.7031499999999999</v>
      </c>
      <c r="O90" s="175">
        <v>7.1610726643598621</v>
      </c>
      <c r="P90" s="9"/>
      <c r="Q90" s="8"/>
      <c r="V90" s="1"/>
    </row>
    <row r="91" spans="2:22">
      <c r="B91" s="174" t="s">
        <v>122</v>
      </c>
      <c r="C91" s="390"/>
      <c r="D91" s="177">
        <f>D$56-D$90</f>
        <v>55.221600000000002</v>
      </c>
      <c r="E91" s="177">
        <f t="shared" ref="E91:N91" si="43">E$56-E$90</f>
        <v>66.432000000000002</v>
      </c>
      <c r="F91" s="177">
        <f t="shared" si="43"/>
        <v>67.2624</v>
      </c>
      <c r="G91" s="177">
        <f t="shared" si="43"/>
        <v>68.092800000000011</v>
      </c>
      <c r="H91" s="177">
        <f t="shared" si="43"/>
        <v>68.923200000000008</v>
      </c>
      <c r="I91" s="177">
        <f t="shared" si="43"/>
        <v>69.753600000000006</v>
      </c>
      <c r="J91" s="177">
        <f t="shared" si="43"/>
        <v>70.584000000000003</v>
      </c>
      <c r="K91" s="177">
        <f t="shared" si="43"/>
        <v>71.414400000000001</v>
      </c>
      <c r="L91" s="177">
        <f t="shared" si="43"/>
        <v>66.786800000000014</v>
      </c>
      <c r="M91" s="177">
        <f t="shared" si="43"/>
        <v>75.366457510920014</v>
      </c>
      <c r="N91" s="355">
        <f t="shared" si="43"/>
        <v>35.816850000000002</v>
      </c>
      <c r="O91" s="177">
        <v>58.679136330390172</v>
      </c>
      <c r="P91" s="9"/>
      <c r="Q91" s="8"/>
      <c r="V91" s="1"/>
    </row>
    <row r="92" spans="2:22">
      <c r="B92" s="140"/>
      <c r="C92" s="390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9"/>
      <c r="Q92" s="8"/>
      <c r="V92" s="1"/>
    </row>
    <row r="93" spans="2:22">
      <c r="B93" s="172" t="s">
        <v>123</v>
      </c>
      <c r="C93" s="390"/>
      <c r="D93" s="174"/>
      <c r="E93" s="174"/>
      <c r="F93" s="173"/>
      <c r="G93" s="173"/>
      <c r="H93" s="173"/>
      <c r="I93" s="173"/>
      <c r="J93" s="173"/>
      <c r="K93" s="174"/>
      <c r="L93" s="174"/>
      <c r="M93" s="174"/>
      <c r="N93" s="174"/>
      <c r="O93" s="174"/>
      <c r="P93" s="9"/>
      <c r="Q93" s="8"/>
      <c r="V93" s="1"/>
    </row>
    <row r="94" spans="2:22">
      <c r="B94" s="174" t="s">
        <v>124</v>
      </c>
      <c r="C94" s="390"/>
      <c r="D94" s="175">
        <f>D85</f>
        <v>31.306778370000004</v>
      </c>
      <c r="E94" s="175">
        <f t="shared" ref="E94:O94" si="44">E85</f>
        <v>36.35695827</v>
      </c>
      <c r="F94" s="175">
        <f t="shared" si="44"/>
        <v>43.983285390000006</v>
      </c>
      <c r="G94" s="175">
        <f t="shared" si="44"/>
        <v>47.195474310000009</v>
      </c>
      <c r="H94" s="175">
        <f t="shared" si="44"/>
        <v>48.92356800000001</v>
      </c>
      <c r="I94" s="175">
        <f t="shared" si="44"/>
        <v>50.566958910000004</v>
      </c>
      <c r="J94" s="175">
        <f t="shared" si="44"/>
        <v>56.353995793800003</v>
      </c>
      <c r="K94" s="175">
        <f t="shared" si="44"/>
        <v>57.619136462400007</v>
      </c>
      <c r="L94" s="175">
        <f t="shared" si="44"/>
        <v>57.320699328000011</v>
      </c>
      <c r="M94" s="175">
        <f t="shared" si="44"/>
        <v>58.673462086800001</v>
      </c>
      <c r="N94" s="175">
        <f t="shared" si="44"/>
        <v>56.737817820000004</v>
      </c>
      <c r="O94" s="175">
        <f t="shared" si="44"/>
        <v>56.004170850000001</v>
      </c>
      <c r="P94" s="9"/>
      <c r="Q94" s="8"/>
      <c r="V94" s="1"/>
    </row>
    <row r="95" spans="2:22">
      <c r="B95" s="174" t="s">
        <v>121</v>
      </c>
      <c r="C95" s="390"/>
      <c r="D95" s="175">
        <f>D90</f>
        <v>0</v>
      </c>
      <c r="E95" s="175">
        <f t="shared" ref="E95:O95" si="45">E90</f>
        <v>0</v>
      </c>
      <c r="F95" s="175">
        <f t="shared" si="45"/>
        <v>0</v>
      </c>
      <c r="G95" s="175">
        <f t="shared" si="45"/>
        <v>0</v>
      </c>
      <c r="H95" s="175">
        <f t="shared" si="45"/>
        <v>0</v>
      </c>
      <c r="I95" s="175">
        <f t="shared" si="45"/>
        <v>0</v>
      </c>
      <c r="J95" s="175">
        <f t="shared" si="45"/>
        <v>0</v>
      </c>
      <c r="K95" s="175">
        <f t="shared" si="45"/>
        <v>0</v>
      </c>
      <c r="L95" s="175">
        <f t="shared" si="45"/>
        <v>5.4580000000000002</v>
      </c>
      <c r="M95" s="175">
        <f t="shared" si="45"/>
        <v>5.7031499999999999</v>
      </c>
      <c r="N95" s="175">
        <f t="shared" si="45"/>
        <v>5.7031499999999999</v>
      </c>
      <c r="O95" s="175">
        <f t="shared" si="45"/>
        <v>7.1610726643598621</v>
      </c>
      <c r="P95" s="9"/>
      <c r="Q95" s="8"/>
      <c r="V95" s="1"/>
    </row>
    <row r="96" spans="2:22">
      <c r="B96" s="178" t="s">
        <v>125</v>
      </c>
      <c r="C96" s="390"/>
      <c r="D96" s="175">
        <f>SUM(D94:D95)</f>
        <v>31.306778370000004</v>
      </c>
      <c r="E96" s="175">
        <f t="shared" ref="E96:O96" si="46">SUM(E94:E95)</f>
        <v>36.35695827</v>
      </c>
      <c r="F96" s="175">
        <f t="shared" si="46"/>
        <v>43.983285390000006</v>
      </c>
      <c r="G96" s="175">
        <f t="shared" si="46"/>
        <v>47.195474310000009</v>
      </c>
      <c r="H96" s="175">
        <f t="shared" si="46"/>
        <v>48.92356800000001</v>
      </c>
      <c r="I96" s="175">
        <f t="shared" si="46"/>
        <v>50.566958910000004</v>
      </c>
      <c r="J96" s="175">
        <f t="shared" si="46"/>
        <v>56.353995793800003</v>
      </c>
      <c r="K96" s="175">
        <f t="shared" si="46"/>
        <v>57.619136462400007</v>
      </c>
      <c r="L96" s="175">
        <f t="shared" si="46"/>
        <v>62.778699328000009</v>
      </c>
      <c r="M96" s="175">
        <f t="shared" si="46"/>
        <v>64.376612086799994</v>
      </c>
      <c r="N96" s="175">
        <f t="shared" si="46"/>
        <v>62.440967820000004</v>
      </c>
      <c r="O96" s="175">
        <f t="shared" si="46"/>
        <v>63.165243514359865</v>
      </c>
      <c r="P96" s="9"/>
      <c r="Q96" s="8"/>
      <c r="S96" s="7">
        <f>(M96/D96)^(1/9)-1</f>
        <v>8.3397299590165064E-2</v>
      </c>
      <c r="V96" s="1"/>
    </row>
    <row r="97" spans="2:22">
      <c r="B97" s="8"/>
      <c r="C97" s="390"/>
      <c r="L97" s="140">
        <f>U97/L96</f>
        <v>0.33578268147709267</v>
      </c>
      <c r="P97" s="9"/>
      <c r="Q97" s="8"/>
      <c r="U97">
        <v>21.08</v>
      </c>
      <c r="V97" s="1" t="s">
        <v>126</v>
      </c>
    </row>
    <row r="98" spans="2:22">
      <c r="B98" s="172" t="s">
        <v>127</v>
      </c>
      <c r="C98" s="390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9"/>
      <c r="Q98" s="8"/>
      <c r="R98" t="s">
        <v>128</v>
      </c>
      <c r="S98" t="s">
        <v>129</v>
      </c>
      <c r="V98" s="1"/>
    </row>
    <row r="99" spans="2:22">
      <c r="B99" s="174" t="s">
        <v>130</v>
      </c>
      <c r="C99" s="390"/>
      <c r="D99" s="179">
        <f>D$73+D$74</f>
        <v>36.209498000000004</v>
      </c>
      <c r="E99" s="179">
        <f t="shared" ref="E99:O99" si="47">E$73+E$74</f>
        <v>34.223519000000003</v>
      </c>
      <c r="F99" s="179">
        <f t="shared" si="47"/>
        <v>38.094048999999998</v>
      </c>
      <c r="G99" s="179">
        <f t="shared" si="47"/>
        <v>40.939495000000001</v>
      </c>
      <c r="H99" s="179">
        <f t="shared" si="47"/>
        <v>37.496707000000001</v>
      </c>
      <c r="I99" s="179">
        <f t="shared" si="47"/>
        <v>38.586104999999996</v>
      </c>
      <c r="J99" s="179">
        <f t="shared" si="47"/>
        <v>45.344776000000003</v>
      </c>
      <c r="K99" s="179">
        <f t="shared" si="47"/>
        <v>48.6</v>
      </c>
      <c r="L99" s="179">
        <f t="shared" si="47"/>
        <v>47.41</v>
      </c>
      <c r="M99" s="179">
        <f t="shared" si="47"/>
        <v>48.470512000000006</v>
      </c>
      <c r="N99" s="179">
        <f t="shared" si="47"/>
        <v>50.886426</v>
      </c>
      <c r="O99" s="179">
        <f t="shared" si="47"/>
        <v>56.509034999999997</v>
      </c>
      <c r="P99" s="9"/>
      <c r="Q99" s="8"/>
      <c r="R99" s="36">
        <f>SUM(D99:M99)/10</f>
        <v>41.537466100000003</v>
      </c>
      <c r="S99" s="7">
        <f>(M99/D99)^(1/9)-1</f>
        <v>3.2934514660969638E-2</v>
      </c>
      <c r="V99" s="1"/>
    </row>
    <row r="100" spans="2:22">
      <c r="B100" s="174" t="s">
        <v>131</v>
      </c>
      <c r="C100" s="390"/>
      <c r="D100" s="181">
        <f>D$86+D$87+D$75+D$78</f>
        <v>87.497251630000008</v>
      </c>
      <c r="E100" s="181">
        <f t="shared" ref="E100:O100" si="48">E$86+E$87+E$75+E$78</f>
        <v>101.23408172999999</v>
      </c>
      <c r="F100" s="181">
        <f t="shared" si="48"/>
        <v>121.42592561000001</v>
      </c>
      <c r="G100" s="181">
        <f t="shared" si="48"/>
        <v>129.66296869000001</v>
      </c>
      <c r="H100" s="181">
        <f t="shared" si="48"/>
        <v>133.39157000000003</v>
      </c>
      <c r="I100" s="181">
        <f t="shared" si="48"/>
        <v>136.35</v>
      </c>
      <c r="J100" s="181">
        <f t="shared" si="48"/>
        <v>152.3645071462</v>
      </c>
      <c r="K100" s="181">
        <f t="shared" si="48"/>
        <v>155.78507265760001</v>
      </c>
      <c r="L100" s="181">
        <f t="shared" si="48"/>
        <v>154.97818707200003</v>
      </c>
      <c r="M100" s="181">
        <f t="shared" si="48"/>
        <v>158.63565675320001</v>
      </c>
      <c r="N100" s="181">
        <f t="shared" si="48"/>
        <v>153.40224817999999</v>
      </c>
      <c r="O100" s="181">
        <f t="shared" si="48"/>
        <v>151.41868414999999</v>
      </c>
      <c r="P100" s="9"/>
      <c r="Q100" s="8"/>
      <c r="R100" s="36">
        <f>SUM(D100:M100)/10</f>
        <v>133.13252212890001</v>
      </c>
      <c r="S100" s="7">
        <f>(M100/D100)^(1/9)-1</f>
        <v>6.8345738840162706E-2</v>
      </c>
      <c r="V100" s="1"/>
    </row>
    <row r="101" spans="2:22">
      <c r="B101" s="174" t="s">
        <v>122</v>
      </c>
      <c r="C101" s="390"/>
      <c r="D101" s="180">
        <f>D91</f>
        <v>55.221600000000002</v>
      </c>
      <c r="E101" s="180">
        <f t="shared" ref="E101:O101" si="49">E91</f>
        <v>66.432000000000002</v>
      </c>
      <c r="F101" s="180">
        <f t="shared" si="49"/>
        <v>67.2624</v>
      </c>
      <c r="G101" s="180">
        <f t="shared" si="49"/>
        <v>68.092800000000011</v>
      </c>
      <c r="H101" s="180">
        <f t="shared" si="49"/>
        <v>68.923200000000008</v>
      </c>
      <c r="I101" s="180">
        <f t="shared" si="49"/>
        <v>69.753600000000006</v>
      </c>
      <c r="J101" s="180">
        <f t="shared" si="49"/>
        <v>70.584000000000003</v>
      </c>
      <c r="K101" s="180">
        <f t="shared" si="49"/>
        <v>71.414400000000001</v>
      </c>
      <c r="L101" s="180">
        <f t="shared" si="49"/>
        <v>66.786800000000014</v>
      </c>
      <c r="M101" s="180">
        <f t="shared" si="49"/>
        <v>75.366457510920014</v>
      </c>
      <c r="N101" s="180">
        <f t="shared" si="49"/>
        <v>35.816850000000002</v>
      </c>
      <c r="O101" s="180">
        <f t="shared" si="49"/>
        <v>58.679136330390172</v>
      </c>
      <c r="P101" s="9"/>
      <c r="Q101" s="8"/>
      <c r="R101" s="36">
        <f>SUM(D101:M101)/10</f>
        <v>67.983725751091995</v>
      </c>
      <c r="S101" s="7">
        <f>(M101/D101)^(1/9)-1</f>
        <v>3.5160471236044488E-2</v>
      </c>
      <c r="V101" s="1"/>
    </row>
    <row r="102" spans="2:22">
      <c r="B102" s="178" t="s">
        <v>125</v>
      </c>
      <c r="C102" s="391"/>
      <c r="D102" s="176">
        <f>SUM(D99:D101)</f>
        <v>178.92834963000001</v>
      </c>
      <c r="E102" s="176">
        <f t="shared" ref="E102:O102" si="50">SUM(E99:E101)</f>
        <v>201.88960072999998</v>
      </c>
      <c r="F102" s="176">
        <f t="shared" si="50"/>
        <v>226.78237461000003</v>
      </c>
      <c r="G102" s="176">
        <f t="shared" si="50"/>
        <v>238.69526369000002</v>
      </c>
      <c r="H102" s="176">
        <f t="shared" si="50"/>
        <v>239.81147700000002</v>
      </c>
      <c r="I102" s="176">
        <f t="shared" si="50"/>
        <v>244.689705</v>
      </c>
      <c r="J102" s="176">
        <f t="shared" si="50"/>
        <v>268.2932831462</v>
      </c>
      <c r="K102" s="176">
        <f t="shared" si="50"/>
        <v>275.79947265760001</v>
      </c>
      <c r="L102" s="176">
        <f t="shared" si="50"/>
        <v>269.17498707200002</v>
      </c>
      <c r="M102" s="176">
        <f t="shared" si="50"/>
        <v>282.47262626412004</v>
      </c>
      <c r="N102" s="176">
        <f t="shared" si="50"/>
        <v>240.10552417999997</v>
      </c>
      <c r="O102" s="176">
        <f t="shared" si="50"/>
        <v>266.60685548039015</v>
      </c>
      <c r="P102" s="9"/>
      <c r="Q102" s="8"/>
      <c r="R102" s="36">
        <f>SUM(D102:M102)/10</f>
        <v>242.65371397999201</v>
      </c>
      <c r="S102" s="7">
        <f>(M102/D102)^(1/9)-1</f>
        <v>5.2041867459639679E-2</v>
      </c>
      <c r="V102" s="1"/>
    </row>
    <row r="103" spans="2:22"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R103" s="8"/>
    </row>
    <row r="104" spans="2:22">
      <c r="B104" s="112" t="s">
        <v>132</v>
      </c>
      <c r="C104" s="31"/>
      <c r="R104" s="8"/>
    </row>
    <row r="105" spans="2:22">
      <c r="B105" s="3" t="s">
        <v>133</v>
      </c>
      <c r="C105" s="268" t="s">
        <v>28</v>
      </c>
      <c r="D105" s="38">
        <f>D$71</f>
        <v>81.721000000000004</v>
      </c>
      <c r="E105" s="38">
        <f t="shared" ref="E105:O105" si="51">E$71</f>
        <v>84.044355999999993</v>
      </c>
      <c r="F105" s="38">
        <f t="shared" si="51"/>
        <v>86.208770999999999</v>
      </c>
      <c r="G105" s="38">
        <f t="shared" si="51"/>
        <v>89.021339000000012</v>
      </c>
      <c r="H105" s="38">
        <f t="shared" si="51"/>
        <v>93.434331999999998</v>
      </c>
      <c r="I105" s="38">
        <f t="shared" si="51"/>
        <v>98.350320000000011</v>
      </c>
      <c r="J105" s="38">
        <f t="shared" si="51"/>
        <v>111.82259678</v>
      </c>
      <c r="K105" s="38">
        <f t="shared" si="51"/>
        <v>119.6</v>
      </c>
      <c r="L105" s="38">
        <f t="shared" si="51"/>
        <v>126.29</v>
      </c>
      <c r="M105" s="38">
        <f t="shared" si="51"/>
        <v>134.56031184</v>
      </c>
      <c r="N105" s="38">
        <f t="shared" si="51"/>
        <v>140.994698</v>
      </c>
      <c r="O105" s="38">
        <f t="shared" si="51"/>
        <v>138.74536900000001</v>
      </c>
      <c r="P105" s="9"/>
      <c r="Q105" s="239">
        <v>0.26</v>
      </c>
      <c r="R105" s="8"/>
    </row>
    <row r="106" spans="2:22">
      <c r="B106" s="3" t="s">
        <v>134</v>
      </c>
      <c r="C106" s="268" t="s">
        <v>28</v>
      </c>
      <c r="D106" s="10">
        <f>D$102</f>
        <v>178.92834963000001</v>
      </c>
      <c r="E106" s="10">
        <f t="shared" ref="E106:O106" si="52">E$102</f>
        <v>201.88960072999998</v>
      </c>
      <c r="F106" s="10">
        <f t="shared" si="52"/>
        <v>226.78237461000003</v>
      </c>
      <c r="G106" s="10">
        <f t="shared" si="52"/>
        <v>238.69526369000002</v>
      </c>
      <c r="H106" s="10">
        <f t="shared" si="52"/>
        <v>239.81147700000002</v>
      </c>
      <c r="I106" s="10">
        <f t="shared" si="52"/>
        <v>244.689705</v>
      </c>
      <c r="J106" s="10">
        <f t="shared" si="52"/>
        <v>268.2932831462</v>
      </c>
      <c r="K106" s="10">
        <f t="shared" si="52"/>
        <v>275.79947265760001</v>
      </c>
      <c r="L106" s="10">
        <f t="shared" si="52"/>
        <v>269.17498707200002</v>
      </c>
      <c r="M106" s="10">
        <f t="shared" si="52"/>
        <v>282.47262626412004</v>
      </c>
      <c r="N106" s="10">
        <f t="shared" si="52"/>
        <v>240.10552417999997</v>
      </c>
      <c r="O106" s="10">
        <f t="shared" si="52"/>
        <v>266.60685548039015</v>
      </c>
      <c r="P106" s="9"/>
      <c r="Q106" s="238">
        <v>0.6</v>
      </c>
      <c r="R106" s="8"/>
    </row>
    <row r="107" spans="2:22">
      <c r="B107" s="3" t="s">
        <v>135</v>
      </c>
      <c r="C107" s="268" t="s">
        <v>28</v>
      </c>
      <c r="D107" s="10">
        <f>D$96</f>
        <v>31.306778370000004</v>
      </c>
      <c r="E107" s="10">
        <f t="shared" ref="E107:O107" si="53">E$96</f>
        <v>36.35695827</v>
      </c>
      <c r="F107" s="10">
        <f t="shared" si="53"/>
        <v>43.983285390000006</v>
      </c>
      <c r="G107" s="10">
        <f t="shared" si="53"/>
        <v>47.195474310000009</v>
      </c>
      <c r="H107" s="10">
        <f t="shared" si="53"/>
        <v>48.92356800000001</v>
      </c>
      <c r="I107" s="10">
        <f t="shared" si="53"/>
        <v>50.566958910000004</v>
      </c>
      <c r="J107" s="10">
        <f t="shared" si="53"/>
        <v>56.353995793800003</v>
      </c>
      <c r="K107" s="10">
        <f t="shared" si="53"/>
        <v>57.619136462400007</v>
      </c>
      <c r="L107" s="10">
        <f t="shared" si="53"/>
        <v>62.778699328000009</v>
      </c>
      <c r="M107" s="10">
        <f t="shared" si="53"/>
        <v>64.376612086799994</v>
      </c>
      <c r="N107" s="10">
        <f t="shared" si="53"/>
        <v>62.440967820000004</v>
      </c>
      <c r="O107" s="10">
        <f t="shared" si="53"/>
        <v>63.165243514359865</v>
      </c>
      <c r="P107" s="9"/>
      <c r="Q107" s="238">
        <v>0.14000000000000001</v>
      </c>
      <c r="R107" s="8"/>
    </row>
    <row r="108" spans="2:22">
      <c r="B108" s="111" t="s">
        <v>136</v>
      </c>
      <c r="C108" s="268" t="s">
        <v>28</v>
      </c>
      <c r="D108" s="114">
        <f>SUM(D105:D107)</f>
        <v>291.95612800000004</v>
      </c>
      <c r="E108" s="114">
        <f t="shared" ref="E108:O108" si="54">SUM(E105:E107)</f>
        <v>322.29091499999998</v>
      </c>
      <c r="F108" s="114">
        <f t="shared" si="54"/>
        <v>356.97443100000004</v>
      </c>
      <c r="G108" s="114">
        <f t="shared" si="54"/>
        <v>374.91207700000007</v>
      </c>
      <c r="H108" s="114">
        <f t="shared" si="54"/>
        <v>382.169377</v>
      </c>
      <c r="I108" s="114">
        <f t="shared" si="54"/>
        <v>393.60698391</v>
      </c>
      <c r="J108" s="114">
        <f t="shared" si="54"/>
        <v>436.46987572</v>
      </c>
      <c r="K108" s="114">
        <f t="shared" si="54"/>
        <v>453.01860911999995</v>
      </c>
      <c r="L108" s="114">
        <f t="shared" si="54"/>
        <v>458.24368640000006</v>
      </c>
      <c r="M108" s="114">
        <f t="shared" si="54"/>
        <v>481.40955019092002</v>
      </c>
      <c r="N108" s="114">
        <f t="shared" si="54"/>
        <v>443.54118999999997</v>
      </c>
      <c r="O108" s="114">
        <f t="shared" si="54"/>
        <v>468.51746799475006</v>
      </c>
      <c r="P108" s="9"/>
      <c r="R108" s="8"/>
    </row>
    <row r="109" spans="2:22">
      <c r="C109" s="165"/>
      <c r="D109" s="36"/>
      <c r="E109" s="36"/>
      <c r="R109" s="8"/>
    </row>
    <row r="110" spans="2:22">
      <c r="B110" s="111" t="s">
        <v>137</v>
      </c>
      <c r="C110" s="270" t="s">
        <v>23</v>
      </c>
      <c r="D110" s="115">
        <f t="shared" ref="D110:M110" si="55">D108*86</f>
        <v>25108.227008000002</v>
      </c>
      <c r="E110" s="115">
        <f t="shared" si="55"/>
        <v>27717.018689999997</v>
      </c>
      <c r="F110" s="115">
        <f t="shared" si="55"/>
        <v>30699.801066000004</v>
      </c>
      <c r="G110" s="115">
        <f t="shared" si="55"/>
        <v>32242.438622000005</v>
      </c>
      <c r="H110" s="115">
        <f t="shared" si="55"/>
        <v>32866.566421999996</v>
      </c>
      <c r="I110" s="115">
        <f t="shared" si="55"/>
        <v>33850.200616260001</v>
      </c>
      <c r="J110" s="115">
        <f t="shared" si="55"/>
        <v>37536.409311919997</v>
      </c>
      <c r="K110" s="115">
        <f t="shared" si="55"/>
        <v>38959.600384319994</v>
      </c>
      <c r="L110" s="115">
        <f t="shared" si="55"/>
        <v>39408.957030400008</v>
      </c>
      <c r="M110" s="115">
        <f t="shared" si="55"/>
        <v>41401.22131641912</v>
      </c>
      <c r="N110" s="115">
        <f t="shared" ref="N110:O110" si="56">N108*86</f>
        <v>38144.54234</v>
      </c>
      <c r="O110" s="115">
        <f t="shared" si="56"/>
        <v>40292.502247548502</v>
      </c>
      <c r="P110" s="9"/>
      <c r="R110" s="119"/>
      <c r="S110" s="119"/>
      <c r="T110" s="119"/>
    </row>
    <row r="111" spans="2:22">
      <c r="B111" t="s">
        <v>138</v>
      </c>
      <c r="C111" s="165" t="s">
        <v>52</v>
      </c>
      <c r="D111" s="41">
        <f>D108/D6*1000000</f>
        <v>3254.8063322185067</v>
      </c>
      <c r="E111" s="41">
        <f t="shared" ref="E111:M111" si="57">E108/E6*1000000</f>
        <v>3687.5390732265441</v>
      </c>
      <c r="F111" s="41">
        <f t="shared" si="57"/>
        <v>4042.7455379388448</v>
      </c>
      <c r="G111" s="41">
        <f t="shared" si="57"/>
        <v>4168.0516403739903</v>
      </c>
      <c r="H111" s="41">
        <f t="shared" si="57"/>
        <v>4183.1606847710682</v>
      </c>
      <c r="I111" s="41">
        <f t="shared" si="57"/>
        <v>4213.3504309615819</v>
      </c>
      <c r="J111" s="41">
        <f t="shared" si="57"/>
        <v>4610.0940642394662</v>
      </c>
      <c r="K111" s="41">
        <f t="shared" si="57"/>
        <v>4726.6739263169966</v>
      </c>
      <c r="L111" s="41">
        <f t="shared" si="57"/>
        <v>4724.161715463918</v>
      </c>
      <c r="M111" s="41">
        <f t="shared" si="57"/>
        <v>4931.2117817251728</v>
      </c>
      <c r="N111" s="41">
        <f t="shared" ref="N111:O111" si="58">N108/N6*1000000</f>
        <v>4504.6940951839288</v>
      </c>
      <c r="O111" s="41">
        <f t="shared" si="58"/>
        <v>4736.901645920957</v>
      </c>
      <c r="P111" s="9"/>
      <c r="R111" s="119"/>
      <c r="S111" s="119"/>
      <c r="T111" s="119"/>
    </row>
    <row r="112" spans="2:22">
      <c r="B112" t="s">
        <v>139</v>
      </c>
      <c r="C112" s="165" t="s">
        <v>52</v>
      </c>
      <c r="D112" s="41">
        <f>D79*1000000/D6</f>
        <v>2902.1512151616498</v>
      </c>
      <c r="E112" s="41">
        <f t="shared" ref="E112:M112" si="59">E79*1000000/E6</f>
        <v>3201.1689702517165</v>
      </c>
      <c r="F112" s="41">
        <f t="shared" si="59"/>
        <v>3280.9969535673831</v>
      </c>
      <c r="G112" s="41">
        <f t="shared" si="59"/>
        <v>3411.0359981767438</v>
      </c>
      <c r="H112" s="41">
        <f t="shared" si="59"/>
        <v>3421.6772184459119</v>
      </c>
      <c r="I112" s="41">
        <f t="shared" si="59"/>
        <v>3470.6158062064469</v>
      </c>
      <c r="J112" s="41">
        <f t="shared" si="59"/>
        <v>3864.569808084329</v>
      </c>
      <c r="K112" s="41">
        <f t="shared" si="59"/>
        <v>3981.5553469736965</v>
      </c>
      <c r="L112" s="41">
        <f t="shared" si="59"/>
        <v>3979.3699628865975</v>
      </c>
      <c r="M112" s="41">
        <f t="shared" si="59"/>
        <v>4100.7932668886042</v>
      </c>
      <c r="N112" s="41">
        <f>N79*1000000/N6</f>
        <v>4083.00857183482</v>
      </c>
      <c r="O112" s="41">
        <f t="shared" ref="O112" si="60">O79*1000000/O6</f>
        <v>4060.9235046710073</v>
      </c>
      <c r="P112" s="9"/>
      <c r="R112" s="119"/>
      <c r="S112" s="119"/>
      <c r="T112" s="119"/>
    </row>
    <row r="113" spans="1:20">
      <c r="C113" s="165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9"/>
      <c r="R113" s="119"/>
      <c r="S113" s="119"/>
      <c r="T113" s="119"/>
    </row>
    <row r="114" spans="1:20" ht="26.25">
      <c r="A114" s="133" t="s">
        <v>140</v>
      </c>
      <c r="R114" s="119"/>
      <c r="S114" s="119"/>
      <c r="T114" s="119"/>
    </row>
    <row r="115" spans="1:20">
      <c r="A115" s="4"/>
      <c r="D115" s="2">
        <v>2010</v>
      </c>
      <c r="E115" s="2">
        <v>2011</v>
      </c>
      <c r="F115" s="2">
        <v>2012</v>
      </c>
      <c r="G115" s="2">
        <v>2013</v>
      </c>
      <c r="H115" s="2">
        <v>2014</v>
      </c>
      <c r="I115" s="2">
        <v>2015</v>
      </c>
      <c r="J115" s="2">
        <v>2016</v>
      </c>
      <c r="K115" s="2">
        <v>2017</v>
      </c>
      <c r="L115" s="2">
        <v>2018</v>
      </c>
      <c r="M115" s="2">
        <v>2019</v>
      </c>
      <c r="N115" s="2">
        <v>2020</v>
      </c>
      <c r="O115" s="2">
        <v>2021</v>
      </c>
      <c r="Q115" s="8"/>
    </row>
    <row r="116" spans="1:20">
      <c r="A116" s="6" t="s">
        <v>141</v>
      </c>
      <c r="Q116" s="8"/>
    </row>
    <row r="117" spans="1:20">
      <c r="A117" s="4"/>
      <c r="B117" t="s">
        <v>142</v>
      </c>
      <c r="C117" s="386" t="s">
        <v>143</v>
      </c>
      <c r="D117" s="41">
        <v>54513.369999999995</v>
      </c>
      <c r="E117" s="41">
        <v>65370.98</v>
      </c>
      <c r="F117" s="41">
        <v>68099.696486999994</v>
      </c>
      <c r="G117" s="41">
        <v>71225</v>
      </c>
      <c r="H117" s="41">
        <v>72527.441063999999</v>
      </c>
      <c r="I117" s="41">
        <v>75078.421881999981</v>
      </c>
      <c r="J117" s="41">
        <v>81198.966434000002</v>
      </c>
      <c r="K117" s="41">
        <v>82939.354242000001</v>
      </c>
      <c r="L117" s="41">
        <v>84175.320189999999</v>
      </c>
      <c r="M117" s="41">
        <v>86510.525783999998</v>
      </c>
      <c r="N117" s="41">
        <v>80834.529485116684</v>
      </c>
      <c r="O117" s="41">
        <v>77421.7</v>
      </c>
      <c r="Q117" s="8"/>
    </row>
    <row r="118" spans="1:20">
      <c r="A118" s="4"/>
      <c r="B118" t="s">
        <v>144</v>
      </c>
      <c r="C118" s="387"/>
      <c r="D118" s="41">
        <v>48825</v>
      </c>
      <c r="E118" s="41">
        <v>46000</v>
      </c>
      <c r="F118" s="41">
        <v>42941</v>
      </c>
      <c r="G118" s="41">
        <v>44362.754451000001</v>
      </c>
      <c r="H118" s="41">
        <v>44691.507591000001</v>
      </c>
      <c r="I118" s="41">
        <v>47336.857607999998</v>
      </c>
      <c r="J118" s="41">
        <v>49220.434046999995</v>
      </c>
      <c r="K118" s="41">
        <v>50715.155660999997</v>
      </c>
      <c r="L118" s="41">
        <v>52490.186109135</v>
      </c>
      <c r="M118" s="41">
        <v>55843.913565690003</v>
      </c>
      <c r="N118" s="41">
        <v>42044.836148738963</v>
      </c>
      <c r="O118" s="41">
        <v>46315.7</v>
      </c>
      <c r="Q118" s="8"/>
    </row>
    <row r="119" spans="1:20">
      <c r="A119" s="4"/>
      <c r="B119" t="s">
        <v>145</v>
      </c>
      <c r="C119" s="387"/>
      <c r="D119" s="41">
        <v>13965.615003000001</v>
      </c>
      <c r="E119" s="41">
        <v>14767.624574999998</v>
      </c>
      <c r="F119" s="41">
        <v>15008.213445000001</v>
      </c>
      <c r="G119" s="41">
        <v>15427.943259999998</v>
      </c>
      <c r="H119" s="41">
        <v>17542</v>
      </c>
      <c r="I119" s="41">
        <v>19725.849212000001</v>
      </c>
      <c r="J119" s="259">
        <v>20314.531999999999</v>
      </c>
      <c r="K119" s="41">
        <v>22715.217506999998</v>
      </c>
      <c r="L119" s="41">
        <v>22714.196883000001</v>
      </c>
      <c r="M119" s="41">
        <v>23813</v>
      </c>
      <c r="N119" s="41">
        <v>18876.878648767997</v>
      </c>
      <c r="O119" s="41">
        <v>25184.799999999999</v>
      </c>
      <c r="R119" s="8" t="s">
        <v>146</v>
      </c>
    </row>
    <row r="120" spans="1:20">
      <c r="B120" t="s">
        <v>147</v>
      </c>
      <c r="C120" s="387"/>
      <c r="D120" s="41">
        <v>3969.5409999999997</v>
      </c>
      <c r="E120" s="41">
        <v>4250.8289999999997</v>
      </c>
      <c r="F120" s="41">
        <v>4302.09</v>
      </c>
      <c r="G120" s="41">
        <v>4415.0230000000001</v>
      </c>
      <c r="H120" s="41">
        <v>4513</v>
      </c>
      <c r="I120" s="41">
        <v>4566.43</v>
      </c>
      <c r="J120" s="41">
        <v>4642.1379999999999</v>
      </c>
      <c r="K120" s="41">
        <v>4812.9189999999999</v>
      </c>
      <c r="L120" s="41">
        <v>5007.03</v>
      </c>
      <c r="M120" s="41">
        <v>5103.3487547999994</v>
      </c>
      <c r="N120" s="41">
        <v>4970.8777988079992</v>
      </c>
      <c r="O120" s="41">
        <v>5152.8</v>
      </c>
      <c r="Q120" s="8"/>
    </row>
    <row r="121" spans="1:20">
      <c r="B121" t="s">
        <v>148</v>
      </c>
      <c r="C121" s="387"/>
      <c r="D121" s="41">
        <v>2118.7317760000001</v>
      </c>
      <c r="E121" s="41">
        <v>2036.32</v>
      </c>
      <c r="F121" s="41">
        <v>1978.25</v>
      </c>
      <c r="G121" s="41">
        <v>2007</v>
      </c>
      <c r="H121" s="41">
        <v>2045.1439679999999</v>
      </c>
      <c r="I121" s="41">
        <v>2281.2863360000001</v>
      </c>
      <c r="J121" s="41">
        <v>2289.5316640000001</v>
      </c>
      <c r="K121" s="41">
        <v>2503.8200320000001</v>
      </c>
      <c r="L121" s="41">
        <v>3856.0229440000003</v>
      </c>
      <c r="M121" s="41">
        <v>3455.6631296723476</v>
      </c>
      <c r="N121" s="41">
        <v>3436.6134436636762</v>
      </c>
      <c r="O121" s="262">
        <v>1407.4</v>
      </c>
      <c r="Q121" s="8"/>
    </row>
    <row r="122" spans="1:20">
      <c r="B122" t="s">
        <v>149</v>
      </c>
      <c r="C122" s="387"/>
      <c r="D122" s="41">
        <v>127.20870400000001</v>
      </c>
      <c r="E122" s="41">
        <v>95.274816000000015</v>
      </c>
      <c r="F122" s="41">
        <v>83.931120000000007</v>
      </c>
      <c r="G122" s="41">
        <v>64.750560000000007</v>
      </c>
      <c r="H122" s="41">
        <v>60.803120000000007</v>
      </c>
      <c r="I122" s="41">
        <v>58.149280000000005</v>
      </c>
      <c r="J122" s="41">
        <v>73.900000000000006</v>
      </c>
      <c r="K122" s="41">
        <v>61.09</v>
      </c>
      <c r="L122" s="41">
        <v>97.22</v>
      </c>
      <c r="M122" s="41">
        <v>61</v>
      </c>
      <c r="N122" s="41">
        <v>29.1622716</v>
      </c>
      <c r="O122" s="41">
        <v>22.9</v>
      </c>
      <c r="Q122" s="8"/>
    </row>
    <row r="123" spans="1:20">
      <c r="B123" t="s">
        <v>150</v>
      </c>
      <c r="C123" s="387"/>
      <c r="D123" s="148">
        <v>26.161919999999999</v>
      </c>
      <c r="E123" s="148">
        <v>4.3600000000000003</v>
      </c>
      <c r="F123" s="148">
        <v>28.2</v>
      </c>
      <c r="G123" s="148">
        <v>25</v>
      </c>
      <c r="H123" s="148">
        <v>31.378320000000002</v>
      </c>
      <c r="I123" s="148">
        <v>26.10144</v>
      </c>
      <c r="J123" s="148">
        <v>27.87912</v>
      </c>
      <c r="K123" s="148">
        <v>3.8023199999999999</v>
      </c>
      <c r="L123" s="148">
        <v>7.0106399999999995</v>
      </c>
      <c r="M123" s="148">
        <v>7.3360799999999999</v>
      </c>
      <c r="N123" s="148">
        <v>55.514253599999996</v>
      </c>
      <c r="O123" s="363">
        <v>95</v>
      </c>
      <c r="Q123" s="8"/>
    </row>
    <row r="124" spans="1:20">
      <c r="C124" s="387"/>
      <c r="D124" s="262">
        <f>SUM(D117:D123)</f>
        <v>123545.628403</v>
      </c>
      <c r="E124" s="262">
        <f t="shared" ref="E124:N124" si="61">SUM(E117:E123)</f>
        <v>132525.38839099999</v>
      </c>
      <c r="F124" s="262">
        <f t="shared" si="61"/>
        <v>132441.38105200001</v>
      </c>
      <c r="G124" s="262">
        <f t="shared" si="61"/>
        <v>137527.47127099999</v>
      </c>
      <c r="H124" s="262">
        <f t="shared" si="61"/>
        <v>141411.27406299999</v>
      </c>
      <c r="I124" s="262">
        <f t="shared" si="61"/>
        <v>149073.09575799998</v>
      </c>
      <c r="J124" s="262">
        <f t="shared" si="61"/>
        <v>157767.381265</v>
      </c>
      <c r="K124" s="262">
        <f t="shared" si="61"/>
        <v>163751.35876199996</v>
      </c>
      <c r="L124" s="262">
        <f t="shared" si="61"/>
        <v>168346.98676613497</v>
      </c>
      <c r="M124" s="262">
        <f t="shared" si="61"/>
        <v>174794.78731416236</v>
      </c>
      <c r="N124" s="262">
        <f t="shared" si="61"/>
        <v>150248.41205029533</v>
      </c>
      <c r="O124" s="262">
        <f>SUM(O117:O123)</f>
        <v>155600.29999999996</v>
      </c>
      <c r="Q124" s="8" t="s">
        <v>151</v>
      </c>
      <c r="R124" s="7">
        <f>(M124/D124)^(1/9)-1</f>
        <v>3.9308707848735081E-2</v>
      </c>
    </row>
    <row r="125" spans="1:20">
      <c r="B125" t="s">
        <v>152</v>
      </c>
      <c r="C125" s="388"/>
      <c r="D125" s="261">
        <f>D$124/D$6</f>
        <v>1.377320272051282</v>
      </c>
      <c r="E125" s="261">
        <f t="shared" ref="E125:O125" si="62">E$124/E$6</f>
        <v>1.5163087916590388</v>
      </c>
      <c r="F125" s="261">
        <f t="shared" si="62"/>
        <v>1.4999023901698756</v>
      </c>
      <c r="G125" s="261">
        <f t="shared" si="62"/>
        <v>1.5289494187928714</v>
      </c>
      <c r="H125" s="261">
        <f t="shared" si="62"/>
        <v>1.5478636375507611</v>
      </c>
      <c r="I125" s="261">
        <f t="shared" si="62"/>
        <v>1.5957470724156755</v>
      </c>
      <c r="J125" s="261">
        <f t="shared" si="62"/>
        <v>1.6663749513081318</v>
      </c>
      <c r="K125" s="261">
        <f t="shared" si="62"/>
        <v>1.708537491126112</v>
      </c>
      <c r="L125" s="261">
        <f t="shared" si="62"/>
        <v>1.7355359460426285</v>
      </c>
      <c r="M125" s="261">
        <f t="shared" si="62"/>
        <v>1.7904715730003826</v>
      </c>
      <c r="N125" s="261">
        <f t="shared" si="62"/>
        <v>1.5259532819798027</v>
      </c>
      <c r="O125" s="261">
        <f t="shared" si="62"/>
        <v>1.5731821490678202</v>
      </c>
      <c r="Q125" s="8"/>
    </row>
    <row r="126" spans="1:20"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136"/>
      <c r="Q126" s="8"/>
    </row>
    <row r="127" spans="1:20"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136"/>
      <c r="Q127" s="8"/>
    </row>
    <row r="128" spans="1:20">
      <c r="B128" t="s">
        <v>153</v>
      </c>
      <c r="C128" s="165" t="s">
        <v>154</v>
      </c>
      <c r="D128" s="261">
        <f>D120/D$6*1000</f>
        <v>44.253522853957634</v>
      </c>
      <c r="E128" s="261">
        <f t="shared" ref="E128:O128" si="63">E120/E$6*1000</f>
        <v>48.636487414187641</v>
      </c>
      <c r="F128" s="261">
        <f t="shared" si="63"/>
        <v>48.721291053227638</v>
      </c>
      <c r="G128" s="261">
        <f t="shared" si="63"/>
        <v>49.083625165371494</v>
      </c>
      <c r="H128" s="261">
        <f t="shared" si="63"/>
        <v>49.398526691404236</v>
      </c>
      <c r="I128" s="261">
        <f t="shared" si="63"/>
        <v>48.881169783448769</v>
      </c>
      <c r="J128" s="261">
        <f t="shared" si="63"/>
        <v>49.031317004129832</v>
      </c>
      <c r="K128" s="261">
        <f t="shared" si="63"/>
        <v>50.216698141752659</v>
      </c>
      <c r="L128" s="261">
        <f t="shared" si="63"/>
        <v>51.618865979381447</v>
      </c>
      <c r="M128" s="261">
        <f t="shared" si="63"/>
        <v>52.275019255313694</v>
      </c>
      <c r="N128" s="261">
        <f t="shared" si="63"/>
        <v>50.485240994576579</v>
      </c>
      <c r="O128" s="261">
        <f t="shared" si="63"/>
        <v>52.096898127552883</v>
      </c>
      <c r="Q128" s="8"/>
    </row>
    <row r="129" spans="1:28">
      <c r="C129" s="154"/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Q129" s="8"/>
      <c r="S129" s="2">
        <v>2010</v>
      </c>
      <c r="T129" s="2">
        <v>2011</v>
      </c>
      <c r="U129" s="2">
        <v>2012</v>
      </c>
      <c r="V129" s="2">
        <v>2013</v>
      </c>
      <c r="W129" s="2">
        <v>2014</v>
      </c>
      <c r="X129" s="2">
        <v>2015</v>
      </c>
      <c r="Y129" s="2">
        <v>2016</v>
      </c>
      <c r="Z129" s="2">
        <v>2017</v>
      </c>
      <c r="AA129" s="2">
        <v>2018</v>
      </c>
      <c r="AB129" s="2">
        <v>2019</v>
      </c>
    </row>
    <row r="130" spans="1:28">
      <c r="A130" s="6" t="s">
        <v>155</v>
      </c>
      <c r="C130" s="154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Q130" s="8"/>
      <c r="R130" t="s">
        <v>156</v>
      </c>
    </row>
    <row r="131" spans="1:28">
      <c r="B131" t="s">
        <v>157</v>
      </c>
      <c r="C131" s="386" t="s">
        <v>143</v>
      </c>
      <c r="D131" s="190">
        <v>12640.763081999999</v>
      </c>
      <c r="E131" s="191">
        <v>10802</v>
      </c>
      <c r="F131" s="190">
        <v>10522.170044999999</v>
      </c>
      <c r="G131" s="192">
        <v>10209.522419999999</v>
      </c>
      <c r="H131" s="190">
        <v>9814.7633389999974</v>
      </c>
      <c r="I131" s="193">
        <v>11011.702581909085</v>
      </c>
      <c r="J131" s="193">
        <v>12150.599056909094</v>
      </c>
      <c r="K131" s="193">
        <v>12706.133728909088</v>
      </c>
      <c r="L131" s="193">
        <v>12344.023756909097</v>
      </c>
      <c r="M131" s="191">
        <v>13063.992074999998</v>
      </c>
      <c r="N131" s="191">
        <v>12541</v>
      </c>
      <c r="O131" s="191">
        <v>11082</v>
      </c>
      <c r="Q131" s="8"/>
      <c r="R131" t="s">
        <v>158</v>
      </c>
    </row>
    <row r="132" spans="1:28">
      <c r="B132" t="s">
        <v>159</v>
      </c>
      <c r="C132" s="387"/>
      <c r="D132" s="98">
        <v>13965.615003000001</v>
      </c>
      <c r="E132" s="98">
        <v>14767.624574999998</v>
      </c>
      <c r="F132" s="98">
        <v>15008.213445000001</v>
      </c>
      <c r="G132" s="98">
        <v>15427.943259999998</v>
      </c>
      <c r="H132" s="98">
        <v>17542</v>
      </c>
      <c r="I132" s="98">
        <v>19725.849212000001</v>
      </c>
      <c r="J132" s="259">
        <v>20314.531999999999</v>
      </c>
      <c r="K132" s="98">
        <v>22715.217506999998</v>
      </c>
      <c r="L132" s="98">
        <v>22714.196883000001</v>
      </c>
      <c r="M132" s="98">
        <v>23813</v>
      </c>
      <c r="N132" s="365">
        <v>21711</v>
      </c>
      <c r="O132" s="365">
        <v>21186</v>
      </c>
      <c r="Q132" s="8"/>
      <c r="R132" t="s">
        <v>160</v>
      </c>
    </row>
    <row r="133" spans="1:28">
      <c r="B133" t="s">
        <v>161</v>
      </c>
      <c r="C133" s="387"/>
      <c r="D133" s="158">
        <v>3043.74</v>
      </c>
      <c r="E133" s="158">
        <v>3066.2740000000003</v>
      </c>
      <c r="F133" s="158">
        <v>2840.2640000000001</v>
      </c>
      <c r="G133" s="158">
        <v>2914.4160000000002</v>
      </c>
      <c r="H133" s="158">
        <v>2990.4822576000001</v>
      </c>
      <c r="I133" s="158">
        <v>3068.5338445233601</v>
      </c>
      <c r="J133" s="158">
        <v>3148.6225778654198</v>
      </c>
      <c r="K133" s="158">
        <v>3230.8016271477072</v>
      </c>
      <c r="L133" s="158">
        <v>3377.373</v>
      </c>
      <c r="M133" s="158">
        <v>3465.3853960000006</v>
      </c>
      <c r="N133" s="158">
        <v>3569</v>
      </c>
      <c r="O133" s="158">
        <v>3492</v>
      </c>
      <c r="Q133" s="242">
        <f>(M133/F133)^(1/7)-1</f>
        <v>2.8825768051049749E-2</v>
      </c>
      <c r="R133" t="s">
        <v>162</v>
      </c>
    </row>
    <row r="134" spans="1:28">
      <c r="B134" t="s">
        <v>163</v>
      </c>
      <c r="C134" s="387"/>
      <c r="D134" s="143"/>
      <c r="E134" s="143"/>
      <c r="F134" s="143"/>
      <c r="G134" s="143"/>
      <c r="H134" s="143"/>
      <c r="I134" s="145"/>
      <c r="J134" s="145"/>
      <c r="K134" s="145"/>
      <c r="L134" s="145"/>
      <c r="M134" s="143"/>
      <c r="N134" s="143"/>
      <c r="O134" s="143"/>
      <c r="P134" s="136"/>
      <c r="Q134" s="8"/>
      <c r="R134" t="s">
        <v>164</v>
      </c>
      <c r="S134" s="41">
        <v>3969.5409999999997</v>
      </c>
      <c r="T134" s="41">
        <v>4250.8289999999997</v>
      </c>
      <c r="U134" s="41">
        <v>4302.09</v>
      </c>
      <c r="V134" s="41">
        <v>4415.0230000000001</v>
      </c>
      <c r="W134" s="41">
        <v>4535.4184000000005</v>
      </c>
      <c r="X134" s="41">
        <v>4655.8138000000008</v>
      </c>
      <c r="Y134" s="41">
        <v>4776.2092000000011</v>
      </c>
      <c r="Z134" s="41">
        <v>4896.6046000000015</v>
      </c>
      <c r="AA134" s="41">
        <v>5017</v>
      </c>
      <c r="AB134" s="41">
        <v>5103.3487547999994</v>
      </c>
    </row>
    <row r="135" spans="1:28">
      <c r="C135" s="387"/>
      <c r="D135" s="143"/>
      <c r="E135" s="143"/>
      <c r="F135" s="143"/>
      <c r="G135" s="143"/>
      <c r="H135" s="143"/>
      <c r="I135" s="145"/>
      <c r="J135" s="145"/>
      <c r="K135" s="145"/>
      <c r="L135" s="145"/>
      <c r="M135" s="143"/>
      <c r="N135" s="143"/>
      <c r="Q135" s="8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 spans="1:28">
      <c r="A136" s="186" t="s">
        <v>165</v>
      </c>
      <c r="B136" s="186"/>
      <c r="C136" s="387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36"/>
      <c r="Q136" s="364"/>
      <c r="R136" t="s">
        <v>166</v>
      </c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 spans="1:28">
      <c r="A137" s="173"/>
      <c r="B137" s="173" t="s">
        <v>167</v>
      </c>
      <c r="C137" s="387"/>
      <c r="D137" s="187">
        <v>51934.162448999996</v>
      </c>
      <c r="E137" s="187">
        <v>61065.198034487723</v>
      </c>
      <c r="F137" s="187">
        <v>65353.242934999995</v>
      </c>
      <c r="G137" s="187">
        <v>66963.842613999994</v>
      </c>
      <c r="H137" s="187">
        <v>67989.968064000001</v>
      </c>
      <c r="I137" s="187">
        <v>70262.528281999985</v>
      </c>
      <c r="J137" s="187">
        <v>76104.662234000003</v>
      </c>
      <c r="K137" s="187">
        <v>77812.299442000003</v>
      </c>
      <c r="L137" s="187">
        <v>79306.364124</v>
      </c>
      <c r="M137" s="187">
        <v>83164.139404000001</v>
      </c>
      <c r="N137" s="187">
        <v>83395.358458618823</v>
      </c>
      <c r="O137" s="187">
        <v>82137.88</v>
      </c>
      <c r="Q137" s="36"/>
      <c r="R137" s="147" t="s">
        <v>168</v>
      </c>
      <c r="S137" s="148">
        <v>26.161919999999999</v>
      </c>
      <c r="T137" s="148">
        <v>4.3600000000000003</v>
      </c>
      <c r="U137" s="148">
        <v>28.2</v>
      </c>
      <c r="V137" s="148">
        <v>25</v>
      </c>
      <c r="W137" s="148">
        <v>31.378320000000002</v>
      </c>
      <c r="X137" s="148">
        <v>26.10144</v>
      </c>
      <c r="Y137" s="148">
        <v>27.87912</v>
      </c>
      <c r="Z137" s="148">
        <v>3.8023199999999999</v>
      </c>
      <c r="AA137" s="148">
        <v>7.0106399999999995</v>
      </c>
      <c r="AB137" s="148">
        <v>7.3360799999999999</v>
      </c>
    </row>
    <row r="138" spans="1:28">
      <c r="A138" s="173"/>
      <c r="B138" s="173" t="s">
        <v>169</v>
      </c>
      <c r="C138" s="387"/>
      <c r="D138" s="187">
        <v>15276.07</v>
      </c>
      <c r="E138" s="187">
        <v>10587.56</v>
      </c>
      <c r="F138" s="187">
        <v>9868.89</v>
      </c>
      <c r="G138" s="187">
        <v>9475</v>
      </c>
      <c r="H138" s="187">
        <v>9094.2561810000007</v>
      </c>
      <c r="I138" s="187">
        <v>10601.963367</v>
      </c>
      <c r="J138" s="187">
        <v>11020.149534</v>
      </c>
      <c r="K138" s="187">
        <v>11633.555112</v>
      </c>
      <c r="L138" s="187">
        <v>11669.765334</v>
      </c>
      <c r="M138" s="187">
        <v>12516.328695</v>
      </c>
      <c r="N138" s="187">
        <v>10645.685562000001</v>
      </c>
      <c r="O138" s="187">
        <v>10493.49</v>
      </c>
      <c r="R138" s="8"/>
    </row>
    <row r="139" spans="1:28">
      <c r="A139" s="173"/>
      <c r="B139" s="173" t="s">
        <v>170</v>
      </c>
      <c r="C139" s="387"/>
      <c r="D139" s="187">
        <v>271.73</v>
      </c>
      <c r="E139" s="187">
        <v>321.66840599999995</v>
      </c>
      <c r="F139" s="187">
        <v>264.25890000000004</v>
      </c>
      <c r="G139" s="187">
        <v>303.70049999999998</v>
      </c>
      <c r="H139" s="187">
        <v>241.07939999999999</v>
      </c>
      <c r="I139" s="187">
        <v>287.58870000000002</v>
      </c>
      <c r="J139" s="187">
        <v>272.90070000000003</v>
      </c>
      <c r="K139" s="187">
        <v>245.94480000000001</v>
      </c>
      <c r="L139" s="187">
        <v>242.43930000000003</v>
      </c>
      <c r="M139" s="187">
        <v>262.72620000000001</v>
      </c>
      <c r="N139" s="187">
        <v>308.1114</v>
      </c>
      <c r="O139" s="375"/>
      <c r="P139" s="267"/>
      <c r="R139" s="8"/>
    </row>
    <row r="140" spans="1:28">
      <c r="A140" s="173"/>
      <c r="B140" s="173" t="s">
        <v>171</v>
      </c>
      <c r="C140" s="387"/>
      <c r="D140" s="188">
        <v>13300</v>
      </c>
      <c r="E140" s="188">
        <v>16000</v>
      </c>
      <c r="F140" s="188">
        <v>16200</v>
      </c>
      <c r="G140" s="188">
        <v>16400</v>
      </c>
      <c r="H140" s="188">
        <v>16600</v>
      </c>
      <c r="I140" s="188">
        <v>16800</v>
      </c>
      <c r="J140" s="188">
        <v>17000</v>
      </c>
      <c r="K140" s="188">
        <v>17200</v>
      </c>
      <c r="L140" s="189">
        <v>17400</v>
      </c>
      <c r="M140" s="188">
        <v>19525.435335000002</v>
      </c>
      <c r="N140" s="189">
        <v>10000</v>
      </c>
      <c r="O140" s="188">
        <v>15766</v>
      </c>
      <c r="R140" s="8" t="s">
        <v>172</v>
      </c>
    </row>
    <row r="141" spans="1:28">
      <c r="B141" s="8"/>
      <c r="C141" s="387"/>
      <c r="D141" s="141"/>
      <c r="E141" s="141"/>
      <c r="F141" s="141"/>
      <c r="G141" s="141"/>
      <c r="H141" s="141"/>
      <c r="I141" s="141"/>
      <c r="J141" s="141"/>
      <c r="K141" s="141"/>
      <c r="L141" s="141"/>
      <c r="Q141" s="8"/>
      <c r="R141" s="41"/>
    </row>
    <row r="142" spans="1:28">
      <c r="A142" s="43" t="s">
        <v>173</v>
      </c>
      <c r="B142" s="42"/>
      <c r="C142" s="387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R142" s="41"/>
    </row>
    <row r="143" spans="1:28" ht="15.75">
      <c r="A143" s="42"/>
      <c r="B143" s="42" t="s">
        <v>174</v>
      </c>
      <c r="C143" s="387"/>
      <c r="D143" s="98">
        <v>2201.4899999999998</v>
      </c>
      <c r="E143" s="144">
        <v>2161</v>
      </c>
      <c r="F143" s="98">
        <v>2153.8649999999998</v>
      </c>
      <c r="G143" s="98">
        <v>2358.2925</v>
      </c>
      <c r="H143" s="157">
        <v>2297.1319090909101</v>
      </c>
      <c r="I143" s="157">
        <v>2318.19165909091</v>
      </c>
      <c r="J143" s="157">
        <v>2339.2514090909099</v>
      </c>
      <c r="K143" s="157">
        <v>2360.3111590909102</v>
      </c>
      <c r="L143" s="157">
        <v>2381.3709090909101</v>
      </c>
      <c r="M143" s="144">
        <v>2174.94</v>
      </c>
      <c r="N143" s="144">
        <v>2044</v>
      </c>
      <c r="O143" s="144">
        <v>1935</v>
      </c>
      <c r="Q143" t="s">
        <v>175</v>
      </c>
      <c r="R143" s="41"/>
    </row>
    <row r="144" spans="1:28">
      <c r="A144" s="42"/>
      <c r="B144" s="42" t="s">
        <v>176</v>
      </c>
      <c r="C144" s="387"/>
      <c r="D144" s="44">
        <f>0.95*D$131</f>
        <v>12008.724927899999</v>
      </c>
      <c r="E144" s="44">
        <f t="shared" ref="E144:O144" si="64">0.95*E$131</f>
        <v>10261.9</v>
      </c>
      <c r="F144" s="44">
        <f t="shared" si="64"/>
        <v>9996.0615427499979</v>
      </c>
      <c r="G144" s="44">
        <f t="shared" si="64"/>
        <v>9699.0462989999996</v>
      </c>
      <c r="H144" s="44">
        <f t="shared" si="64"/>
        <v>9324.0251720499964</v>
      </c>
      <c r="I144" s="44">
        <f t="shared" si="64"/>
        <v>10461.117452813631</v>
      </c>
      <c r="J144" s="44">
        <f t="shared" si="64"/>
        <v>11543.069104063639</v>
      </c>
      <c r="K144" s="44">
        <f t="shared" si="64"/>
        <v>12070.827042463632</v>
      </c>
      <c r="L144" s="44">
        <f t="shared" si="64"/>
        <v>11726.822569063641</v>
      </c>
      <c r="M144" s="44">
        <f t="shared" si="64"/>
        <v>12410.792471249997</v>
      </c>
      <c r="N144" s="44">
        <f t="shared" si="64"/>
        <v>11913.949999999999</v>
      </c>
      <c r="O144" s="44">
        <f t="shared" si="64"/>
        <v>10527.9</v>
      </c>
      <c r="Q144" s="42" t="s">
        <v>177</v>
      </c>
      <c r="R144" s="41"/>
    </row>
    <row r="145" spans="1:18">
      <c r="A145" s="42"/>
      <c r="B145" s="42" t="s">
        <v>178</v>
      </c>
      <c r="C145" s="387"/>
      <c r="D145" s="98">
        <f t="shared" ref="D145:O145" si="65">D143+D144</f>
        <v>14210.214927899999</v>
      </c>
      <c r="E145" s="98">
        <f t="shared" si="65"/>
        <v>12422.9</v>
      </c>
      <c r="F145" s="98">
        <f t="shared" si="65"/>
        <v>12149.926542749998</v>
      </c>
      <c r="G145" s="98">
        <f t="shared" si="65"/>
        <v>12057.338798999999</v>
      </c>
      <c r="H145" s="98">
        <f t="shared" si="65"/>
        <v>11621.157081140907</v>
      </c>
      <c r="I145" s="98">
        <f t="shared" si="65"/>
        <v>12779.30911190454</v>
      </c>
      <c r="J145" s="98">
        <f t="shared" si="65"/>
        <v>13882.320513154549</v>
      </c>
      <c r="K145" s="98">
        <f t="shared" si="65"/>
        <v>14431.138201554542</v>
      </c>
      <c r="L145" s="98">
        <f t="shared" si="65"/>
        <v>14108.193478154551</v>
      </c>
      <c r="M145" s="98">
        <f t="shared" si="65"/>
        <v>14585.732471249998</v>
      </c>
      <c r="N145" s="98">
        <f t="shared" si="65"/>
        <v>13957.949999999999</v>
      </c>
      <c r="O145" s="98">
        <f t="shared" si="65"/>
        <v>12462.9</v>
      </c>
      <c r="R145" s="7">
        <f>(M145/D145)^(1/9)-1</f>
        <v>2.9022874838067203E-3</v>
      </c>
    </row>
    <row r="146" spans="1:18">
      <c r="A146" s="42"/>
      <c r="B146" s="42" t="s">
        <v>179</v>
      </c>
      <c r="C146" s="388"/>
      <c r="D146" s="98">
        <f>D132</f>
        <v>13965.615003000001</v>
      </c>
      <c r="E146" s="98">
        <f t="shared" ref="E146:O146" si="66">E132</f>
        <v>14767.624574999998</v>
      </c>
      <c r="F146" s="98">
        <f t="shared" si="66"/>
        <v>15008.213445000001</v>
      </c>
      <c r="G146" s="98">
        <f t="shared" si="66"/>
        <v>15427.943259999998</v>
      </c>
      <c r="H146" s="98">
        <f t="shared" si="66"/>
        <v>17542</v>
      </c>
      <c r="I146" s="98">
        <f t="shared" si="66"/>
        <v>19725.849212000001</v>
      </c>
      <c r="J146" s="98">
        <f t="shared" si="66"/>
        <v>20314.531999999999</v>
      </c>
      <c r="K146" s="98">
        <f t="shared" si="66"/>
        <v>22715.217506999998</v>
      </c>
      <c r="L146" s="98">
        <f t="shared" si="66"/>
        <v>22714.196883000001</v>
      </c>
      <c r="M146" s="98">
        <f t="shared" si="66"/>
        <v>23813</v>
      </c>
      <c r="N146" s="98">
        <f t="shared" si="66"/>
        <v>21711</v>
      </c>
      <c r="O146" s="98">
        <f t="shared" si="66"/>
        <v>21186</v>
      </c>
      <c r="R146" s="7">
        <f>(M146/D146)^(1/9)-1</f>
        <v>6.1085670490052646E-2</v>
      </c>
    </row>
    <row r="147" spans="1:18">
      <c r="A147" s="42"/>
      <c r="B147" s="42"/>
      <c r="C147" s="284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R147" s="7"/>
    </row>
    <row r="148" spans="1:18">
      <c r="A148" s="194"/>
      <c r="B148" s="194" t="s">
        <v>180</v>
      </c>
      <c r="C148" s="403" t="s">
        <v>23</v>
      </c>
      <c r="D148" s="195">
        <f t="shared" ref="D148:L148" si="67">D145*1.035</f>
        <v>14707.572450376498</v>
      </c>
      <c r="E148" s="195">
        <f t="shared" si="67"/>
        <v>12857.701499999999</v>
      </c>
      <c r="F148" s="195">
        <f t="shared" si="67"/>
        <v>12575.173971746246</v>
      </c>
      <c r="G148" s="195">
        <f t="shared" si="67"/>
        <v>12479.345656964999</v>
      </c>
      <c r="H148" s="195">
        <f t="shared" si="67"/>
        <v>12027.897578980837</v>
      </c>
      <c r="I148" s="195">
        <f t="shared" si="67"/>
        <v>13226.584930821198</v>
      </c>
      <c r="J148" s="195">
        <f t="shared" si="67"/>
        <v>14368.201731114958</v>
      </c>
      <c r="K148" s="195">
        <f t="shared" si="67"/>
        <v>14936.22803860895</v>
      </c>
      <c r="L148" s="195">
        <f t="shared" si="67"/>
        <v>14601.980249889959</v>
      </c>
      <c r="M148" s="195">
        <f>M145*1.035</f>
        <v>15096.233107743747</v>
      </c>
      <c r="N148" s="195">
        <f t="shared" ref="N148:O148" si="68">N145*1.035</f>
        <v>14446.478249999998</v>
      </c>
      <c r="O148" s="195">
        <f t="shared" si="68"/>
        <v>12899.101499999999</v>
      </c>
      <c r="R148" s="7">
        <f>(M148/D148)^(1/9)-1</f>
        <v>2.9022874838067203E-3</v>
      </c>
    </row>
    <row r="149" spans="1:18">
      <c r="A149" s="194"/>
      <c r="B149" s="194" t="s">
        <v>181</v>
      </c>
      <c r="C149" s="404"/>
      <c r="D149" s="196">
        <f t="shared" ref="D149:O149" si="69">D146*1.07</f>
        <v>14943.208053210003</v>
      </c>
      <c r="E149" s="196">
        <f t="shared" si="69"/>
        <v>15801.358295249998</v>
      </c>
      <c r="F149" s="196">
        <f t="shared" si="69"/>
        <v>16058.788386150003</v>
      </c>
      <c r="G149" s="196">
        <f t="shared" si="69"/>
        <v>16507.899288199998</v>
      </c>
      <c r="H149" s="196">
        <f t="shared" si="69"/>
        <v>18769.940000000002</v>
      </c>
      <c r="I149" s="196">
        <f t="shared" si="69"/>
        <v>21106.658656840002</v>
      </c>
      <c r="J149" s="196">
        <f t="shared" si="69"/>
        <v>21736.54924</v>
      </c>
      <c r="K149" s="196">
        <f t="shared" si="69"/>
        <v>24305.282732489999</v>
      </c>
      <c r="L149" s="196">
        <f t="shared" si="69"/>
        <v>24304.190664810001</v>
      </c>
      <c r="M149" s="196">
        <f t="shared" si="69"/>
        <v>25479.91</v>
      </c>
      <c r="N149" s="196">
        <f t="shared" si="69"/>
        <v>23230.77</v>
      </c>
      <c r="O149" s="196">
        <f t="shared" si="69"/>
        <v>22669.02</v>
      </c>
      <c r="Q149" s="260">
        <f>M149/M150</f>
        <v>0.62795298045804882</v>
      </c>
      <c r="R149" s="7">
        <f>(M149/D149)^(1/9)-1</f>
        <v>6.1085670490052646E-2</v>
      </c>
    </row>
    <row r="150" spans="1:18">
      <c r="A150" s="194"/>
      <c r="B150" s="194" t="s">
        <v>182</v>
      </c>
      <c r="C150" s="405"/>
      <c r="D150" s="197">
        <f>D148+D149</f>
        <v>29650.780503586502</v>
      </c>
      <c r="E150" s="197">
        <f t="shared" ref="E150:O150" si="70">E148+E149</f>
        <v>28659.059795249996</v>
      </c>
      <c r="F150" s="197">
        <f t="shared" si="70"/>
        <v>28633.962357896249</v>
      </c>
      <c r="G150" s="197">
        <f t="shared" si="70"/>
        <v>28987.244945164995</v>
      </c>
      <c r="H150" s="197">
        <f t="shared" si="70"/>
        <v>30797.837578980841</v>
      </c>
      <c r="I150" s="197">
        <f t="shared" si="70"/>
        <v>34333.2435876612</v>
      </c>
      <c r="J150" s="197">
        <f t="shared" si="70"/>
        <v>36104.750971114961</v>
      </c>
      <c r="K150" s="197">
        <f t="shared" si="70"/>
        <v>39241.510771098947</v>
      </c>
      <c r="L150" s="197">
        <f t="shared" si="70"/>
        <v>38906.170914699964</v>
      </c>
      <c r="M150" s="197">
        <f t="shared" si="70"/>
        <v>40576.143107743745</v>
      </c>
      <c r="N150" s="197">
        <f t="shared" si="70"/>
        <v>37677.248249999997</v>
      </c>
      <c r="O150" s="197">
        <f t="shared" si="70"/>
        <v>35568.121500000001</v>
      </c>
      <c r="Q150" s="136"/>
      <c r="R150" s="7">
        <f>(M150/D150)^(1/9)-1</f>
        <v>3.5469190885991431E-2</v>
      </c>
    </row>
    <row r="151" spans="1:18">
      <c r="A151" s="194"/>
      <c r="B151" s="194"/>
      <c r="C151" s="282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Q151" s="136"/>
      <c r="R151" s="41"/>
    </row>
    <row r="152" spans="1:18">
      <c r="A152" s="194"/>
      <c r="B152" s="194" t="s">
        <v>180</v>
      </c>
      <c r="C152" s="403" t="s">
        <v>21</v>
      </c>
      <c r="D152" s="198">
        <f t="shared" ref="D152:O152" si="71">D148/1000</f>
        <v>14.707572450376498</v>
      </c>
      <c r="E152" s="198">
        <f t="shared" si="71"/>
        <v>12.857701499999999</v>
      </c>
      <c r="F152" s="198">
        <f t="shared" si="71"/>
        <v>12.575173971746246</v>
      </c>
      <c r="G152" s="198">
        <f t="shared" si="71"/>
        <v>12.479345656964998</v>
      </c>
      <c r="H152" s="198">
        <f t="shared" si="71"/>
        <v>12.027897578980838</v>
      </c>
      <c r="I152" s="198">
        <f t="shared" si="71"/>
        <v>13.226584930821199</v>
      </c>
      <c r="J152" s="198">
        <f t="shared" si="71"/>
        <v>14.368201731114958</v>
      </c>
      <c r="K152" s="198">
        <f t="shared" si="71"/>
        <v>14.936228038608949</v>
      </c>
      <c r="L152" s="198">
        <f t="shared" si="71"/>
        <v>14.601980249889959</v>
      </c>
      <c r="M152" s="198">
        <f t="shared" si="71"/>
        <v>15.096233107743746</v>
      </c>
      <c r="N152" s="198">
        <f t="shared" si="71"/>
        <v>14.446478249999998</v>
      </c>
      <c r="O152" s="198">
        <f t="shared" si="71"/>
        <v>12.899101499999999</v>
      </c>
      <c r="R152" s="41"/>
    </row>
    <row r="153" spans="1:18">
      <c r="A153" s="194"/>
      <c r="B153" s="194" t="s">
        <v>181</v>
      </c>
      <c r="C153" s="404"/>
      <c r="D153" s="199">
        <f t="shared" ref="D153:O153" si="72">D149/1000</f>
        <v>14.943208053210002</v>
      </c>
      <c r="E153" s="199">
        <f t="shared" si="72"/>
        <v>15.801358295249999</v>
      </c>
      <c r="F153" s="199">
        <f t="shared" si="72"/>
        <v>16.058788386150002</v>
      </c>
      <c r="G153" s="199">
        <f t="shared" si="72"/>
        <v>16.507899288199997</v>
      </c>
      <c r="H153" s="199">
        <f t="shared" si="72"/>
        <v>18.769940000000002</v>
      </c>
      <c r="I153" s="199">
        <f t="shared" si="72"/>
        <v>21.106658656840001</v>
      </c>
      <c r="J153" s="199">
        <f t="shared" si="72"/>
        <v>21.736549239999999</v>
      </c>
      <c r="K153" s="199">
        <f t="shared" si="72"/>
        <v>24.305282732489999</v>
      </c>
      <c r="L153" s="199">
        <f t="shared" si="72"/>
        <v>24.304190664810001</v>
      </c>
      <c r="M153" s="199">
        <f t="shared" si="72"/>
        <v>25.47991</v>
      </c>
      <c r="N153" s="199">
        <f t="shared" si="72"/>
        <v>23.23077</v>
      </c>
      <c r="O153" s="199">
        <f t="shared" si="72"/>
        <v>22.66902</v>
      </c>
      <c r="Q153" s="366">
        <v>8139.0890516009995</v>
      </c>
      <c r="R153" s="41"/>
    </row>
    <row r="154" spans="1:18">
      <c r="A154" s="194"/>
      <c r="B154" s="194" t="s">
        <v>182</v>
      </c>
      <c r="C154" s="405"/>
      <c r="D154" s="200">
        <f>D152+D153</f>
        <v>29.6507805035865</v>
      </c>
      <c r="E154" s="200">
        <f t="shared" ref="E154:O154" si="73">E152+E153</f>
        <v>28.659059795249998</v>
      </c>
      <c r="F154" s="200">
        <f t="shared" si="73"/>
        <v>28.633962357896248</v>
      </c>
      <c r="G154" s="200">
        <f t="shared" si="73"/>
        <v>28.987244945164996</v>
      </c>
      <c r="H154" s="200">
        <f t="shared" si="73"/>
        <v>30.79783757898084</v>
      </c>
      <c r="I154" s="200">
        <f t="shared" si="73"/>
        <v>34.333243587661201</v>
      </c>
      <c r="J154" s="200">
        <f t="shared" si="73"/>
        <v>36.104750971114953</v>
      </c>
      <c r="K154" s="200">
        <f t="shared" si="73"/>
        <v>39.241510771098945</v>
      </c>
      <c r="L154" s="200">
        <f t="shared" si="73"/>
        <v>38.906170914699956</v>
      </c>
      <c r="M154" s="200">
        <f t="shared" si="73"/>
        <v>40.576143107743746</v>
      </c>
      <c r="N154" s="200">
        <f t="shared" si="73"/>
        <v>37.677248249999998</v>
      </c>
      <c r="O154" s="200">
        <f t="shared" si="73"/>
        <v>35.568121499999997</v>
      </c>
      <c r="Q154" s="366">
        <v>1156.347315</v>
      </c>
      <c r="R154" s="41"/>
    </row>
    <row r="155" spans="1:18">
      <c r="A155" s="194"/>
      <c r="B155" s="194"/>
      <c r="C155" s="283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Q155" s="26">
        <f>SUM(Q153:Q154)</f>
        <v>9295.4363666009995</v>
      </c>
      <c r="R155" s="41"/>
    </row>
    <row r="156" spans="1:18">
      <c r="A156" s="194"/>
      <c r="B156" s="285" t="s">
        <v>180</v>
      </c>
      <c r="C156" s="403" t="s">
        <v>183</v>
      </c>
      <c r="D156" s="286">
        <f>D145/0.843/1000</f>
        <v>16.856719961921705</v>
      </c>
      <c r="E156" s="286">
        <f t="shared" ref="E156:O156" si="74">E145/0.843/1000</f>
        <v>14.736536180308422</v>
      </c>
      <c r="F156" s="286">
        <f t="shared" si="74"/>
        <v>14.412724249999998</v>
      </c>
      <c r="G156" s="286">
        <f t="shared" si="74"/>
        <v>14.302892999999999</v>
      </c>
      <c r="H156" s="286">
        <f t="shared" si="74"/>
        <v>13.785476964579962</v>
      </c>
      <c r="I156" s="286">
        <f t="shared" si="74"/>
        <v>15.159322789922349</v>
      </c>
      <c r="J156" s="286">
        <f t="shared" si="74"/>
        <v>16.467758615841696</v>
      </c>
      <c r="K156" s="286">
        <f t="shared" si="74"/>
        <v>17.118787902199934</v>
      </c>
      <c r="L156" s="286">
        <f t="shared" si="74"/>
        <v>16.735698076102672</v>
      </c>
      <c r="M156" s="286">
        <f t="shared" si="74"/>
        <v>17.302173749999998</v>
      </c>
      <c r="N156" s="286">
        <f t="shared" si="74"/>
        <v>16.55747330960854</v>
      </c>
      <c r="O156" s="286">
        <f t="shared" si="74"/>
        <v>14.783985765124555</v>
      </c>
      <c r="R156" s="41"/>
    </row>
    <row r="157" spans="1:18">
      <c r="A157" s="194"/>
      <c r="B157" s="285" t="s">
        <v>181</v>
      </c>
      <c r="C157" s="405"/>
      <c r="D157" s="286">
        <f>D146/0.727/1000</f>
        <v>19.209924350756538</v>
      </c>
      <c r="E157" s="286">
        <f t="shared" ref="E157:O157" si="75">E146/0.727/1000</f>
        <v>20.313101203576338</v>
      </c>
      <c r="F157" s="286">
        <f t="shared" si="75"/>
        <v>20.644035000000002</v>
      </c>
      <c r="G157" s="286">
        <f t="shared" si="75"/>
        <v>21.221379999999996</v>
      </c>
      <c r="H157" s="286">
        <f t="shared" si="75"/>
        <v>24.129298486932598</v>
      </c>
      <c r="I157" s="286">
        <f t="shared" si="75"/>
        <v>27.133217623108667</v>
      </c>
      <c r="J157" s="286">
        <f t="shared" si="75"/>
        <v>27.942960110041266</v>
      </c>
      <c r="K157" s="286">
        <f t="shared" si="75"/>
        <v>31.245140999999997</v>
      </c>
      <c r="L157" s="286">
        <f t="shared" si="75"/>
        <v>31.243737115543333</v>
      </c>
      <c r="M157" s="286">
        <f t="shared" si="75"/>
        <v>32.755158184319122</v>
      </c>
      <c r="N157" s="286">
        <f t="shared" si="75"/>
        <v>29.86382393397524</v>
      </c>
      <c r="O157" s="286">
        <f t="shared" si="75"/>
        <v>29.141678129298487</v>
      </c>
    </row>
    <row r="158" spans="1:18">
      <c r="A158" s="194"/>
      <c r="B158" s="194"/>
      <c r="C158" s="194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136"/>
      <c r="R158" s="41"/>
    </row>
    <row r="159" spans="1:18">
      <c r="A159" s="9"/>
      <c r="H159" s="41"/>
      <c r="I159" s="41"/>
      <c r="J159" s="41"/>
      <c r="K159" s="41"/>
      <c r="L159" s="41"/>
      <c r="M159" s="41"/>
      <c r="N159" s="41"/>
      <c r="O159" s="41"/>
      <c r="P159" s="136"/>
      <c r="Q159" s="136"/>
      <c r="R159" s="41"/>
    </row>
    <row r="160" spans="1:18">
      <c r="A160" s="206" t="s">
        <v>184</v>
      </c>
      <c r="B160" s="207"/>
      <c r="C160" s="207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136"/>
      <c r="R160" s="41">
        <v>12640.763081999999</v>
      </c>
    </row>
    <row r="161" spans="1:20">
      <c r="A161" s="207"/>
      <c r="B161" s="207" t="s">
        <v>185</v>
      </c>
      <c r="C161" s="278" t="s">
        <v>143</v>
      </c>
      <c r="D161" s="208">
        <v>2118.7317760000001</v>
      </c>
      <c r="E161" s="208">
        <v>2036.32</v>
      </c>
      <c r="F161" s="208">
        <v>1978.25</v>
      </c>
      <c r="G161" s="208">
        <v>2007</v>
      </c>
      <c r="H161" s="208">
        <v>2045.1439679999999</v>
      </c>
      <c r="I161" s="208">
        <v>2281.2863360000001</v>
      </c>
      <c r="J161" s="208">
        <v>2289.5316640000001</v>
      </c>
      <c r="K161" s="208">
        <v>2503.8200320000001</v>
      </c>
      <c r="L161" s="208">
        <v>3856.0229440000003</v>
      </c>
      <c r="M161" s="208">
        <v>3456</v>
      </c>
      <c r="N161" s="208">
        <v>1516</v>
      </c>
      <c r="O161" s="208">
        <v>1756</v>
      </c>
      <c r="R161" s="41">
        <v>10745.619840000001</v>
      </c>
    </row>
    <row r="162" spans="1:20">
      <c r="A162" s="207"/>
      <c r="B162" s="207"/>
      <c r="C162" s="278" t="s">
        <v>23</v>
      </c>
      <c r="D162" s="209">
        <f>D161*1.065</f>
        <v>2256.4493414399999</v>
      </c>
      <c r="E162" s="209">
        <f t="shared" ref="E162:K162" si="76">E161*1.065</f>
        <v>2168.6807999999996</v>
      </c>
      <c r="F162" s="209">
        <f t="shared" si="76"/>
        <v>2106.8362499999998</v>
      </c>
      <c r="G162" s="209">
        <f t="shared" si="76"/>
        <v>2137.4549999999999</v>
      </c>
      <c r="H162" s="209">
        <f t="shared" si="76"/>
        <v>2178.0783259199998</v>
      </c>
      <c r="I162" s="209">
        <f t="shared" si="76"/>
        <v>2429.5699478400002</v>
      </c>
      <c r="J162" s="209">
        <f t="shared" si="76"/>
        <v>2438.3512221599999</v>
      </c>
      <c r="K162" s="209">
        <f t="shared" si="76"/>
        <v>2666.5683340800001</v>
      </c>
      <c r="L162" s="209">
        <f>L161*1.065</f>
        <v>4106.6644353600004</v>
      </c>
      <c r="M162" s="209">
        <f>M161*1.065</f>
        <v>3680.64</v>
      </c>
      <c r="N162" s="209">
        <f t="shared" ref="N162:O162" si="77">N161*1.065</f>
        <v>1614.54</v>
      </c>
      <c r="O162" s="209">
        <f t="shared" si="77"/>
        <v>1870.1399999999999</v>
      </c>
      <c r="R162" s="240">
        <f>M162/M239</f>
        <v>3.449829049274622E-2</v>
      </c>
      <c r="S162" s="140">
        <f>M162/M168</f>
        <v>7.6454917319927734E-2</v>
      </c>
    </row>
    <row r="163" spans="1:20">
      <c r="C163" s="136"/>
      <c r="R163" s="41"/>
    </row>
    <row r="164" spans="1:20">
      <c r="A164" s="201" t="s">
        <v>186</v>
      </c>
      <c r="B164" s="202"/>
      <c r="C164" s="279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R164" s="41">
        <v>10522.170044999999</v>
      </c>
    </row>
    <row r="165" spans="1:20">
      <c r="A165" s="202"/>
      <c r="B165" s="202" t="s">
        <v>187</v>
      </c>
      <c r="C165" s="279" t="s">
        <v>143</v>
      </c>
      <c r="D165" s="203">
        <v>2600</v>
      </c>
      <c r="E165" s="203">
        <v>2696.1297388888888</v>
      </c>
      <c r="F165" s="203">
        <v>2792.2594777777776</v>
      </c>
      <c r="G165" s="203">
        <v>2888.3892166666665</v>
      </c>
      <c r="H165" s="203">
        <v>3034.5189555555557</v>
      </c>
      <c r="I165" s="203">
        <v>3178.2486944444445</v>
      </c>
      <c r="J165" s="203">
        <v>3321.9784333333332</v>
      </c>
      <c r="K165" s="203">
        <v>3465.7081722222229</v>
      </c>
      <c r="L165" s="203">
        <v>3609.4379111111116</v>
      </c>
      <c r="M165" s="203">
        <v>3753.1676499999994</v>
      </c>
      <c r="N165" s="203">
        <v>2387</v>
      </c>
      <c r="O165" s="203">
        <v>2228</v>
      </c>
      <c r="R165" s="41"/>
    </row>
    <row r="166" spans="1:20">
      <c r="A166" s="204"/>
      <c r="B166" s="204"/>
      <c r="C166" s="280" t="s">
        <v>23</v>
      </c>
      <c r="D166" s="205">
        <f>D165*1.035</f>
        <v>2691</v>
      </c>
      <c r="E166" s="205">
        <f t="shared" ref="E166:O166" si="78">E165*1.035</f>
        <v>2790.4942797499998</v>
      </c>
      <c r="F166" s="205">
        <f t="shared" si="78"/>
        <v>2889.9885594999996</v>
      </c>
      <c r="G166" s="205">
        <f t="shared" si="78"/>
        <v>2989.4828392499994</v>
      </c>
      <c r="H166" s="205">
        <f t="shared" si="78"/>
        <v>3140.7271190000001</v>
      </c>
      <c r="I166" s="205">
        <f t="shared" si="78"/>
        <v>3289.48739875</v>
      </c>
      <c r="J166" s="205">
        <f t="shared" si="78"/>
        <v>3438.2476784999994</v>
      </c>
      <c r="K166" s="205">
        <f t="shared" si="78"/>
        <v>3587.0079582500002</v>
      </c>
      <c r="L166" s="205">
        <f t="shared" si="78"/>
        <v>3735.7682380000001</v>
      </c>
      <c r="M166" s="205">
        <f t="shared" si="78"/>
        <v>3884.5285177499991</v>
      </c>
      <c r="N166" s="205">
        <f t="shared" si="78"/>
        <v>2470.5449999999996</v>
      </c>
      <c r="O166" s="205">
        <f t="shared" si="78"/>
        <v>2305.98</v>
      </c>
      <c r="R166" s="41"/>
    </row>
    <row r="167" spans="1:20">
      <c r="C167" s="218"/>
      <c r="R167" s="41"/>
    </row>
    <row r="168" spans="1:20">
      <c r="A168" s="210" t="s">
        <v>188</v>
      </c>
      <c r="B168" s="211"/>
      <c r="C168" s="281" t="s">
        <v>23</v>
      </c>
      <c r="D168" s="212">
        <f t="shared" ref="D168:O168" si="79">D150+D162+D166</f>
        <v>34598.229845026501</v>
      </c>
      <c r="E168" s="212">
        <f t="shared" si="79"/>
        <v>33618.234874999995</v>
      </c>
      <c r="F168" s="212">
        <f t="shared" si="79"/>
        <v>33630.787167396251</v>
      </c>
      <c r="G168" s="212">
        <f t="shared" si="79"/>
        <v>34114.182784414996</v>
      </c>
      <c r="H168" s="212">
        <f t="shared" si="79"/>
        <v>36116.643023900848</v>
      </c>
      <c r="I168" s="212">
        <f t="shared" si="79"/>
        <v>40052.300934251201</v>
      </c>
      <c r="J168" s="212">
        <f t="shared" si="79"/>
        <v>41981.349871774961</v>
      </c>
      <c r="K168" s="212">
        <f t="shared" si="79"/>
        <v>45495.087063428946</v>
      </c>
      <c r="L168" s="212">
        <f t="shared" si="79"/>
        <v>46748.603588059959</v>
      </c>
      <c r="M168" s="212">
        <f t="shared" si="79"/>
        <v>48141.311625493741</v>
      </c>
      <c r="N168" s="212">
        <f t="shared" si="79"/>
        <v>41762.333249999996</v>
      </c>
      <c r="O168" s="212">
        <f t="shared" si="79"/>
        <v>39744.241500000004</v>
      </c>
      <c r="R168" s="41">
        <v>10209.522419999999</v>
      </c>
      <c r="S168" s="240">
        <f>(M168/D168)^(1/9)-1</f>
        <v>3.7386157882507431E-2</v>
      </c>
      <c r="T168" s="240">
        <f>(M168/H168)^(1/5)-1</f>
        <v>5.9161310747295248E-2</v>
      </c>
    </row>
    <row r="169" spans="1:20">
      <c r="A169" s="211" t="s">
        <v>189</v>
      </c>
      <c r="B169" s="211"/>
      <c r="C169" s="210"/>
      <c r="D169" s="213">
        <f t="shared" ref="D169:O169" si="80">D$168/D$25</f>
        <v>0.4756406956757091</v>
      </c>
      <c r="E169" s="213">
        <f t="shared" si="80"/>
        <v>0.44951136967223371</v>
      </c>
      <c r="F169" s="213">
        <f t="shared" si="80"/>
        <v>0.42929461177333123</v>
      </c>
      <c r="G169" s="213">
        <f t="shared" si="80"/>
        <v>0.42210937279430844</v>
      </c>
      <c r="H169" s="213">
        <f t="shared" si="80"/>
        <v>0.42952371957273366</v>
      </c>
      <c r="I169" s="213">
        <f t="shared" si="80"/>
        <v>0.44656301253562047</v>
      </c>
      <c r="J169" s="213">
        <f t="shared" si="80"/>
        <v>0.43715808734878869</v>
      </c>
      <c r="K169" s="213">
        <f t="shared" si="80"/>
        <v>0.44819051365271101</v>
      </c>
      <c r="L169" s="213">
        <f t="shared" si="80"/>
        <v>0.45314411164282697</v>
      </c>
      <c r="M169" s="213">
        <f t="shared" si="80"/>
        <v>0.46206552668277423</v>
      </c>
      <c r="N169" s="213">
        <f t="shared" si="80"/>
        <v>0.42977648947812996</v>
      </c>
      <c r="O169" s="213">
        <f t="shared" si="80"/>
        <v>0.41047917716103438</v>
      </c>
      <c r="R169" s="41"/>
    </row>
    <row r="170" spans="1:20">
      <c r="R170" s="41"/>
    </row>
    <row r="171" spans="1:20">
      <c r="A171" s="30"/>
      <c r="C171" s="6"/>
      <c r="M171" s="26"/>
      <c r="N171" s="26"/>
      <c r="O171" s="26"/>
      <c r="R171" s="41"/>
    </row>
    <row r="172" spans="1:20">
      <c r="A172" s="6" t="s">
        <v>133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R172" s="41">
        <v>9673.9097249999995</v>
      </c>
    </row>
    <row r="173" spans="1:20">
      <c r="A173" s="19"/>
      <c r="B173" s="19" t="s">
        <v>190</v>
      </c>
      <c r="C173" s="406" t="s">
        <v>23</v>
      </c>
      <c r="D173" s="46">
        <f>D$133*1.13</f>
        <v>3439.4261999999994</v>
      </c>
      <c r="E173" s="46">
        <f t="shared" ref="E173:O173" si="81">E$133*1.13</f>
        <v>3464.8896199999999</v>
      </c>
      <c r="F173" s="46">
        <f t="shared" si="81"/>
        <v>3209.4983199999997</v>
      </c>
      <c r="G173" s="46">
        <f t="shared" si="81"/>
        <v>3293.2900799999998</v>
      </c>
      <c r="H173" s="46">
        <f t="shared" si="81"/>
        <v>3379.2449510879997</v>
      </c>
      <c r="I173" s="46">
        <f t="shared" si="81"/>
        <v>3467.4432443113965</v>
      </c>
      <c r="J173" s="46">
        <f t="shared" si="81"/>
        <v>3557.9435129879239</v>
      </c>
      <c r="K173" s="46">
        <f t="shared" si="81"/>
        <v>3650.8058386769089</v>
      </c>
      <c r="L173" s="46">
        <f t="shared" si="81"/>
        <v>3816.4314899999995</v>
      </c>
      <c r="M173" s="46">
        <f t="shared" si="81"/>
        <v>3915.8854974800001</v>
      </c>
      <c r="N173" s="46">
        <f t="shared" si="81"/>
        <v>4032.97</v>
      </c>
      <c r="O173" s="46">
        <f t="shared" si="81"/>
        <v>3945.9599999999996</v>
      </c>
      <c r="R173" s="41"/>
    </row>
    <row r="174" spans="1:20">
      <c r="A174" s="19"/>
      <c r="B174" s="19" t="s">
        <v>191</v>
      </c>
      <c r="C174" s="407"/>
      <c r="D174" s="159">
        <v>3.7035757220000001</v>
      </c>
      <c r="E174" s="159">
        <v>3.5335286223243241</v>
      </c>
      <c r="F174" s="159">
        <v>3.5683624150810811</v>
      </c>
      <c r="G174" s="159">
        <v>3.6348779868648649</v>
      </c>
      <c r="H174" s="159">
        <v>3.6918566965945945</v>
      </c>
      <c r="I174" s="159">
        <v>3.7035757220000001</v>
      </c>
      <c r="J174" s="159">
        <v>3.7221396366000001</v>
      </c>
      <c r="K174" s="159">
        <v>3.7694426000000001</v>
      </c>
      <c r="L174" s="159">
        <v>3.8087896000000003</v>
      </c>
      <c r="M174" s="159">
        <v>3.8457364329999999</v>
      </c>
      <c r="N174" s="159">
        <v>3.87</v>
      </c>
      <c r="O174" s="159">
        <v>3.91</v>
      </c>
      <c r="P174" s="27" t="s">
        <v>192</v>
      </c>
      <c r="R174" s="41"/>
    </row>
    <row r="175" spans="1:20">
      <c r="A175" s="19"/>
      <c r="B175" s="19" t="s">
        <v>193</v>
      </c>
      <c r="C175" s="407"/>
      <c r="D175" s="46">
        <v>71.618691105378787</v>
      </c>
      <c r="E175" s="46">
        <v>68.330368786843579</v>
      </c>
      <c r="F175" s="46">
        <v>69.003974737075836</v>
      </c>
      <c r="G175" s="46">
        <v>70.290233894943938</v>
      </c>
      <c r="H175" s="46">
        <v>71.392071934186973</v>
      </c>
      <c r="I175" s="46">
        <v>71.618691105378787</v>
      </c>
      <c r="J175" s="46">
        <v>71.977674791751511</v>
      </c>
      <c r="K175" s="46">
        <v>72.892406007854248</v>
      </c>
      <c r="L175" s="46">
        <v>73.653287072654393</v>
      </c>
      <c r="M175" s="46">
        <v>74.367754392501737</v>
      </c>
      <c r="N175" s="46">
        <v>75</v>
      </c>
      <c r="O175" s="46">
        <v>76</v>
      </c>
      <c r="P175" s="27" t="s">
        <v>194</v>
      </c>
      <c r="R175" s="41"/>
    </row>
    <row r="176" spans="1:20">
      <c r="A176" s="19"/>
      <c r="B176" s="19" t="s">
        <v>195</v>
      </c>
      <c r="C176" s="407"/>
      <c r="D176" s="46">
        <v>55.908044990000008</v>
      </c>
      <c r="E176" s="46">
        <v>53.341066045135136</v>
      </c>
      <c r="F176" s="46">
        <v>53.866906313783787</v>
      </c>
      <c r="G176" s="46">
        <v>54.871005017027031</v>
      </c>
      <c r="H176" s="46">
        <v>55.731138171081085</v>
      </c>
      <c r="I176" s="46">
        <v>55.908044990000008</v>
      </c>
      <c r="J176" s="46">
        <v>56.188280160157902</v>
      </c>
      <c r="K176" s="46">
        <v>56.902351210526319</v>
      </c>
      <c r="L176" s="46">
        <v>57.496321473684219</v>
      </c>
      <c r="M176" s="46">
        <v>58.054059550789468</v>
      </c>
      <c r="N176" s="46">
        <v>58.5</v>
      </c>
      <c r="O176" s="46">
        <v>59</v>
      </c>
      <c r="P176" s="27" t="s">
        <v>196</v>
      </c>
      <c r="R176" s="41"/>
    </row>
    <row r="177" spans="1:18">
      <c r="A177" s="19"/>
      <c r="B177" s="32" t="s">
        <v>197</v>
      </c>
      <c r="C177" s="407"/>
      <c r="D177" s="50">
        <f t="shared" ref="D177:L177" si="82">D105*86</f>
        <v>7028.0060000000003</v>
      </c>
      <c r="E177" s="50">
        <f t="shared" si="82"/>
        <v>7227.8146159999997</v>
      </c>
      <c r="F177" s="50">
        <f t="shared" si="82"/>
        <v>7413.9543059999996</v>
      </c>
      <c r="G177" s="50">
        <f t="shared" si="82"/>
        <v>7655.8351540000012</v>
      </c>
      <c r="H177" s="50">
        <f t="shared" si="82"/>
        <v>8035.3525519999994</v>
      </c>
      <c r="I177" s="50">
        <f t="shared" si="82"/>
        <v>8458.1275200000018</v>
      </c>
      <c r="J177" s="50">
        <f t="shared" si="82"/>
        <v>9616.7433230799998</v>
      </c>
      <c r="K177" s="50">
        <f t="shared" si="82"/>
        <v>10285.6</v>
      </c>
      <c r="L177" s="50">
        <f t="shared" si="82"/>
        <v>10860.94</v>
      </c>
      <c r="M177" s="50">
        <f>M105*86</f>
        <v>11572.186818239999</v>
      </c>
      <c r="N177" s="50">
        <f t="shared" ref="N177:O177" si="83">N105*86</f>
        <v>12125.544028</v>
      </c>
      <c r="O177" s="50">
        <f t="shared" si="83"/>
        <v>11932.101734000002</v>
      </c>
    </row>
    <row r="178" spans="1:18">
      <c r="A178" s="19"/>
      <c r="B178" s="19" t="s">
        <v>198</v>
      </c>
      <c r="C178" s="408"/>
      <c r="D178" s="51">
        <f>SUM(D173:D177)</f>
        <v>10598.66251181738</v>
      </c>
      <c r="E178" s="51">
        <f t="shared" ref="E178:O178" si="84">SUM(E173:E177)</f>
        <v>10817.909199454303</v>
      </c>
      <c r="F178" s="51">
        <f t="shared" si="84"/>
        <v>10749.891869465941</v>
      </c>
      <c r="G178" s="51">
        <f t="shared" si="84"/>
        <v>11077.921350898836</v>
      </c>
      <c r="H178" s="51">
        <f t="shared" si="84"/>
        <v>11545.412569889861</v>
      </c>
      <c r="I178" s="51">
        <f t="shared" si="84"/>
        <v>12056.801076128777</v>
      </c>
      <c r="J178" s="51">
        <f t="shared" si="84"/>
        <v>13306.574930656432</v>
      </c>
      <c r="K178" s="51">
        <f t="shared" si="84"/>
        <v>14069.97003849529</v>
      </c>
      <c r="L178" s="51">
        <f t="shared" si="84"/>
        <v>14812.329888146338</v>
      </c>
      <c r="M178" s="51">
        <f t="shared" si="84"/>
        <v>15624.339866096292</v>
      </c>
      <c r="N178" s="51">
        <f t="shared" si="84"/>
        <v>16295.884028</v>
      </c>
      <c r="O178" s="51">
        <f t="shared" si="84"/>
        <v>16016.971734000001</v>
      </c>
      <c r="Q178" s="243">
        <f>(I178/D178)^(1/5)-1</f>
        <v>2.6115402065737259E-2</v>
      </c>
      <c r="R178" s="7">
        <f>(M178/I178)^(1/4)-1</f>
        <v>6.6945891535525437E-2</v>
      </c>
    </row>
    <row r="179" spans="1:18">
      <c r="A179" s="19"/>
      <c r="B179" s="20" t="s">
        <v>199</v>
      </c>
      <c r="C179" s="19"/>
      <c r="D179" s="216">
        <f t="shared" ref="D179:O179" si="85">D$178/D$25</f>
        <v>0.14570558184431345</v>
      </c>
      <c r="E179" s="216">
        <f t="shared" si="85"/>
        <v>0.14464689176327739</v>
      </c>
      <c r="F179" s="216">
        <f t="shared" si="85"/>
        <v>0.13722160690849394</v>
      </c>
      <c r="G179" s="216">
        <f t="shared" si="85"/>
        <v>0.13707185843621764</v>
      </c>
      <c r="H179" s="216">
        <f t="shared" si="85"/>
        <v>0.13730591040089632</v>
      </c>
      <c r="I179" s="216">
        <f t="shared" si="85"/>
        <v>0.13442726845923805</v>
      </c>
      <c r="J179" s="216">
        <f t="shared" si="85"/>
        <v>0.13856335881567408</v>
      </c>
      <c r="K179" s="216">
        <f t="shared" si="85"/>
        <v>0.13860896869676581</v>
      </c>
      <c r="L179" s="216">
        <f t="shared" si="85"/>
        <v>0.14357904949783154</v>
      </c>
      <c r="M179" s="216">
        <f t="shared" si="85"/>
        <v>0.14996410744810915</v>
      </c>
      <c r="N179" s="216">
        <f t="shared" si="85"/>
        <v>0.16770106661836404</v>
      </c>
      <c r="O179" s="216">
        <f t="shared" si="85"/>
        <v>0.16542354640190746</v>
      </c>
    </row>
    <row r="180" spans="1:18">
      <c r="A180" s="19"/>
      <c r="B180" s="20"/>
      <c r="C180" s="19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216"/>
    </row>
    <row r="181" spans="1:18">
      <c r="A181" s="19"/>
      <c r="B181" s="19" t="s">
        <v>200</v>
      </c>
      <c r="C181" s="19"/>
      <c r="D181" s="46">
        <v>24770</v>
      </c>
      <c r="E181" s="382">
        <f>E$6/E$183</f>
        <v>24134.871794871793</v>
      </c>
      <c r="F181" s="382">
        <f t="shared" ref="F181:O181" si="86">F$6/F$183</f>
        <v>24383.40022296544</v>
      </c>
      <c r="G181" s="382">
        <f t="shared" si="86"/>
        <v>24838.759531772575</v>
      </c>
      <c r="H181" s="382">
        <f t="shared" si="86"/>
        <v>25228.120735785953</v>
      </c>
      <c r="I181" s="382">
        <f t="shared" si="86"/>
        <v>25796.974693422519</v>
      </c>
      <c r="J181" s="382">
        <f t="shared" si="86"/>
        <v>26144.362207357859</v>
      </c>
      <c r="K181" s="382">
        <f t="shared" si="86"/>
        <v>26466.34459308807</v>
      </c>
      <c r="L181" s="382">
        <f t="shared" si="86"/>
        <v>26785.841694537346</v>
      </c>
      <c r="M181" s="382">
        <f t="shared" si="86"/>
        <v>26958.430880713488</v>
      </c>
      <c r="N181" s="382">
        <f t="shared" si="86"/>
        <v>27189.562318840581</v>
      </c>
      <c r="O181" s="382">
        <f t="shared" si="86"/>
        <v>27312.721962095875</v>
      </c>
    </row>
    <row r="182" spans="1:18">
      <c r="A182" s="19"/>
      <c r="B182" s="19" t="s">
        <v>201</v>
      </c>
      <c r="C182" s="19"/>
      <c r="D182" s="46">
        <v>23770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</row>
    <row r="183" spans="1:18">
      <c r="A183" s="19"/>
      <c r="B183" s="19" t="s">
        <v>202</v>
      </c>
      <c r="C183" s="19" t="s">
        <v>203</v>
      </c>
      <c r="D183" s="99">
        <f>D6/D181</f>
        <v>3.6213161081953977</v>
      </c>
      <c r="E183" s="99">
        <v>3.6213161081953977</v>
      </c>
      <c r="F183" s="99">
        <v>3.6213161081953977</v>
      </c>
      <c r="G183" s="99">
        <v>3.6213161081953977</v>
      </c>
      <c r="H183" s="99">
        <v>3.6213161081953977</v>
      </c>
      <c r="I183" s="99">
        <v>3.6213161081953977</v>
      </c>
      <c r="J183" s="99">
        <v>3.6213161081953977</v>
      </c>
      <c r="K183" s="99">
        <v>3.6213161081953977</v>
      </c>
      <c r="L183" s="99">
        <v>3.6213161081953977</v>
      </c>
      <c r="M183" s="99">
        <v>3.6213161081953977</v>
      </c>
      <c r="N183" s="99">
        <v>3.6213161081953977</v>
      </c>
      <c r="O183" s="99">
        <v>3.6213161081953977</v>
      </c>
    </row>
    <row r="184" spans="1:18">
      <c r="A184" s="19"/>
      <c r="B184" s="19" t="s">
        <v>204</v>
      </c>
      <c r="C184" s="57"/>
      <c r="D184" s="46">
        <v>25906</v>
      </c>
      <c r="E184" s="46">
        <v>26694</v>
      </c>
      <c r="F184" s="46">
        <v>27476</v>
      </c>
      <c r="G184" s="46">
        <v>28128</v>
      </c>
      <c r="H184" s="46">
        <v>28727</v>
      </c>
      <c r="I184" s="46">
        <v>29422</v>
      </c>
      <c r="J184" s="46">
        <v>30386</v>
      </c>
      <c r="K184" s="46">
        <v>31419</v>
      </c>
      <c r="L184" s="46">
        <v>32278</v>
      </c>
      <c r="M184" s="241">
        <v>32866.535714285703</v>
      </c>
      <c r="N184" s="46">
        <v>34464</v>
      </c>
      <c r="O184" s="241"/>
      <c r="P184" t="s">
        <v>205</v>
      </c>
    </row>
    <row r="185" spans="1:18">
      <c r="A185" s="19"/>
      <c r="B185" s="19" t="s">
        <v>206</v>
      </c>
      <c r="C185" s="19" t="s">
        <v>207</v>
      </c>
      <c r="D185" s="46">
        <f t="shared" ref="D185:M185" si="87">D71/D184*1000000</f>
        <v>3154.5201883733498</v>
      </c>
      <c r="E185" s="46">
        <f t="shared" si="87"/>
        <v>3148.4362028920355</v>
      </c>
      <c r="F185" s="46">
        <f t="shared" si="87"/>
        <v>3137.6026714223322</v>
      </c>
      <c r="G185" s="46">
        <f t="shared" si="87"/>
        <v>3164.8655787827083</v>
      </c>
      <c r="H185" s="46">
        <f t="shared" si="87"/>
        <v>3252.4918021373619</v>
      </c>
      <c r="I185" s="46">
        <f t="shared" si="87"/>
        <v>3342.7476038338664</v>
      </c>
      <c r="J185" s="46">
        <f t="shared" si="87"/>
        <v>3680.0696630026987</v>
      </c>
      <c r="K185" s="46">
        <f t="shared" si="87"/>
        <v>3806.6138323944106</v>
      </c>
      <c r="L185" s="46">
        <f t="shared" si="87"/>
        <v>3912.5720304851598</v>
      </c>
      <c r="M185" s="241">
        <f t="shared" si="87"/>
        <v>4094.1434476013933</v>
      </c>
      <c r="N185" s="46">
        <f>N71/N184*1000000</f>
        <v>4091.0717850510673</v>
      </c>
      <c r="O185" s="241"/>
    </row>
    <row r="186" spans="1:18">
      <c r="A186" s="19"/>
      <c r="B186" s="19"/>
      <c r="C186" s="19" t="s">
        <v>208</v>
      </c>
      <c r="D186" s="287">
        <f>D185/12</f>
        <v>262.8766823644458</v>
      </c>
      <c r="E186" s="287">
        <f t="shared" ref="E186:K186" si="88">E185/12</f>
        <v>262.36968357433631</v>
      </c>
      <c r="F186" s="287">
        <f t="shared" si="88"/>
        <v>261.46688928519433</v>
      </c>
      <c r="G186" s="287">
        <f t="shared" si="88"/>
        <v>263.73879823189236</v>
      </c>
      <c r="H186" s="287">
        <f t="shared" si="88"/>
        <v>271.04098351144683</v>
      </c>
      <c r="I186" s="287">
        <f t="shared" si="88"/>
        <v>278.56230031948888</v>
      </c>
      <c r="J186" s="287">
        <f t="shared" si="88"/>
        <v>306.67247191689154</v>
      </c>
      <c r="K186" s="287">
        <f t="shared" si="88"/>
        <v>317.2178193662009</v>
      </c>
      <c r="L186" s="287">
        <f>L185/12</f>
        <v>326.04766920709665</v>
      </c>
      <c r="M186" s="287">
        <f>M185/12</f>
        <v>341.17862063344944</v>
      </c>
      <c r="N186" s="287">
        <f>N185/12</f>
        <v>340.92264875425559</v>
      </c>
      <c r="O186" s="287"/>
      <c r="Q186" s="36"/>
    </row>
    <row r="187" spans="1:18"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Q187" s="36"/>
    </row>
    <row r="188" spans="1:18"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Q188" s="36"/>
    </row>
    <row r="189" spans="1:18">
      <c r="A189" s="14" t="s">
        <v>209</v>
      </c>
      <c r="B189" s="13"/>
      <c r="C189" s="13"/>
      <c r="D189" s="2">
        <v>2010</v>
      </c>
      <c r="E189" s="2">
        <v>2011</v>
      </c>
      <c r="F189" s="2">
        <v>2012</v>
      </c>
      <c r="G189" s="2">
        <v>2013</v>
      </c>
      <c r="H189" s="2">
        <v>2014</v>
      </c>
      <c r="I189" s="2">
        <v>2015</v>
      </c>
      <c r="J189" s="2">
        <v>2016</v>
      </c>
      <c r="K189" s="2">
        <v>2017</v>
      </c>
      <c r="L189" s="2">
        <v>2018</v>
      </c>
      <c r="M189" s="2">
        <v>2019</v>
      </c>
      <c r="N189" s="2">
        <v>2020</v>
      </c>
      <c r="O189" s="2">
        <v>2021</v>
      </c>
    </row>
    <row r="190" spans="1:18">
      <c r="A190" s="14"/>
      <c r="B190" s="13" t="s">
        <v>190</v>
      </c>
      <c r="C190" s="400" t="s">
        <v>143</v>
      </c>
      <c r="D190" s="48">
        <f>0.05*D$120</f>
        <v>198.47704999999999</v>
      </c>
      <c r="E190" s="48">
        <f t="shared" ref="E190:L190" si="89">0.05*E$120</f>
        <v>212.54145</v>
      </c>
      <c r="F190" s="48">
        <f t="shared" si="89"/>
        <v>215.10450000000003</v>
      </c>
      <c r="G190" s="48">
        <f t="shared" si="89"/>
        <v>220.75115000000002</v>
      </c>
      <c r="H190" s="48">
        <f t="shared" si="89"/>
        <v>225.65</v>
      </c>
      <c r="I190" s="48">
        <f t="shared" si="89"/>
        <v>228.32150000000001</v>
      </c>
      <c r="J190" s="48">
        <f t="shared" si="89"/>
        <v>232.1069</v>
      </c>
      <c r="K190" s="48">
        <f t="shared" si="89"/>
        <v>240.64595</v>
      </c>
      <c r="L190" s="48">
        <f t="shared" si="89"/>
        <v>250.35149999999999</v>
      </c>
      <c r="M190" s="48">
        <f>0.05*M$120</f>
        <v>255.16743773999997</v>
      </c>
      <c r="N190" s="48">
        <f>0.05*N$120</f>
        <v>248.54388994039996</v>
      </c>
      <c r="O190" s="48">
        <f t="shared" ref="O190" si="90">0.05*O$120</f>
        <v>257.64000000000004</v>
      </c>
      <c r="P190" t="s">
        <v>210</v>
      </c>
    </row>
    <row r="191" spans="1:18">
      <c r="A191" s="14"/>
      <c r="B191" s="13" t="s">
        <v>211</v>
      </c>
      <c r="C191" s="401"/>
      <c r="D191" s="48">
        <v>4041.7</v>
      </c>
      <c r="E191" s="48">
        <v>3973</v>
      </c>
      <c r="F191" s="48">
        <v>4207.6660000000002</v>
      </c>
      <c r="G191" s="48">
        <v>4272</v>
      </c>
      <c r="H191" s="48">
        <v>4537.473</v>
      </c>
      <c r="I191" s="48">
        <v>4815.8936000000003</v>
      </c>
      <c r="J191" s="48">
        <v>5094.3042000000005</v>
      </c>
      <c r="K191" s="48">
        <v>5127.0547999999999</v>
      </c>
      <c r="L191" s="48">
        <v>4519</v>
      </c>
      <c r="M191" s="48">
        <v>4081</v>
      </c>
      <c r="N191" s="48">
        <v>4562</v>
      </c>
      <c r="O191" s="48">
        <v>4453</v>
      </c>
    </row>
    <row r="192" spans="1:18">
      <c r="A192" s="14"/>
      <c r="B192" s="13" t="s">
        <v>212</v>
      </c>
      <c r="C192" s="402"/>
      <c r="D192" s="48">
        <v>2150</v>
      </c>
      <c r="E192" s="48">
        <v>2323.6666666666661</v>
      </c>
      <c r="F192" s="48">
        <v>2497.333333333333</v>
      </c>
      <c r="G192" s="48">
        <v>2670.9999999999991</v>
      </c>
      <c r="H192" s="48">
        <v>2844.6666666666661</v>
      </c>
      <c r="I192" s="48">
        <v>3018.3333333333321</v>
      </c>
      <c r="J192" s="48">
        <v>3191.9999999999991</v>
      </c>
      <c r="K192" s="48">
        <v>3365.6666666666652</v>
      </c>
      <c r="L192" s="48">
        <v>3539.3333333333321</v>
      </c>
      <c r="M192" s="48">
        <v>3713</v>
      </c>
      <c r="N192" s="48">
        <v>3026</v>
      </c>
      <c r="O192" s="48">
        <v>2474</v>
      </c>
    </row>
    <row r="193" spans="1:18">
      <c r="A193" s="14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48"/>
      <c r="O193" s="48"/>
    </row>
    <row r="194" spans="1:18">
      <c r="A194" s="14"/>
      <c r="B194" s="13" t="s">
        <v>190</v>
      </c>
      <c r="C194" s="400" t="s">
        <v>23</v>
      </c>
      <c r="D194" s="48">
        <f t="shared" ref="D194:O194" si="91">D$190*1.13</f>
        <v>224.27906649999997</v>
      </c>
      <c r="E194" s="48">
        <f t="shared" si="91"/>
        <v>240.17183849999998</v>
      </c>
      <c r="F194" s="48">
        <f t="shared" si="91"/>
        <v>243.06808500000002</v>
      </c>
      <c r="G194" s="48">
        <f t="shared" si="91"/>
        <v>249.44879950000001</v>
      </c>
      <c r="H194" s="48">
        <f t="shared" si="91"/>
        <v>254.98449999999997</v>
      </c>
      <c r="I194" s="48">
        <f t="shared" si="91"/>
        <v>258.00329499999998</v>
      </c>
      <c r="J194" s="48">
        <f t="shared" si="91"/>
        <v>262.28079699999995</v>
      </c>
      <c r="K194" s="48">
        <f t="shared" si="91"/>
        <v>271.92992349999997</v>
      </c>
      <c r="L194" s="48">
        <f t="shared" si="91"/>
        <v>282.89719499999995</v>
      </c>
      <c r="M194" s="48">
        <f t="shared" si="91"/>
        <v>288.33920464619996</v>
      </c>
      <c r="N194" s="48">
        <f t="shared" si="91"/>
        <v>280.85459563265192</v>
      </c>
      <c r="O194" s="48">
        <f t="shared" si="91"/>
        <v>291.13320000000004</v>
      </c>
    </row>
    <row r="195" spans="1:18">
      <c r="A195" s="13"/>
      <c r="B195" s="13" t="s">
        <v>211</v>
      </c>
      <c r="C195" s="401"/>
      <c r="D195" s="48">
        <f t="shared" ref="D195:O195" si="92">0.96*D191</f>
        <v>3880.0319999999997</v>
      </c>
      <c r="E195" s="48">
        <f t="shared" si="92"/>
        <v>3814.08</v>
      </c>
      <c r="F195" s="48">
        <f t="shared" si="92"/>
        <v>4039.3593599999999</v>
      </c>
      <c r="G195" s="48">
        <f t="shared" si="92"/>
        <v>4101.12</v>
      </c>
      <c r="H195" s="48">
        <f t="shared" si="92"/>
        <v>4355.97408</v>
      </c>
      <c r="I195" s="48">
        <f t="shared" si="92"/>
        <v>4623.2578560000002</v>
      </c>
      <c r="J195" s="48">
        <f t="shared" si="92"/>
        <v>4890.5320320000001</v>
      </c>
      <c r="K195" s="48">
        <f t="shared" si="92"/>
        <v>4921.972608</v>
      </c>
      <c r="L195" s="48">
        <f t="shared" si="92"/>
        <v>4338.24</v>
      </c>
      <c r="M195" s="48">
        <f t="shared" si="92"/>
        <v>3917.7599999999998</v>
      </c>
      <c r="N195" s="48">
        <f t="shared" si="92"/>
        <v>4379.5199999999995</v>
      </c>
      <c r="O195" s="48">
        <f t="shared" si="92"/>
        <v>4274.88</v>
      </c>
      <c r="P195" t="s">
        <v>213</v>
      </c>
      <c r="Q195" s="5"/>
    </row>
    <row r="196" spans="1:18">
      <c r="A196" s="13"/>
      <c r="B196" s="13" t="s">
        <v>212</v>
      </c>
      <c r="C196" s="402"/>
      <c r="D196" s="48">
        <f t="shared" ref="D196:O196" si="93">D192*1.035</f>
        <v>2225.25</v>
      </c>
      <c r="E196" s="48">
        <f t="shared" si="93"/>
        <v>2404.994999999999</v>
      </c>
      <c r="F196" s="48">
        <f t="shared" si="93"/>
        <v>2584.7399999999993</v>
      </c>
      <c r="G196" s="48">
        <f t="shared" si="93"/>
        <v>2764.4849999999988</v>
      </c>
      <c r="H196" s="48">
        <f t="shared" si="93"/>
        <v>2944.2299999999991</v>
      </c>
      <c r="I196" s="48">
        <f t="shared" si="93"/>
        <v>3123.9749999999985</v>
      </c>
      <c r="J196" s="48">
        <f t="shared" si="93"/>
        <v>3303.7199999999989</v>
      </c>
      <c r="K196" s="48">
        <f t="shared" si="93"/>
        <v>3483.4649999999983</v>
      </c>
      <c r="L196" s="48">
        <f t="shared" si="93"/>
        <v>3663.2099999999987</v>
      </c>
      <c r="M196" s="48">
        <f t="shared" si="93"/>
        <v>3842.9549999999999</v>
      </c>
      <c r="N196" s="48">
        <f t="shared" si="93"/>
        <v>3131.91</v>
      </c>
      <c r="O196" s="48">
        <f t="shared" si="93"/>
        <v>2560.5899999999997</v>
      </c>
      <c r="Q196" s="5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48"/>
      <c r="O197" s="48"/>
      <c r="Q197" s="5"/>
    </row>
    <row r="198" spans="1:18">
      <c r="A198" s="13"/>
      <c r="B198" s="34" t="s">
        <v>197</v>
      </c>
      <c r="C198" s="277" t="s">
        <v>23</v>
      </c>
      <c r="D198" s="55">
        <f>D$96*86</f>
        <v>2692.3829398200005</v>
      </c>
      <c r="E198" s="55">
        <f t="shared" ref="E198:O198" si="94">E$96*86</f>
        <v>3126.6984112199998</v>
      </c>
      <c r="F198" s="55">
        <f t="shared" si="94"/>
        <v>3782.5625435400007</v>
      </c>
      <c r="G198" s="55">
        <f t="shared" si="94"/>
        <v>4058.8107906600007</v>
      </c>
      <c r="H198" s="55">
        <f t="shared" si="94"/>
        <v>4207.426848000001</v>
      </c>
      <c r="I198" s="55">
        <f t="shared" si="94"/>
        <v>4348.7584662600002</v>
      </c>
      <c r="J198" s="55">
        <f t="shared" si="94"/>
        <v>4846.4436382668</v>
      </c>
      <c r="K198" s="55">
        <f t="shared" si="94"/>
        <v>4955.2457357664007</v>
      </c>
      <c r="L198" s="55">
        <f t="shared" si="94"/>
        <v>5398.9681422080012</v>
      </c>
      <c r="M198" s="55">
        <f t="shared" si="94"/>
        <v>5536.3886394647998</v>
      </c>
      <c r="N198" s="55">
        <f t="shared" si="94"/>
        <v>5369.9232325200001</v>
      </c>
      <c r="O198" s="55">
        <f t="shared" si="94"/>
        <v>5432.2109422349486</v>
      </c>
    </row>
    <row r="199" spans="1:18">
      <c r="A199" s="13"/>
      <c r="B199" s="13" t="s">
        <v>214</v>
      </c>
      <c r="C199" s="272" t="s">
        <v>23</v>
      </c>
      <c r="D199" s="56">
        <f t="shared" ref="D199:O199" si="95">D194+D195+D196+D198</f>
        <v>9021.94400632</v>
      </c>
      <c r="E199" s="56">
        <f t="shared" si="95"/>
        <v>9585.94524972</v>
      </c>
      <c r="F199" s="56">
        <f t="shared" si="95"/>
        <v>10649.729988539999</v>
      </c>
      <c r="G199" s="56">
        <f t="shared" si="95"/>
        <v>11173.864590159999</v>
      </c>
      <c r="H199" s="56">
        <f t="shared" si="95"/>
        <v>11762.615427999999</v>
      </c>
      <c r="I199" s="56">
        <f t="shared" si="95"/>
        <v>12353.994617259999</v>
      </c>
      <c r="J199" s="56">
        <f t="shared" si="95"/>
        <v>13302.976467266799</v>
      </c>
      <c r="K199" s="56">
        <f t="shared" si="95"/>
        <v>13632.613267266399</v>
      </c>
      <c r="L199" s="56">
        <f t="shared" si="95"/>
        <v>13683.315337208</v>
      </c>
      <c r="M199" s="56">
        <f t="shared" si="95"/>
        <v>13585.442844110999</v>
      </c>
      <c r="N199" s="56">
        <f t="shared" si="95"/>
        <v>13162.207828152652</v>
      </c>
      <c r="O199" s="56">
        <f t="shared" si="95"/>
        <v>12558.814142234947</v>
      </c>
      <c r="R199" s="7">
        <f>(K199/D199)^(1/7)-1</f>
        <v>6.0745709742228149E-2</v>
      </c>
    </row>
    <row r="200" spans="1:18">
      <c r="A200" s="13"/>
      <c r="B200" s="14" t="s">
        <v>215</v>
      </c>
      <c r="C200" s="272"/>
      <c r="D200" s="215">
        <f t="shared" ref="D200:O200" si="96">D199/D25</f>
        <v>0.12402957442431697</v>
      </c>
      <c r="E200" s="215">
        <f t="shared" si="96"/>
        <v>0.12817423028979538</v>
      </c>
      <c r="F200" s="215">
        <f t="shared" si="96"/>
        <v>0.13594304760589532</v>
      </c>
      <c r="G200" s="215">
        <f t="shared" si="96"/>
        <v>0.13825900516648859</v>
      </c>
      <c r="H200" s="215">
        <f t="shared" si="96"/>
        <v>0.1398890347365539</v>
      </c>
      <c r="I200" s="215">
        <f t="shared" si="96"/>
        <v>0.13774082697992204</v>
      </c>
      <c r="J200" s="215">
        <f t="shared" si="96"/>
        <v>0.13852588747714847</v>
      </c>
      <c r="K200" s="215">
        <f t="shared" si="96"/>
        <v>0.13430039015347653</v>
      </c>
      <c r="L200" s="215">
        <f t="shared" si="96"/>
        <v>0.13263527243392267</v>
      </c>
      <c r="M200" s="215">
        <f t="shared" si="96"/>
        <v>0.13039455284925452</v>
      </c>
      <c r="N200" s="215">
        <f t="shared" si="96"/>
        <v>0.13545238098412543</v>
      </c>
      <c r="O200" s="215">
        <f t="shared" si="96"/>
        <v>0.12970763815490005</v>
      </c>
    </row>
    <row r="202" spans="1:18"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</row>
    <row r="203" spans="1:18">
      <c r="A203" s="18" t="s">
        <v>134</v>
      </c>
      <c r="B203" s="17" t="s">
        <v>190</v>
      </c>
      <c r="C203" s="392" t="s">
        <v>143</v>
      </c>
      <c r="D203" s="49">
        <f t="shared" ref="D203:O203" si="97">D120-D133-D190</f>
        <v>727.32394999999997</v>
      </c>
      <c r="E203" s="49">
        <f t="shared" si="97"/>
        <v>972.01354999999944</v>
      </c>
      <c r="F203" s="49">
        <f t="shared" si="97"/>
        <v>1246.7215000000001</v>
      </c>
      <c r="G203" s="49">
        <f t="shared" si="97"/>
        <v>1279.8558499999999</v>
      </c>
      <c r="H203" s="49">
        <f t="shared" si="97"/>
        <v>1296.8677423999998</v>
      </c>
      <c r="I203" s="49">
        <f t="shared" si="97"/>
        <v>1269.5746554766401</v>
      </c>
      <c r="J203" s="49">
        <f t="shared" si="97"/>
        <v>1261.4085221345802</v>
      </c>
      <c r="K203" s="49">
        <f t="shared" si="97"/>
        <v>1341.4714228522926</v>
      </c>
      <c r="L203" s="49">
        <f t="shared" si="97"/>
        <v>1379.3054999999997</v>
      </c>
      <c r="M203" s="49">
        <f t="shared" si="97"/>
        <v>1382.7959210599988</v>
      </c>
      <c r="N203" s="49">
        <f t="shared" si="97"/>
        <v>1153.3339088675991</v>
      </c>
      <c r="O203" s="49">
        <f t="shared" si="97"/>
        <v>1403.16</v>
      </c>
      <c r="P203" t="s">
        <v>216</v>
      </c>
    </row>
    <row r="204" spans="1:18">
      <c r="A204" s="18"/>
      <c r="B204" s="17" t="s">
        <v>217</v>
      </c>
      <c r="C204" s="393"/>
      <c r="D204" s="47">
        <v>746</v>
      </c>
      <c r="E204" s="47">
        <v>786.8888888888888</v>
      </c>
      <c r="F204" s="47">
        <v>827.77777777777771</v>
      </c>
      <c r="G204" s="47">
        <v>868.66666666666663</v>
      </c>
      <c r="H204" s="47">
        <v>909.55555555555554</v>
      </c>
      <c r="I204" s="47">
        <v>950.44444444444434</v>
      </c>
      <c r="J204" s="47">
        <v>991.33333333333326</v>
      </c>
      <c r="K204" s="47">
        <v>1032.2222222222222</v>
      </c>
      <c r="L204" s="47">
        <v>1073.1111111111109</v>
      </c>
      <c r="M204" s="47">
        <v>1117</v>
      </c>
      <c r="N204" s="49">
        <v>3740</v>
      </c>
      <c r="O204" s="49">
        <v>3485</v>
      </c>
    </row>
    <row r="205" spans="1:18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47"/>
      <c r="O205" s="47"/>
    </row>
    <row r="206" spans="1:18">
      <c r="A206" s="17"/>
      <c r="B206" s="17" t="s">
        <v>190</v>
      </c>
      <c r="C206" s="392" t="s">
        <v>23</v>
      </c>
      <c r="D206" s="47">
        <f t="shared" ref="D206:O206" si="98">D203*1.13</f>
        <v>821.87606349999987</v>
      </c>
      <c r="E206" s="47">
        <f t="shared" si="98"/>
        <v>1098.3753114999993</v>
      </c>
      <c r="F206" s="47">
        <f t="shared" si="98"/>
        <v>1408.7952949999999</v>
      </c>
      <c r="G206" s="47">
        <f t="shared" si="98"/>
        <v>1446.2371104999997</v>
      </c>
      <c r="H206" s="47">
        <f t="shared" si="98"/>
        <v>1465.4605489119997</v>
      </c>
      <c r="I206" s="47">
        <f t="shared" si="98"/>
        <v>1434.6193606886031</v>
      </c>
      <c r="J206" s="47">
        <f t="shared" si="98"/>
        <v>1425.3916300120754</v>
      </c>
      <c r="K206" s="47">
        <f t="shared" si="98"/>
        <v>1515.8627078230904</v>
      </c>
      <c r="L206" s="47">
        <f t="shared" si="98"/>
        <v>1558.6152149999996</v>
      </c>
      <c r="M206" s="47">
        <f t="shared" si="98"/>
        <v>1562.5593907977984</v>
      </c>
      <c r="N206" s="47">
        <f t="shared" si="98"/>
        <v>1303.2673170203868</v>
      </c>
      <c r="O206" s="47">
        <f t="shared" si="98"/>
        <v>1585.5708</v>
      </c>
      <c r="Q206" s="136"/>
    </row>
    <row r="207" spans="1:18">
      <c r="A207" s="17"/>
      <c r="B207" s="17" t="s">
        <v>217</v>
      </c>
      <c r="C207" s="393"/>
      <c r="D207" s="47">
        <f t="shared" ref="D207:O207" si="99">D204*1.035</f>
        <v>772.1099999999999</v>
      </c>
      <c r="E207" s="47">
        <f t="shared" si="99"/>
        <v>814.42999999999984</v>
      </c>
      <c r="F207" s="47">
        <f t="shared" si="99"/>
        <v>856.74999999999989</v>
      </c>
      <c r="G207" s="47">
        <f t="shared" si="99"/>
        <v>899.06999999999994</v>
      </c>
      <c r="H207" s="47">
        <f t="shared" si="99"/>
        <v>941.38999999999987</v>
      </c>
      <c r="I207" s="47">
        <f t="shared" si="99"/>
        <v>983.70999999999981</v>
      </c>
      <c r="J207" s="47">
        <f t="shared" si="99"/>
        <v>1026.0299999999997</v>
      </c>
      <c r="K207" s="47">
        <f t="shared" si="99"/>
        <v>1068.3499999999999</v>
      </c>
      <c r="L207" s="47">
        <f t="shared" si="99"/>
        <v>1110.6699999999996</v>
      </c>
      <c r="M207" s="47">
        <f t="shared" si="99"/>
        <v>1156.0949999999998</v>
      </c>
      <c r="N207" s="47">
        <f t="shared" si="99"/>
        <v>3870.8999999999996</v>
      </c>
      <c r="O207" s="47">
        <f t="shared" si="99"/>
        <v>3606.9749999999999</v>
      </c>
      <c r="Q207" s="136"/>
    </row>
    <row r="208" spans="1:18">
      <c r="A208" s="17"/>
      <c r="B208" s="17"/>
      <c r="C208" s="273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Q208" s="136"/>
    </row>
    <row r="209" spans="1:19">
      <c r="A209" s="17"/>
      <c r="B209" s="17" t="s">
        <v>218</v>
      </c>
      <c r="C209" s="273" t="s">
        <v>23</v>
      </c>
      <c r="D209" s="49">
        <f t="shared" ref="D209:L209" si="100">(D122-D174)*1.045</f>
        <v>129.06285905051001</v>
      </c>
      <c r="E209" s="49">
        <f t="shared" si="100"/>
        <v>95.869645309671085</v>
      </c>
      <c r="F209" s="49">
        <f t="shared" si="100"/>
        <v>83.97908167624027</v>
      </c>
      <c r="G209" s="49">
        <f t="shared" si="100"/>
        <v>63.865887703726223</v>
      </c>
      <c r="H209" s="49">
        <f t="shared" si="100"/>
        <v>59.681270152058659</v>
      </c>
      <c r="I209" s="49">
        <f t="shared" si="100"/>
        <v>56.895760970510004</v>
      </c>
      <c r="J209" s="49">
        <f t="shared" si="100"/>
        <v>73.335864079752994</v>
      </c>
      <c r="K209" s="49">
        <f t="shared" si="100"/>
        <v>59.899982483000002</v>
      </c>
      <c r="L209" s="49">
        <f t="shared" si="100"/>
        <v>97.614714867999993</v>
      </c>
      <c r="M209" s="49">
        <f>(M122-M174)*1.045</f>
        <v>59.726205427514998</v>
      </c>
      <c r="N209" s="49">
        <f t="shared" ref="N209:O209" si="101">(N122-N174)*1.045</f>
        <v>26.430423821999998</v>
      </c>
      <c r="O209" s="49">
        <f t="shared" si="101"/>
        <v>19.844549999999998</v>
      </c>
    </row>
    <row r="210" spans="1:19">
      <c r="A210" s="17"/>
      <c r="B210" s="17" t="s">
        <v>219</v>
      </c>
      <c r="C210" s="273" t="s">
        <v>23</v>
      </c>
      <c r="D210" s="54" t="s">
        <v>220</v>
      </c>
      <c r="E210" s="54" t="s">
        <v>220</v>
      </c>
      <c r="F210" s="54" t="s">
        <v>220</v>
      </c>
      <c r="G210" s="54" t="s">
        <v>220</v>
      </c>
      <c r="H210" s="54" t="s">
        <v>220</v>
      </c>
      <c r="I210" s="54" t="s">
        <v>220</v>
      </c>
      <c r="J210" s="54" t="s">
        <v>220</v>
      </c>
      <c r="K210" s="54" t="s">
        <v>220</v>
      </c>
      <c r="L210" s="54" t="s">
        <v>220</v>
      </c>
      <c r="M210" s="54" t="s">
        <v>220</v>
      </c>
      <c r="N210" s="54" t="s">
        <v>220</v>
      </c>
      <c r="O210" s="54" t="s">
        <v>220</v>
      </c>
      <c r="P210" s="65" t="s">
        <v>221</v>
      </c>
    </row>
    <row r="211" spans="1:19">
      <c r="A211" s="17"/>
      <c r="B211" s="17" t="s">
        <v>222</v>
      </c>
      <c r="C211" s="273" t="s">
        <v>23</v>
      </c>
      <c r="D211" s="54" t="s">
        <v>220</v>
      </c>
      <c r="E211" s="54" t="s">
        <v>220</v>
      </c>
      <c r="F211" s="54" t="s">
        <v>220</v>
      </c>
      <c r="G211" s="54" t="s">
        <v>220</v>
      </c>
      <c r="H211" s="54" t="s">
        <v>220</v>
      </c>
      <c r="I211" s="54" t="s">
        <v>220</v>
      </c>
      <c r="J211" s="54" t="s">
        <v>220</v>
      </c>
      <c r="K211" s="54" t="s">
        <v>220</v>
      </c>
      <c r="L211" s="54" t="s">
        <v>220</v>
      </c>
      <c r="M211" s="54" t="s">
        <v>220</v>
      </c>
      <c r="N211" s="54" t="s">
        <v>220</v>
      </c>
      <c r="O211" s="54" t="s">
        <v>220</v>
      </c>
      <c r="P211" s="65" t="s">
        <v>221</v>
      </c>
    </row>
    <row r="212" spans="1:19">
      <c r="A212" s="17"/>
      <c r="B212" s="17"/>
      <c r="C212" s="273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</row>
    <row r="213" spans="1:19">
      <c r="A213" s="17"/>
      <c r="B213" s="33" t="s">
        <v>197</v>
      </c>
      <c r="C213" s="274" t="s">
        <v>23</v>
      </c>
      <c r="D213" s="52">
        <f t="shared" ref="D213:L213" si="102">D106*86</f>
        <v>15387.838068180001</v>
      </c>
      <c r="E213" s="52">
        <f t="shared" si="102"/>
        <v>17362.50566278</v>
      </c>
      <c r="F213" s="52">
        <f t="shared" si="102"/>
        <v>19503.284216460004</v>
      </c>
      <c r="G213" s="52">
        <f t="shared" si="102"/>
        <v>20527.792677340003</v>
      </c>
      <c r="H213" s="52">
        <f t="shared" si="102"/>
        <v>20623.787022</v>
      </c>
      <c r="I213" s="52">
        <f t="shared" si="102"/>
        <v>21043.314630000001</v>
      </c>
      <c r="J213" s="52">
        <f t="shared" si="102"/>
        <v>23073.2223505732</v>
      </c>
      <c r="K213" s="52">
        <f t="shared" si="102"/>
        <v>23718.7546485536</v>
      </c>
      <c r="L213" s="52">
        <f t="shared" si="102"/>
        <v>23149.048888192003</v>
      </c>
      <c r="M213" s="52">
        <f>M106*86</f>
        <v>24292.645858714324</v>
      </c>
      <c r="N213" s="52">
        <f t="shared" ref="N213:O213" si="103">N106*86</f>
        <v>20649.075079479997</v>
      </c>
      <c r="O213" s="52">
        <f t="shared" si="103"/>
        <v>22928.189571313553</v>
      </c>
    </row>
    <row r="214" spans="1:19">
      <c r="A214" s="17"/>
      <c r="B214" s="17" t="s">
        <v>223</v>
      </c>
      <c r="C214" s="273" t="s">
        <v>23</v>
      </c>
      <c r="D214" s="53">
        <f t="shared" ref="D214:O214" si="104">D206+D207+D209+D213</f>
        <v>17110.886990730512</v>
      </c>
      <c r="E214" s="53">
        <f t="shared" si="104"/>
        <v>19371.180619589672</v>
      </c>
      <c r="F214" s="53">
        <f t="shared" si="104"/>
        <v>21852.808593136244</v>
      </c>
      <c r="G214" s="53">
        <f t="shared" si="104"/>
        <v>22936.965675543728</v>
      </c>
      <c r="H214" s="53">
        <f t="shared" si="104"/>
        <v>23090.318841064058</v>
      </c>
      <c r="I214" s="53">
        <f t="shared" si="104"/>
        <v>23518.539751659115</v>
      </c>
      <c r="J214" s="53">
        <f t="shared" si="104"/>
        <v>25597.979844665027</v>
      </c>
      <c r="K214" s="53">
        <f t="shared" si="104"/>
        <v>26362.867338859691</v>
      </c>
      <c r="L214" s="53">
        <f t="shared" si="104"/>
        <v>25915.948818060002</v>
      </c>
      <c r="M214" s="53">
        <f t="shared" si="104"/>
        <v>27071.026454939638</v>
      </c>
      <c r="N214" s="53">
        <f t="shared" si="104"/>
        <v>25849.672820322383</v>
      </c>
      <c r="O214" s="53">
        <f t="shared" si="104"/>
        <v>28140.579921313554</v>
      </c>
      <c r="R214" s="7">
        <f>(M214/D214)^(1/9)-1</f>
        <v>5.2293556613855596E-2</v>
      </c>
    </row>
    <row r="215" spans="1:19">
      <c r="A215" s="17"/>
      <c r="B215" s="18" t="s">
        <v>224</v>
      </c>
      <c r="C215" s="17"/>
      <c r="D215" s="217">
        <f t="shared" ref="D215:O215" si="105">D214/D239</f>
        <v>0.23500129817456528</v>
      </c>
      <c r="E215" s="217">
        <f t="shared" si="105"/>
        <v>0.25877674913999388</v>
      </c>
      <c r="F215" s="217">
        <f t="shared" si="105"/>
        <v>0.27870405989901298</v>
      </c>
      <c r="G215" s="217">
        <f t="shared" si="105"/>
        <v>0.2835622625546923</v>
      </c>
      <c r="H215" s="217">
        <f t="shared" si="105"/>
        <v>0.27437284516843768</v>
      </c>
      <c r="I215" s="217">
        <f t="shared" si="105"/>
        <v>0.26201067165025382</v>
      </c>
      <c r="J215" s="217">
        <f t="shared" si="105"/>
        <v>0.26635596251275312</v>
      </c>
      <c r="K215" s="217">
        <f t="shared" si="105"/>
        <v>0.25952491178687531</v>
      </c>
      <c r="L215" s="217">
        <f t="shared" si="105"/>
        <v>0.25102955924641779</v>
      </c>
      <c r="M215" s="217">
        <f t="shared" si="105"/>
        <v>0.25373416975833701</v>
      </c>
      <c r="N215" s="217">
        <f t="shared" si="105"/>
        <v>0.26601917982818613</v>
      </c>
      <c r="O215" s="217">
        <f t="shared" si="105"/>
        <v>0.29063644166402924</v>
      </c>
      <c r="Q215" s="373"/>
      <c r="R215" s="26"/>
      <c r="S215" s="373"/>
    </row>
    <row r="216" spans="1:19">
      <c r="Q216" s="373"/>
      <c r="S216" s="373"/>
    </row>
    <row r="217" spans="1:19">
      <c r="Q217" s="373"/>
      <c r="S217" s="373"/>
    </row>
    <row r="218" spans="1:19">
      <c r="A218" s="16" t="s">
        <v>225</v>
      </c>
      <c r="B218" s="15"/>
      <c r="C218" s="15"/>
      <c r="D218" s="2">
        <v>2010</v>
      </c>
      <c r="E218" s="2">
        <v>2011</v>
      </c>
      <c r="F218" s="2">
        <v>2012</v>
      </c>
      <c r="G218" s="2">
        <v>2013</v>
      </c>
      <c r="H218" s="2">
        <v>2014</v>
      </c>
      <c r="I218" s="2">
        <v>2015</v>
      </c>
      <c r="J218" s="2">
        <v>2016</v>
      </c>
      <c r="K218" s="2">
        <v>2017</v>
      </c>
      <c r="L218" s="2">
        <v>2018</v>
      </c>
      <c r="M218" s="2">
        <v>2019</v>
      </c>
      <c r="N218" s="2">
        <v>2020</v>
      </c>
      <c r="O218" s="2">
        <v>2021</v>
      </c>
      <c r="Q218" s="373"/>
      <c r="S218" s="373"/>
    </row>
    <row r="219" spans="1:19">
      <c r="A219" s="16"/>
      <c r="B219" s="15" t="s">
        <v>226</v>
      </c>
      <c r="C219" s="275" t="s">
        <v>143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Q219" s="373"/>
      <c r="S219" s="373"/>
    </row>
    <row r="220" spans="1:19">
      <c r="A220" s="15"/>
      <c r="B220" s="15" t="s">
        <v>227</v>
      </c>
      <c r="C220" s="275" t="s">
        <v>143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Q220" s="374"/>
      <c r="S220" s="374"/>
    </row>
    <row r="221" spans="1:19">
      <c r="A221" s="15"/>
      <c r="B221" s="15" t="s">
        <v>228</v>
      </c>
      <c r="C221" s="275" t="s">
        <v>143</v>
      </c>
      <c r="D221" s="214">
        <f>0.05*D$131</f>
        <v>632.03815410000004</v>
      </c>
      <c r="E221" s="214">
        <f t="shared" ref="E221:O221" si="106">0.05*E$131</f>
        <v>540.1</v>
      </c>
      <c r="F221" s="214">
        <f t="shared" si="106"/>
        <v>526.10850225000002</v>
      </c>
      <c r="G221" s="214">
        <f t="shared" si="106"/>
        <v>510.47612099999998</v>
      </c>
      <c r="H221" s="214">
        <f t="shared" si="106"/>
        <v>490.73816694999988</v>
      </c>
      <c r="I221" s="214">
        <f t="shared" si="106"/>
        <v>550.58512909545425</v>
      </c>
      <c r="J221" s="214">
        <f t="shared" si="106"/>
        <v>607.52995284545466</v>
      </c>
      <c r="K221" s="214">
        <f t="shared" si="106"/>
        <v>635.30668644545449</v>
      </c>
      <c r="L221" s="214">
        <f t="shared" si="106"/>
        <v>617.20118784545491</v>
      </c>
      <c r="M221" s="214">
        <f t="shared" si="106"/>
        <v>653.19960374999994</v>
      </c>
      <c r="N221" s="214">
        <f t="shared" si="106"/>
        <v>627.05000000000007</v>
      </c>
      <c r="O221" s="214">
        <f t="shared" si="106"/>
        <v>554.1</v>
      </c>
    </row>
    <row r="222" spans="1:19">
      <c r="A222" s="15"/>
      <c r="B222" s="35" t="s">
        <v>229</v>
      </c>
      <c r="C222" s="276" t="s">
        <v>143</v>
      </c>
      <c r="D222" s="230">
        <v>800</v>
      </c>
      <c r="E222" s="231">
        <v>873.86874999999998</v>
      </c>
      <c r="F222" s="230">
        <v>947.73749999999995</v>
      </c>
      <c r="G222" s="231">
        <v>1021.6062499999999</v>
      </c>
      <c r="H222" s="230">
        <v>1095.4749999999999</v>
      </c>
      <c r="I222" s="231">
        <v>1169.34375</v>
      </c>
      <c r="J222" s="230">
        <v>1243.2125000000001</v>
      </c>
      <c r="K222" s="231">
        <v>1317.0812500000002</v>
      </c>
      <c r="L222" s="230">
        <v>1390.95</v>
      </c>
      <c r="M222" s="231">
        <v>1538.4749999999999</v>
      </c>
      <c r="N222" s="367">
        <v>1332</v>
      </c>
      <c r="O222" s="367">
        <v>1639</v>
      </c>
      <c r="Q222" t="s">
        <v>230</v>
      </c>
    </row>
    <row r="223" spans="1:19">
      <c r="A223" s="15"/>
      <c r="B223" s="15" t="s">
        <v>125</v>
      </c>
      <c r="C223" s="275" t="s">
        <v>143</v>
      </c>
      <c r="D223" s="219">
        <f>D221+D222</f>
        <v>1432.0381541000002</v>
      </c>
      <c r="E223" s="219">
        <f t="shared" ref="E223:O223" si="107">E221+E222</f>
        <v>1413.96875</v>
      </c>
      <c r="F223" s="219">
        <f t="shared" si="107"/>
        <v>1473.8460022499999</v>
      </c>
      <c r="G223" s="219">
        <f t="shared" si="107"/>
        <v>1532.082371</v>
      </c>
      <c r="H223" s="219">
        <f t="shared" si="107"/>
        <v>1586.2131669499997</v>
      </c>
      <c r="I223" s="219">
        <f t="shared" si="107"/>
        <v>1719.9288790954542</v>
      </c>
      <c r="J223" s="219">
        <f t="shared" si="107"/>
        <v>1850.7424528454549</v>
      </c>
      <c r="K223" s="219">
        <f t="shared" si="107"/>
        <v>1952.3879364454547</v>
      </c>
      <c r="L223" s="219">
        <f t="shared" si="107"/>
        <v>2008.1511878454548</v>
      </c>
      <c r="M223" s="219">
        <f t="shared" si="107"/>
        <v>2191.6746037499997</v>
      </c>
      <c r="N223" s="219">
        <f t="shared" si="107"/>
        <v>1959.0500000000002</v>
      </c>
      <c r="O223" s="219">
        <f t="shared" si="107"/>
        <v>2193.1</v>
      </c>
    </row>
    <row r="224" spans="1:19">
      <c r="A224" s="15"/>
      <c r="B224" s="15"/>
      <c r="C224" s="275" t="s">
        <v>23</v>
      </c>
      <c r="D224" s="58">
        <f>D223*1.035</f>
        <v>1482.1594894935001</v>
      </c>
      <c r="E224" s="58">
        <f t="shared" ref="E224:O224" si="108">E223*1.035</f>
        <v>1463.4576562499999</v>
      </c>
      <c r="F224" s="58">
        <f t="shared" si="108"/>
        <v>1525.4306123287497</v>
      </c>
      <c r="G224" s="58">
        <f t="shared" si="108"/>
        <v>1585.7052539849999</v>
      </c>
      <c r="H224" s="58">
        <f t="shared" si="108"/>
        <v>1641.7306277932496</v>
      </c>
      <c r="I224" s="58">
        <f t="shared" si="108"/>
        <v>1780.1263898637951</v>
      </c>
      <c r="J224" s="58">
        <f t="shared" si="108"/>
        <v>1915.5184386950457</v>
      </c>
      <c r="K224" s="58">
        <f t="shared" si="108"/>
        <v>2020.7215142210455</v>
      </c>
      <c r="L224" s="58">
        <f t="shared" si="108"/>
        <v>2078.4364794200455</v>
      </c>
      <c r="M224" s="58">
        <f t="shared" si="108"/>
        <v>2268.3832148812494</v>
      </c>
      <c r="N224" s="58">
        <f t="shared" si="108"/>
        <v>2027.6167500000001</v>
      </c>
      <c r="O224" s="58">
        <f t="shared" si="108"/>
        <v>2269.8584999999998</v>
      </c>
    </row>
    <row r="225" spans="1:15"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</row>
    <row r="226" spans="1:15">
      <c r="A226" s="113" t="s">
        <v>231</v>
      </c>
      <c r="B226" s="113"/>
      <c r="C226" s="113" t="s">
        <v>23</v>
      </c>
      <c r="D226" s="97">
        <f t="shared" ref="D226:M226" si="109">D224+D209+D207+D206+D196+D195+D194+D176+D174+D173+D168</f>
        <v>47632.037144282513</v>
      </c>
      <c r="E226" s="97">
        <f t="shared" si="109"/>
        <v>47071.378541227125</v>
      </c>
      <c r="F226" s="97">
        <f t="shared" si="109"/>
        <v>47639.843190130108</v>
      </c>
      <c r="G226" s="97">
        <f t="shared" si="109"/>
        <v>48575.910799107616</v>
      </c>
      <c r="H226" s="97">
        <f t="shared" si="109"/>
        <v>51218.761996713831</v>
      </c>
      <c r="I226" s="97">
        <f t="shared" si="109"/>
        <v>55839.943461797506</v>
      </c>
      <c r="J226" s="97">
        <f t="shared" si="109"/>
        <v>58496.012566346515</v>
      </c>
      <c r="K226" s="97">
        <f t="shared" si="109"/>
        <v>62548.766431943513</v>
      </c>
      <c r="L226" s="97">
        <f t="shared" si="109"/>
        <v>63756.023793421686</v>
      </c>
      <c r="M226" s="97">
        <f t="shared" si="109"/>
        <v>65214.914934710294</v>
      </c>
      <c r="N226" s="97">
        <f t="shared" ref="N226:O226" si="110">N224+N209+N207+N206+N196+N195+N194+N176+N174+N173+N168</f>
        <v>60878.172336475036</v>
      </c>
      <c r="O226" s="97">
        <f t="shared" si="110"/>
        <v>58361.96355</v>
      </c>
    </row>
    <row r="227" spans="1:15"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</row>
    <row r="229" spans="1:15" ht="26.25">
      <c r="A229" s="220" t="s">
        <v>232</v>
      </c>
      <c r="D229" s="142"/>
      <c r="E229" s="142"/>
      <c r="F229" s="142"/>
      <c r="G229" s="142"/>
      <c r="H229" s="142"/>
      <c r="I229" s="142"/>
      <c r="J229" s="142"/>
      <c r="K229" s="142"/>
      <c r="L229" s="142"/>
    </row>
    <row r="230" spans="1:15">
      <c r="B230" s="30"/>
      <c r="D230" s="2">
        <v>2010</v>
      </c>
      <c r="E230" s="2">
        <v>2011</v>
      </c>
      <c r="F230" s="2">
        <v>2012</v>
      </c>
      <c r="G230" s="2">
        <v>2013</v>
      </c>
      <c r="H230" s="2">
        <v>2014</v>
      </c>
      <c r="I230" s="2">
        <v>2015</v>
      </c>
      <c r="J230" s="2">
        <v>2016</v>
      </c>
      <c r="K230" s="2">
        <v>2017</v>
      </c>
      <c r="L230" s="2">
        <v>2018</v>
      </c>
      <c r="M230" s="2">
        <v>2019</v>
      </c>
      <c r="N230" s="2">
        <v>2020</v>
      </c>
      <c r="O230" s="2">
        <v>2021</v>
      </c>
    </row>
    <row r="231" spans="1:15">
      <c r="A231" s="207"/>
      <c r="B231" s="221" t="s">
        <v>233</v>
      </c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</row>
    <row r="232" spans="1:15">
      <c r="A232" s="207"/>
      <c r="B232" s="207" t="s">
        <v>234</v>
      </c>
      <c r="C232" s="383" t="s">
        <v>23</v>
      </c>
      <c r="D232" s="222">
        <f>D$150</f>
        <v>29650.780503586502</v>
      </c>
      <c r="E232" s="222">
        <f t="shared" ref="E232:M232" si="111">E$150</f>
        <v>28659.059795249996</v>
      </c>
      <c r="F232" s="222">
        <f t="shared" si="111"/>
        <v>28633.962357896249</v>
      </c>
      <c r="G232" s="222">
        <f t="shared" si="111"/>
        <v>28987.244945164995</v>
      </c>
      <c r="H232" s="222">
        <f t="shared" si="111"/>
        <v>30797.837578980841</v>
      </c>
      <c r="I232" s="222">
        <f t="shared" si="111"/>
        <v>34333.2435876612</v>
      </c>
      <c r="J232" s="222">
        <f t="shared" si="111"/>
        <v>36104.750971114961</v>
      </c>
      <c r="K232" s="222">
        <f t="shared" si="111"/>
        <v>39241.510771098947</v>
      </c>
      <c r="L232" s="222">
        <f t="shared" si="111"/>
        <v>38906.170914699964</v>
      </c>
      <c r="M232" s="222">
        <f t="shared" si="111"/>
        <v>40576.143107743745</v>
      </c>
      <c r="N232" s="222">
        <v>33758.957247391925</v>
      </c>
      <c r="O232" s="222">
        <v>32613.4</v>
      </c>
    </row>
    <row r="233" spans="1:15">
      <c r="A233" s="207"/>
      <c r="B233" s="207" t="s">
        <v>235</v>
      </c>
      <c r="C233" s="384"/>
      <c r="D233" s="222">
        <f>D$166</f>
        <v>2691</v>
      </c>
      <c r="E233" s="222">
        <f t="shared" ref="E233:M233" si="112">E$166</f>
        <v>2790.4942797499998</v>
      </c>
      <c r="F233" s="222">
        <f t="shared" si="112"/>
        <v>2889.9885594999996</v>
      </c>
      <c r="G233" s="222">
        <f t="shared" si="112"/>
        <v>2989.4828392499994</v>
      </c>
      <c r="H233" s="222">
        <f t="shared" si="112"/>
        <v>3140.7271190000001</v>
      </c>
      <c r="I233" s="222">
        <f t="shared" si="112"/>
        <v>3289.48739875</v>
      </c>
      <c r="J233" s="222">
        <f t="shared" si="112"/>
        <v>3438.2476784999994</v>
      </c>
      <c r="K233" s="222">
        <f t="shared" si="112"/>
        <v>3587.0079582500002</v>
      </c>
      <c r="L233" s="222">
        <f t="shared" si="112"/>
        <v>3735.7682380000001</v>
      </c>
      <c r="M233" s="222">
        <f t="shared" si="112"/>
        <v>3884.5285177499991</v>
      </c>
      <c r="N233" s="222">
        <v>3155.1639384750001</v>
      </c>
      <c r="O233" s="222">
        <v>3352.5</v>
      </c>
    </row>
    <row r="234" spans="1:15">
      <c r="A234" s="207"/>
      <c r="B234" s="207" t="s">
        <v>236</v>
      </c>
      <c r="C234" s="384"/>
      <c r="D234" s="222">
        <f>D$162</f>
        <v>2256.4493414399999</v>
      </c>
      <c r="E234" s="222">
        <f t="shared" ref="E234:M234" si="113">E$162</f>
        <v>2168.6807999999996</v>
      </c>
      <c r="F234" s="222">
        <f t="shared" si="113"/>
        <v>2106.8362499999998</v>
      </c>
      <c r="G234" s="222">
        <f t="shared" si="113"/>
        <v>2137.4549999999999</v>
      </c>
      <c r="H234" s="222">
        <f t="shared" si="113"/>
        <v>2178.0783259199998</v>
      </c>
      <c r="I234" s="222">
        <f t="shared" si="113"/>
        <v>2429.5699478400002</v>
      </c>
      <c r="J234" s="222">
        <f t="shared" si="113"/>
        <v>2438.3512221599999</v>
      </c>
      <c r="K234" s="222">
        <f t="shared" si="113"/>
        <v>2666.5683340800001</v>
      </c>
      <c r="L234" s="222">
        <f t="shared" si="113"/>
        <v>4106.6644353600004</v>
      </c>
      <c r="M234" s="222">
        <f t="shared" si="113"/>
        <v>3680.64</v>
      </c>
      <c r="N234" s="222">
        <v>1671.5168277102746</v>
      </c>
      <c r="O234" s="222">
        <v>1963.9</v>
      </c>
    </row>
    <row r="235" spans="1:15">
      <c r="A235" s="207"/>
      <c r="B235" s="207" t="s">
        <v>134</v>
      </c>
      <c r="C235" s="384"/>
      <c r="D235" s="222">
        <f>D$214</f>
        <v>17110.886990730512</v>
      </c>
      <c r="E235" s="222">
        <f t="shared" ref="E235:M235" si="114">E$214</f>
        <v>19371.180619589672</v>
      </c>
      <c r="F235" s="222">
        <f t="shared" si="114"/>
        <v>21852.808593136244</v>
      </c>
      <c r="G235" s="222">
        <f t="shared" si="114"/>
        <v>22936.965675543728</v>
      </c>
      <c r="H235" s="222">
        <f t="shared" si="114"/>
        <v>23090.318841064058</v>
      </c>
      <c r="I235" s="222">
        <f t="shared" si="114"/>
        <v>23518.539751659115</v>
      </c>
      <c r="J235" s="222">
        <f t="shared" si="114"/>
        <v>25597.979844665027</v>
      </c>
      <c r="K235" s="222">
        <f t="shared" si="114"/>
        <v>26362.867338859691</v>
      </c>
      <c r="L235" s="222">
        <f t="shared" si="114"/>
        <v>25915.948818060002</v>
      </c>
      <c r="M235" s="222">
        <f t="shared" si="114"/>
        <v>27071.026454939638</v>
      </c>
      <c r="N235" s="222">
        <v>27148.9722287984</v>
      </c>
      <c r="O235" s="222">
        <v>28100.400000000001</v>
      </c>
    </row>
    <row r="236" spans="1:15">
      <c r="A236" s="207"/>
      <c r="B236" s="207" t="s">
        <v>133</v>
      </c>
      <c r="C236" s="384"/>
      <c r="D236" s="222">
        <f>D$178</f>
        <v>10598.66251181738</v>
      </c>
      <c r="E236" s="222">
        <f t="shared" ref="E236:M236" si="115">E$178</f>
        <v>10817.909199454303</v>
      </c>
      <c r="F236" s="222">
        <f t="shared" si="115"/>
        <v>10749.891869465941</v>
      </c>
      <c r="G236" s="222">
        <f t="shared" si="115"/>
        <v>11077.921350898836</v>
      </c>
      <c r="H236" s="222">
        <f t="shared" si="115"/>
        <v>11545.412569889861</v>
      </c>
      <c r="I236" s="222">
        <f t="shared" si="115"/>
        <v>12056.801076128777</v>
      </c>
      <c r="J236" s="222">
        <f t="shared" si="115"/>
        <v>13306.574930656432</v>
      </c>
      <c r="K236" s="222">
        <f t="shared" si="115"/>
        <v>14069.97003849529</v>
      </c>
      <c r="L236" s="222">
        <f t="shared" si="115"/>
        <v>14812.329888146338</v>
      </c>
      <c r="M236" s="222">
        <f t="shared" si="115"/>
        <v>15624.339866096292</v>
      </c>
      <c r="N236" s="222">
        <v>16294.675166476294</v>
      </c>
      <c r="O236" s="222">
        <v>16014.39</v>
      </c>
    </row>
    <row r="237" spans="1:15">
      <c r="A237" s="207"/>
      <c r="B237" s="207" t="s">
        <v>209</v>
      </c>
      <c r="C237" s="384"/>
      <c r="D237" s="222">
        <f>D$199</f>
        <v>9021.94400632</v>
      </c>
      <c r="E237" s="222">
        <f t="shared" ref="E237:M237" si="116">E$199</f>
        <v>9585.94524972</v>
      </c>
      <c r="F237" s="222">
        <f t="shared" si="116"/>
        <v>10649.729988539999</v>
      </c>
      <c r="G237" s="222">
        <f t="shared" si="116"/>
        <v>11173.864590159999</v>
      </c>
      <c r="H237" s="222">
        <f t="shared" si="116"/>
        <v>11762.615427999999</v>
      </c>
      <c r="I237" s="222">
        <f t="shared" si="116"/>
        <v>12353.994617259999</v>
      </c>
      <c r="J237" s="222">
        <f t="shared" si="116"/>
        <v>13302.976467266799</v>
      </c>
      <c r="K237" s="222">
        <f t="shared" si="116"/>
        <v>13632.613267266399</v>
      </c>
      <c r="L237" s="222">
        <f t="shared" si="116"/>
        <v>13683.315337208</v>
      </c>
      <c r="M237" s="222">
        <f t="shared" si="116"/>
        <v>13585.442844110999</v>
      </c>
      <c r="N237" s="222">
        <v>13258.014589608774</v>
      </c>
      <c r="O237" s="222">
        <v>12584.5</v>
      </c>
    </row>
    <row r="238" spans="1:15">
      <c r="A238" s="207"/>
      <c r="B238" s="207" t="s">
        <v>237</v>
      </c>
      <c r="C238" s="384"/>
      <c r="D238" s="223">
        <f>D$224</f>
        <v>1482.1594894935001</v>
      </c>
      <c r="E238" s="223">
        <f t="shared" ref="E238:M238" si="117">E$224</f>
        <v>1463.4576562499999</v>
      </c>
      <c r="F238" s="223">
        <f t="shared" si="117"/>
        <v>1525.4306123287497</v>
      </c>
      <c r="G238" s="223">
        <f t="shared" si="117"/>
        <v>1585.7052539849999</v>
      </c>
      <c r="H238" s="223">
        <f t="shared" si="117"/>
        <v>1641.7306277932496</v>
      </c>
      <c r="I238" s="223">
        <f t="shared" si="117"/>
        <v>1780.1263898637951</v>
      </c>
      <c r="J238" s="223">
        <f t="shared" si="117"/>
        <v>1915.5184386950457</v>
      </c>
      <c r="K238" s="223">
        <f t="shared" si="117"/>
        <v>2020.7215142210455</v>
      </c>
      <c r="L238" s="223">
        <f t="shared" si="117"/>
        <v>2078.4364794200455</v>
      </c>
      <c r="M238" s="223">
        <f t="shared" si="117"/>
        <v>2268.3832148812494</v>
      </c>
      <c r="N238" s="223">
        <v>1884.914565233265</v>
      </c>
      <c r="O238" s="362">
        <v>2194.9</v>
      </c>
    </row>
    <row r="239" spans="1:15">
      <c r="A239" s="207"/>
      <c r="B239" s="206" t="s">
        <v>238</v>
      </c>
      <c r="C239" s="385"/>
      <c r="D239" s="224">
        <f>SUM(D232:D238)</f>
        <v>72811.882843387895</v>
      </c>
      <c r="E239" s="224">
        <f t="shared" ref="E239:N239" si="118">SUM(E232:E238)</f>
        <v>74856.727600013968</v>
      </c>
      <c r="F239" s="224">
        <f t="shared" si="118"/>
        <v>78408.648230867184</v>
      </c>
      <c r="G239" s="224">
        <f t="shared" si="118"/>
        <v>80888.639655002553</v>
      </c>
      <c r="H239" s="224">
        <f t="shared" si="118"/>
        <v>84156.720490648018</v>
      </c>
      <c r="I239" s="224">
        <f t="shared" si="118"/>
        <v>89761.762769162888</v>
      </c>
      <c r="J239" s="224">
        <f t="shared" si="118"/>
        <v>96104.399553058247</v>
      </c>
      <c r="K239" s="224">
        <f t="shared" si="118"/>
        <v>101581.25922227137</v>
      </c>
      <c r="L239" s="224">
        <f t="shared" si="118"/>
        <v>103238.63411089436</v>
      </c>
      <c r="M239" s="224">
        <f t="shared" si="118"/>
        <v>106690.50400552193</v>
      </c>
      <c r="N239" s="224">
        <f t="shared" si="118"/>
        <v>97172.214563693939</v>
      </c>
      <c r="O239" s="224">
        <f>SUM(O232:O238)</f>
        <v>96823.99</v>
      </c>
    </row>
    <row r="240" spans="1:15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</row>
    <row r="241" spans="1:15">
      <c r="A241" s="207"/>
      <c r="B241" s="206" t="s">
        <v>239</v>
      </c>
      <c r="C241" s="383" t="s">
        <v>21</v>
      </c>
      <c r="D241" s="225">
        <f>SUM(D232:D234)/1000</f>
        <v>34.598229845026502</v>
      </c>
      <c r="E241" s="225">
        <f t="shared" ref="E241:N241" si="119">SUM(E232:E234)/1000</f>
        <v>33.618234874999992</v>
      </c>
      <c r="F241" s="225">
        <f t="shared" si="119"/>
        <v>33.63078716739625</v>
      </c>
      <c r="G241" s="225">
        <f t="shared" si="119"/>
        <v>34.114182784414993</v>
      </c>
      <c r="H241" s="225">
        <f t="shared" si="119"/>
        <v>36.116643023900849</v>
      </c>
      <c r="I241" s="225">
        <f t="shared" si="119"/>
        <v>40.0523009342512</v>
      </c>
      <c r="J241" s="225">
        <f t="shared" si="119"/>
        <v>41.98134987177496</v>
      </c>
      <c r="K241" s="225">
        <f t="shared" si="119"/>
        <v>45.495087063428947</v>
      </c>
      <c r="L241" s="225">
        <f t="shared" si="119"/>
        <v>46.748603588059957</v>
      </c>
      <c r="M241" s="225">
        <f t="shared" si="119"/>
        <v>48.141311625493742</v>
      </c>
      <c r="N241" s="225">
        <f t="shared" si="119"/>
        <v>38.585638013577196</v>
      </c>
      <c r="O241" s="225">
        <f>SUM(O232:O234)/1000</f>
        <v>37.9298</v>
      </c>
    </row>
    <row r="242" spans="1:15">
      <c r="A242" s="207"/>
      <c r="B242" s="206" t="s">
        <v>133</v>
      </c>
      <c r="C242" s="384"/>
      <c r="D242" s="225">
        <f>D236/1000</f>
        <v>10.598662511817381</v>
      </c>
      <c r="E242" s="225">
        <f t="shared" ref="E242:N242" si="120">E236/1000</f>
        <v>10.817909199454304</v>
      </c>
      <c r="F242" s="225">
        <f t="shared" si="120"/>
        <v>10.749891869465941</v>
      </c>
      <c r="G242" s="225">
        <f t="shared" si="120"/>
        <v>11.077921350898835</v>
      </c>
      <c r="H242" s="225">
        <f t="shared" si="120"/>
        <v>11.54541256988986</v>
      </c>
      <c r="I242" s="225">
        <f t="shared" si="120"/>
        <v>12.056801076128776</v>
      </c>
      <c r="J242" s="225">
        <f t="shared" si="120"/>
        <v>13.306574930656431</v>
      </c>
      <c r="K242" s="225">
        <f t="shared" si="120"/>
        <v>14.06997003849529</v>
      </c>
      <c r="L242" s="225">
        <f t="shared" si="120"/>
        <v>14.812329888146339</v>
      </c>
      <c r="M242" s="225">
        <f t="shared" si="120"/>
        <v>15.624339866096292</v>
      </c>
      <c r="N242" s="225">
        <f t="shared" si="120"/>
        <v>16.294675166476296</v>
      </c>
      <c r="O242" s="225">
        <f>O236/1000</f>
        <v>16.014389999999999</v>
      </c>
    </row>
    <row r="243" spans="1:15">
      <c r="A243" s="207"/>
      <c r="B243" s="206" t="s">
        <v>134</v>
      </c>
      <c r="C243" s="384"/>
      <c r="D243" s="225">
        <f>D235/1000</f>
        <v>17.110886990730513</v>
      </c>
      <c r="E243" s="225">
        <f t="shared" ref="E243:L243" si="121">E235/1000</f>
        <v>19.371180619589673</v>
      </c>
      <c r="F243" s="225">
        <f t="shared" si="121"/>
        <v>21.852808593136245</v>
      </c>
      <c r="G243" s="225">
        <f t="shared" si="121"/>
        <v>22.936965675543728</v>
      </c>
      <c r="H243" s="225">
        <f t="shared" si="121"/>
        <v>23.090318841064057</v>
      </c>
      <c r="I243" s="225">
        <f t="shared" si="121"/>
        <v>23.518539751659116</v>
      </c>
      <c r="J243" s="225">
        <f t="shared" si="121"/>
        <v>25.597979844665026</v>
      </c>
      <c r="K243" s="225">
        <f t="shared" si="121"/>
        <v>26.36286733885969</v>
      </c>
      <c r="L243" s="225">
        <f t="shared" si="121"/>
        <v>25.915948818060002</v>
      </c>
      <c r="M243" s="225">
        <f>M235/1000</f>
        <v>27.071026454939638</v>
      </c>
      <c r="N243" s="225">
        <f>N235/1000</f>
        <v>27.148972228798399</v>
      </c>
      <c r="O243" s="225">
        <f>O235/1000</f>
        <v>28.1004</v>
      </c>
    </row>
    <row r="244" spans="1:15">
      <c r="A244" s="207"/>
      <c r="B244" s="206" t="s">
        <v>209</v>
      </c>
      <c r="C244" s="384"/>
      <c r="D244" s="225">
        <f>D237/1000</f>
        <v>9.02194400632</v>
      </c>
      <c r="E244" s="225">
        <f t="shared" ref="E244:N244" si="122">E237/1000</f>
        <v>9.5859452497199999</v>
      </c>
      <c r="F244" s="225">
        <f t="shared" si="122"/>
        <v>10.649729988539999</v>
      </c>
      <c r="G244" s="225">
        <f t="shared" si="122"/>
        <v>11.173864590159999</v>
      </c>
      <c r="H244" s="225">
        <f t="shared" si="122"/>
        <v>11.762615427999998</v>
      </c>
      <c r="I244" s="225">
        <f t="shared" si="122"/>
        <v>12.35399461726</v>
      </c>
      <c r="J244" s="225">
        <f t="shared" si="122"/>
        <v>13.302976467266799</v>
      </c>
      <c r="K244" s="225">
        <f t="shared" si="122"/>
        <v>13.632613267266398</v>
      </c>
      <c r="L244" s="225">
        <f t="shared" si="122"/>
        <v>13.683315337207999</v>
      </c>
      <c r="M244" s="225">
        <f t="shared" si="122"/>
        <v>13.585442844111</v>
      </c>
      <c r="N244" s="225">
        <f t="shared" si="122"/>
        <v>13.258014589608774</v>
      </c>
      <c r="O244" s="225">
        <f>O237/1000</f>
        <v>12.5845</v>
      </c>
    </row>
    <row r="245" spans="1:15">
      <c r="A245" s="207"/>
      <c r="B245" s="206" t="s">
        <v>237</v>
      </c>
      <c r="C245" s="384"/>
      <c r="D245" s="226">
        <f>D238/1000</f>
        <v>1.4821594894935002</v>
      </c>
      <c r="E245" s="226">
        <f t="shared" ref="E245:O245" si="123">E238/1000</f>
        <v>1.4634576562499999</v>
      </c>
      <c r="F245" s="226">
        <f t="shared" si="123"/>
        <v>1.5254306123287498</v>
      </c>
      <c r="G245" s="226">
        <f t="shared" si="123"/>
        <v>1.5857052539849998</v>
      </c>
      <c r="H245" s="226">
        <f t="shared" si="123"/>
        <v>1.6417306277932495</v>
      </c>
      <c r="I245" s="226">
        <f t="shared" si="123"/>
        <v>1.7801263898637951</v>
      </c>
      <c r="J245" s="226">
        <f t="shared" si="123"/>
        <v>1.9155184386950457</v>
      </c>
      <c r="K245" s="226">
        <f t="shared" si="123"/>
        <v>2.0207215142210453</v>
      </c>
      <c r="L245" s="226">
        <f t="shared" si="123"/>
        <v>2.0784364794200454</v>
      </c>
      <c r="M245" s="226">
        <f t="shared" si="123"/>
        <v>2.2683832148812493</v>
      </c>
      <c r="N245" s="226">
        <f t="shared" si="123"/>
        <v>1.8849145652332651</v>
      </c>
      <c r="O245" s="226">
        <f t="shared" si="123"/>
        <v>2.1949000000000001</v>
      </c>
    </row>
    <row r="246" spans="1:15">
      <c r="A246" s="207"/>
      <c r="B246" s="206" t="s">
        <v>238</v>
      </c>
      <c r="C246" s="385"/>
      <c r="D246" s="227">
        <f>SUM(D241:D245)</f>
        <v>72.811882843387892</v>
      </c>
      <c r="E246" s="227">
        <f t="shared" ref="E246:O246" si="124">SUM(E241:E245)</f>
        <v>74.856727600013969</v>
      </c>
      <c r="F246" s="227">
        <f t="shared" si="124"/>
        <v>78.408648230867186</v>
      </c>
      <c r="G246" s="227">
        <f t="shared" si="124"/>
        <v>80.888639655002549</v>
      </c>
      <c r="H246" s="227">
        <f t="shared" si="124"/>
        <v>84.156720490648027</v>
      </c>
      <c r="I246" s="227">
        <f t="shared" si="124"/>
        <v>89.761762769162885</v>
      </c>
      <c r="J246" s="227">
        <f t="shared" si="124"/>
        <v>96.104399553058272</v>
      </c>
      <c r="K246" s="227">
        <f t="shared" si="124"/>
        <v>101.58125922227137</v>
      </c>
      <c r="L246" s="227">
        <f t="shared" si="124"/>
        <v>103.23863411089434</v>
      </c>
      <c r="M246" s="227">
        <f t="shared" si="124"/>
        <v>106.69050400552193</v>
      </c>
      <c r="N246" s="227">
        <f t="shared" si="124"/>
        <v>97.172214563693927</v>
      </c>
      <c r="O246" s="227">
        <f t="shared" si="124"/>
        <v>96.823990000000009</v>
      </c>
    </row>
    <row r="247" spans="1:15">
      <c r="B247" s="6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</row>
    <row r="248" spans="1:15">
      <c r="B248" s="6"/>
    </row>
    <row r="249" spans="1:15">
      <c r="A249" t="s">
        <v>240</v>
      </c>
    </row>
    <row r="250" spans="1:15">
      <c r="B250" t="s">
        <v>241</v>
      </c>
      <c r="D250" s="26">
        <f t="shared" ref="D250:L250" si="125">D137+D195</f>
        <v>55814.194448999995</v>
      </c>
      <c r="E250" s="26">
        <f t="shared" si="125"/>
        <v>64879.278034487725</v>
      </c>
      <c r="F250" s="26">
        <f t="shared" si="125"/>
        <v>69392.60229499999</v>
      </c>
      <c r="G250" s="26">
        <f t="shared" si="125"/>
        <v>71064.962613999989</v>
      </c>
      <c r="H250" s="26">
        <f t="shared" si="125"/>
        <v>72345.942144000001</v>
      </c>
      <c r="I250" s="26">
        <f t="shared" si="125"/>
        <v>74885.786137999981</v>
      </c>
      <c r="J250" s="26">
        <f t="shared" si="125"/>
        <v>80995.194266000006</v>
      </c>
      <c r="K250" s="26">
        <f t="shared" si="125"/>
        <v>82734.27205</v>
      </c>
      <c r="L250" s="26">
        <f t="shared" si="125"/>
        <v>83644.604124000005</v>
      </c>
      <c r="M250" s="26">
        <f>M137+M195</f>
        <v>87081.899403999996</v>
      </c>
      <c r="N250" s="26"/>
      <c r="O250" s="26"/>
    </row>
    <row r="251" spans="1:15">
      <c r="B251" t="s">
        <v>156</v>
      </c>
      <c r="D251" s="26">
        <f t="shared" ref="D251:M251" si="126">D138+D140+D145+D223+D192+D204</f>
        <v>47114.323082000003</v>
      </c>
      <c r="E251" s="26">
        <f t="shared" si="126"/>
        <v>43534.984305555554</v>
      </c>
      <c r="F251" s="26">
        <f t="shared" si="126"/>
        <v>43017.773656111116</v>
      </c>
      <c r="G251" s="26">
        <f t="shared" si="126"/>
        <v>43004.087836666658</v>
      </c>
      <c r="H251" s="26">
        <f t="shared" si="126"/>
        <v>42655.848651313128</v>
      </c>
      <c r="I251" s="26">
        <f t="shared" si="126"/>
        <v>45869.979135777765</v>
      </c>
      <c r="J251" s="26">
        <f t="shared" si="126"/>
        <v>47936.545833333344</v>
      </c>
      <c r="K251" s="26">
        <f t="shared" si="126"/>
        <v>49614.970138888879</v>
      </c>
      <c r="L251" s="26">
        <f t="shared" si="126"/>
        <v>49798.554444444453</v>
      </c>
      <c r="M251" s="26">
        <f t="shared" si="126"/>
        <v>53649.171105000001</v>
      </c>
      <c r="N251" s="26"/>
      <c r="O251" s="26"/>
    </row>
    <row r="252" spans="1:15">
      <c r="B252" t="s">
        <v>160</v>
      </c>
      <c r="D252" s="26">
        <f>D146</f>
        <v>13965.615003000001</v>
      </c>
      <c r="E252" s="26">
        <f t="shared" ref="E252:M252" si="127">E146</f>
        <v>14767.624574999998</v>
      </c>
      <c r="F252" s="26">
        <f t="shared" si="127"/>
        <v>15008.213445000001</v>
      </c>
      <c r="G252" s="26">
        <f t="shared" si="127"/>
        <v>15427.943259999998</v>
      </c>
      <c r="H252" s="26">
        <f t="shared" si="127"/>
        <v>17542</v>
      </c>
      <c r="I252" s="26">
        <f t="shared" si="127"/>
        <v>19725.849212000001</v>
      </c>
      <c r="J252" s="26">
        <f t="shared" si="127"/>
        <v>20314.531999999999</v>
      </c>
      <c r="K252" s="26">
        <f t="shared" si="127"/>
        <v>22715.217506999998</v>
      </c>
      <c r="L252" s="26">
        <f t="shared" si="127"/>
        <v>22714.196883000001</v>
      </c>
      <c r="M252" s="26">
        <f t="shared" si="127"/>
        <v>23813</v>
      </c>
      <c r="N252" s="26"/>
      <c r="O252" s="26"/>
    </row>
    <row r="253" spans="1:15">
      <c r="B253" t="s">
        <v>164</v>
      </c>
      <c r="D253" s="26">
        <f t="shared" ref="D253:M253" si="128">D133+D190+D203</f>
        <v>3969.5409999999997</v>
      </c>
      <c r="E253" s="26">
        <f t="shared" si="128"/>
        <v>4250.8289999999997</v>
      </c>
      <c r="F253" s="26">
        <f t="shared" si="128"/>
        <v>4302.09</v>
      </c>
      <c r="G253" s="26">
        <f t="shared" si="128"/>
        <v>4415.0230000000001</v>
      </c>
      <c r="H253" s="26">
        <f t="shared" si="128"/>
        <v>4513</v>
      </c>
      <c r="I253" s="26">
        <f t="shared" si="128"/>
        <v>4566.43</v>
      </c>
      <c r="J253" s="26">
        <f t="shared" si="128"/>
        <v>4642.1379999999999</v>
      </c>
      <c r="K253" s="26">
        <f t="shared" si="128"/>
        <v>4812.9189999999999</v>
      </c>
      <c r="L253" s="26">
        <f t="shared" si="128"/>
        <v>5007.03</v>
      </c>
      <c r="M253" s="26">
        <f t="shared" si="128"/>
        <v>5103.3487547999994</v>
      </c>
      <c r="N253" s="26"/>
      <c r="O253" s="26"/>
    </row>
    <row r="254" spans="1:15">
      <c r="B254" t="s">
        <v>162</v>
      </c>
      <c r="D254" s="26">
        <f>D161</f>
        <v>2118.7317760000001</v>
      </c>
      <c r="E254" s="26">
        <f t="shared" ref="E254:M254" si="129">E161</f>
        <v>2036.32</v>
      </c>
      <c r="F254" s="26">
        <f t="shared" si="129"/>
        <v>1978.25</v>
      </c>
      <c r="G254" s="26">
        <f t="shared" si="129"/>
        <v>2007</v>
      </c>
      <c r="H254" s="26">
        <f t="shared" si="129"/>
        <v>2045.1439679999999</v>
      </c>
      <c r="I254" s="26">
        <f t="shared" si="129"/>
        <v>2281.2863360000001</v>
      </c>
      <c r="J254" s="26">
        <f t="shared" si="129"/>
        <v>2289.5316640000001</v>
      </c>
      <c r="K254" s="26">
        <f t="shared" si="129"/>
        <v>2503.8200320000001</v>
      </c>
      <c r="L254" s="26">
        <f t="shared" si="129"/>
        <v>3856.0229440000003</v>
      </c>
      <c r="M254" s="26">
        <f t="shared" si="129"/>
        <v>3456</v>
      </c>
      <c r="N254" s="26"/>
      <c r="O254" s="26"/>
    </row>
    <row r="255" spans="1:15">
      <c r="B255" t="s">
        <v>168</v>
      </c>
    </row>
    <row r="257" spans="1:16">
      <c r="A257" t="s">
        <v>242</v>
      </c>
    </row>
    <row r="258" spans="1:16">
      <c r="B258" t="s">
        <v>241</v>
      </c>
      <c r="D258" s="26">
        <f t="shared" ref="D258:M258" si="130">D117-D250</f>
        <v>-1300.8244489999997</v>
      </c>
      <c r="E258" s="26">
        <f t="shared" si="130"/>
        <v>491.70196551227855</v>
      </c>
      <c r="F258" s="26">
        <f t="shared" si="130"/>
        <v>-1292.9058079999959</v>
      </c>
      <c r="G258" s="26">
        <f t="shared" si="130"/>
        <v>160.03738600001088</v>
      </c>
      <c r="H258" s="26">
        <f t="shared" si="130"/>
        <v>181.49891999999818</v>
      </c>
      <c r="I258" s="26">
        <f t="shared" si="130"/>
        <v>192.63574399999925</v>
      </c>
      <c r="J258" s="26">
        <f t="shared" si="130"/>
        <v>203.77216799999587</v>
      </c>
      <c r="K258" s="26">
        <f t="shared" si="130"/>
        <v>205.08219200000167</v>
      </c>
      <c r="L258" s="26">
        <f t="shared" si="130"/>
        <v>530.71606599999359</v>
      </c>
      <c r="M258" s="26">
        <f t="shared" si="130"/>
        <v>-571.37361999999848</v>
      </c>
      <c r="N258" s="26"/>
      <c r="O258" s="26"/>
      <c r="P258" t="s">
        <v>243</v>
      </c>
    </row>
    <row r="259" spans="1:16">
      <c r="B259" t="s">
        <v>156</v>
      </c>
      <c r="D259" s="26">
        <f t="shared" ref="D259:M259" si="131">D118-D251</f>
        <v>1710.6769179999974</v>
      </c>
      <c r="E259" s="26">
        <f t="shared" si="131"/>
        <v>2465.0156944444461</v>
      </c>
      <c r="F259" s="26">
        <f t="shared" si="131"/>
        <v>-76.773656111115997</v>
      </c>
      <c r="G259" s="26">
        <f t="shared" si="131"/>
        <v>1358.6666143333423</v>
      </c>
      <c r="H259" s="26">
        <f t="shared" si="131"/>
        <v>2035.6589396868731</v>
      </c>
      <c r="I259" s="26">
        <f t="shared" si="131"/>
        <v>1466.8784722222335</v>
      </c>
      <c r="J259" s="26">
        <f t="shared" si="131"/>
        <v>1283.8882136666507</v>
      </c>
      <c r="K259" s="26">
        <f t="shared" si="131"/>
        <v>1100.1855221111182</v>
      </c>
      <c r="L259" s="26">
        <f t="shared" si="131"/>
        <v>2691.631664690547</v>
      </c>
      <c r="M259" s="26">
        <f t="shared" si="131"/>
        <v>2194.7424606900022</v>
      </c>
      <c r="N259" s="26"/>
      <c r="O259" s="26"/>
    </row>
    <row r="260" spans="1:16">
      <c r="B260" t="s">
        <v>160</v>
      </c>
      <c r="D260" s="26">
        <f t="shared" ref="D260:M260" si="132">D119-D252</f>
        <v>0</v>
      </c>
      <c r="E260" s="26">
        <f t="shared" si="132"/>
        <v>0</v>
      </c>
      <c r="F260" s="26">
        <f t="shared" si="132"/>
        <v>0</v>
      </c>
      <c r="G260" s="26">
        <f t="shared" si="132"/>
        <v>0</v>
      </c>
      <c r="H260" s="26">
        <f t="shared" si="132"/>
        <v>0</v>
      </c>
      <c r="I260" s="26">
        <f t="shared" si="132"/>
        <v>0</v>
      </c>
      <c r="J260" s="26">
        <f t="shared" si="132"/>
        <v>0</v>
      </c>
      <c r="K260" s="26">
        <f t="shared" si="132"/>
        <v>0</v>
      </c>
      <c r="L260" s="26">
        <f t="shared" si="132"/>
        <v>0</v>
      </c>
      <c r="M260" s="26">
        <f t="shared" si="132"/>
        <v>0</v>
      </c>
      <c r="N260" s="26"/>
      <c r="O260" s="26"/>
      <c r="P260" t="s">
        <v>243</v>
      </c>
    </row>
    <row r="261" spans="1:16">
      <c r="B261" t="s">
        <v>164</v>
      </c>
      <c r="D261" s="26">
        <f t="shared" ref="D261:M261" si="133">D120-D253</f>
        <v>0</v>
      </c>
      <c r="E261" s="26">
        <f t="shared" si="133"/>
        <v>0</v>
      </c>
      <c r="F261" s="26">
        <f t="shared" si="133"/>
        <v>0</v>
      </c>
      <c r="G261" s="26">
        <f t="shared" si="133"/>
        <v>0</v>
      </c>
      <c r="H261" s="26">
        <f t="shared" si="133"/>
        <v>0</v>
      </c>
      <c r="I261" s="26">
        <f t="shared" si="133"/>
        <v>0</v>
      </c>
      <c r="J261" s="26">
        <f t="shared" si="133"/>
        <v>0</v>
      </c>
      <c r="K261" s="26">
        <f t="shared" si="133"/>
        <v>0</v>
      </c>
      <c r="L261" s="26">
        <f t="shared" si="133"/>
        <v>0</v>
      </c>
      <c r="M261" s="26">
        <f t="shared" si="133"/>
        <v>0</v>
      </c>
      <c r="N261" s="26"/>
      <c r="O261" s="26"/>
      <c r="P261" t="s">
        <v>243</v>
      </c>
    </row>
    <row r="262" spans="1:16">
      <c r="B262" t="s">
        <v>162</v>
      </c>
      <c r="D262" s="26">
        <f t="shared" ref="D262:M262" si="134">D121-D254</f>
        <v>0</v>
      </c>
      <c r="E262" s="26">
        <f t="shared" si="134"/>
        <v>0</v>
      </c>
      <c r="F262" s="26">
        <f t="shared" si="134"/>
        <v>0</v>
      </c>
      <c r="G262" s="26">
        <f t="shared" si="134"/>
        <v>0</v>
      </c>
      <c r="H262" s="26">
        <f t="shared" si="134"/>
        <v>0</v>
      </c>
      <c r="I262" s="26">
        <f t="shared" si="134"/>
        <v>0</v>
      </c>
      <c r="J262" s="26">
        <f t="shared" si="134"/>
        <v>0</v>
      </c>
      <c r="K262" s="26">
        <f t="shared" si="134"/>
        <v>0</v>
      </c>
      <c r="L262" s="26">
        <f t="shared" si="134"/>
        <v>0</v>
      </c>
      <c r="M262" s="26">
        <f t="shared" si="134"/>
        <v>-0.33687032765237745</v>
      </c>
      <c r="N262" s="26"/>
      <c r="O262" s="26"/>
    </row>
    <row r="263" spans="1:16">
      <c r="B263" t="s">
        <v>168</v>
      </c>
      <c r="D263" s="26">
        <f t="shared" ref="D263:M263" si="135">D122-D255</f>
        <v>127.20870400000001</v>
      </c>
      <c r="E263" s="26">
        <f t="shared" si="135"/>
        <v>95.274816000000015</v>
      </c>
      <c r="F263" s="26">
        <f t="shared" si="135"/>
        <v>83.931120000000007</v>
      </c>
      <c r="G263" s="26">
        <f t="shared" si="135"/>
        <v>64.750560000000007</v>
      </c>
      <c r="H263" s="26">
        <f t="shared" si="135"/>
        <v>60.803120000000007</v>
      </c>
      <c r="I263" s="26">
        <f t="shared" si="135"/>
        <v>58.149280000000005</v>
      </c>
      <c r="J263" s="26">
        <f t="shared" si="135"/>
        <v>73.900000000000006</v>
      </c>
      <c r="K263" s="26">
        <f t="shared" si="135"/>
        <v>61.09</v>
      </c>
      <c r="L263" s="26">
        <f t="shared" si="135"/>
        <v>97.22</v>
      </c>
      <c r="M263" s="26">
        <f t="shared" si="135"/>
        <v>61</v>
      </c>
      <c r="N263" s="26"/>
      <c r="O263" s="26"/>
    </row>
    <row r="269" spans="1:16">
      <c r="F269" s="131">
        <f>F71</f>
        <v>86.208770999999999</v>
      </c>
      <c r="G269" s="131">
        <f t="shared" ref="G269:O269" si="136">G71</f>
        <v>89.021339000000012</v>
      </c>
      <c r="H269" s="131">
        <f t="shared" si="136"/>
        <v>93.434331999999998</v>
      </c>
      <c r="I269" s="131">
        <f t="shared" si="136"/>
        <v>98.350320000000011</v>
      </c>
      <c r="J269" s="131">
        <f t="shared" si="136"/>
        <v>111.82259678</v>
      </c>
      <c r="K269" s="131">
        <f t="shared" si="136"/>
        <v>119.6</v>
      </c>
      <c r="L269" s="131">
        <f t="shared" si="136"/>
        <v>126.29</v>
      </c>
      <c r="M269" s="131">
        <f t="shared" si="136"/>
        <v>134.56031184</v>
      </c>
      <c r="N269" s="131">
        <f t="shared" si="136"/>
        <v>140.994698</v>
      </c>
      <c r="O269" s="131">
        <f t="shared" si="136"/>
        <v>138.74536900000001</v>
      </c>
    </row>
    <row r="270" spans="1:16">
      <c r="F270" s="418">
        <f t="shared" ref="F270:O270" si="137">F72</f>
        <v>162.90105700000001</v>
      </c>
      <c r="G270" s="418">
        <f t="shared" si="137"/>
        <v>174.79805300000001</v>
      </c>
      <c r="H270" s="418">
        <f t="shared" si="137"/>
        <v>181.19840000000002</v>
      </c>
      <c r="I270" s="131">
        <f t="shared" si="137"/>
        <v>187.285033</v>
      </c>
      <c r="J270" s="131">
        <f t="shared" si="137"/>
        <v>208.71850294000001</v>
      </c>
      <c r="K270" s="131">
        <f t="shared" si="137"/>
        <v>213.40420912000002</v>
      </c>
      <c r="L270" s="131">
        <f t="shared" si="137"/>
        <v>212.29888640000001</v>
      </c>
      <c r="M270" s="131">
        <f t="shared" si="137"/>
        <v>217.30911884</v>
      </c>
      <c r="N270" s="131">
        <f t="shared" si="137"/>
        <v>210.14006599999999</v>
      </c>
      <c r="O270" s="131">
        <f t="shared" si="137"/>
        <v>207.422855</v>
      </c>
    </row>
    <row r="271" spans="1:16">
      <c r="E271" t="s">
        <v>427</v>
      </c>
      <c r="F271" s="131">
        <f t="shared" ref="F271:O271" si="138">F73</f>
        <v>36.951712999999998</v>
      </c>
      <c r="G271" s="131">
        <f t="shared" si="138"/>
        <v>39.695903000000001</v>
      </c>
      <c r="H271" s="131">
        <f t="shared" si="138"/>
        <v>36.279471999999998</v>
      </c>
      <c r="I271" s="131">
        <f t="shared" si="138"/>
        <v>37.394832999999998</v>
      </c>
      <c r="J271" s="131">
        <f t="shared" si="138"/>
        <v>43.990423</v>
      </c>
      <c r="K271" s="131">
        <f t="shared" si="138"/>
        <v>47.4</v>
      </c>
      <c r="L271" s="131">
        <f t="shared" si="138"/>
        <v>46.349999999999994</v>
      </c>
      <c r="M271" s="131">
        <f t="shared" si="138"/>
        <v>47.326193000000004</v>
      </c>
      <c r="N271" s="131">
        <f t="shared" si="138"/>
        <v>49.804751000000003</v>
      </c>
      <c r="O271" s="131">
        <f t="shared" si="138"/>
        <v>55.489598000000001</v>
      </c>
    </row>
    <row r="272" spans="1:16">
      <c r="E272" t="s">
        <v>428</v>
      </c>
      <c r="F272" s="131">
        <f t="shared" ref="F272:O272" si="139">F74</f>
        <v>1.142336</v>
      </c>
      <c r="G272" s="131">
        <f t="shared" si="139"/>
        <v>1.243592</v>
      </c>
      <c r="H272" s="131">
        <f t="shared" si="139"/>
        <v>1.2172349999999998</v>
      </c>
      <c r="I272" s="131">
        <f t="shared" si="139"/>
        <v>1.1912719999999999</v>
      </c>
      <c r="J272" s="131">
        <f t="shared" si="139"/>
        <v>1.3543529999999999</v>
      </c>
      <c r="K272" s="131">
        <f t="shared" si="139"/>
        <v>1.2</v>
      </c>
      <c r="L272" s="131">
        <f t="shared" si="139"/>
        <v>1.06</v>
      </c>
      <c r="M272" s="131">
        <f t="shared" si="139"/>
        <v>1.1443190000000001</v>
      </c>
      <c r="N272" s="131">
        <f t="shared" si="139"/>
        <v>1.0816749999999999</v>
      </c>
      <c r="O272" s="131">
        <f t="shared" si="139"/>
        <v>1.0194369999999999</v>
      </c>
    </row>
    <row r="273" spans="1:16">
      <c r="E273" t="s">
        <v>429</v>
      </c>
      <c r="F273" s="131">
        <f t="shared" ref="F273:O273" si="140">F75</f>
        <v>2.38829</v>
      </c>
      <c r="G273" s="131">
        <f t="shared" si="140"/>
        <v>2.0603899999999999</v>
      </c>
      <c r="H273" s="131">
        <f t="shared" si="140"/>
        <v>0.47156999999999999</v>
      </c>
      <c r="I273" s="131">
        <f t="shared" si="140"/>
        <v>0</v>
      </c>
      <c r="J273" s="131">
        <f t="shared" si="140"/>
        <v>0</v>
      </c>
      <c r="K273" s="131">
        <f t="shared" si="140"/>
        <v>0</v>
      </c>
      <c r="L273" s="131">
        <f t="shared" si="140"/>
        <v>0</v>
      </c>
      <c r="M273" s="131">
        <f t="shared" si="140"/>
        <v>0</v>
      </c>
      <c r="N273" s="131">
        <f t="shared" si="140"/>
        <v>0</v>
      </c>
      <c r="O273" s="131">
        <f t="shared" si="140"/>
        <v>0</v>
      </c>
      <c r="P273" s="9"/>
    </row>
    <row r="274" spans="1:16">
      <c r="A274" t="s">
        <v>65</v>
      </c>
      <c r="D274" s="30"/>
      <c r="E274" s="30"/>
      <c r="F274" s="131">
        <f>F281+F283</f>
        <v>37.01</v>
      </c>
      <c r="G274" s="131">
        <f t="shared" ref="G274:O274" si="141">G281+G283</f>
        <v>39.700000000000003</v>
      </c>
      <c r="H274" s="131">
        <f t="shared" si="141"/>
        <v>36.24</v>
      </c>
      <c r="I274" s="131">
        <f t="shared" si="141"/>
        <v>37.4</v>
      </c>
      <c r="J274" s="131">
        <f t="shared" si="141"/>
        <v>43.99</v>
      </c>
      <c r="K274" s="131">
        <f t="shared" si="141"/>
        <v>47.2</v>
      </c>
      <c r="L274" s="131">
        <f t="shared" si="141"/>
        <v>46.349999999999994</v>
      </c>
      <c r="M274" s="131">
        <f t="shared" si="141"/>
        <v>0</v>
      </c>
      <c r="N274" s="131">
        <f t="shared" si="141"/>
        <v>0</v>
      </c>
      <c r="O274" s="131">
        <f t="shared" si="141"/>
        <v>0</v>
      </c>
    </row>
    <row r="275" spans="1:16">
      <c r="A275" s="6" t="s">
        <v>244</v>
      </c>
      <c r="B275" s="6"/>
      <c r="C275" s="6" t="s">
        <v>245</v>
      </c>
      <c r="D275" s="9"/>
      <c r="E275" s="9"/>
      <c r="F275" s="6"/>
      <c r="G275" s="6"/>
      <c r="H275" s="6"/>
      <c r="I275" s="6"/>
      <c r="J275" s="6"/>
      <c r="P275" s="9"/>
    </row>
    <row r="276" spans="1:16">
      <c r="A276" s="6" t="s">
        <v>246</v>
      </c>
      <c r="B276" s="6"/>
      <c r="C276" s="6" t="s">
        <v>247</v>
      </c>
      <c r="D276" s="9"/>
      <c r="E276" s="9"/>
      <c r="F276" s="6"/>
      <c r="G276" s="6"/>
      <c r="H276" s="6"/>
      <c r="I276" s="6"/>
      <c r="J276" s="6"/>
      <c r="P276" s="9"/>
    </row>
    <row r="277" spans="1:16">
      <c r="A277" s="64" t="s">
        <v>248</v>
      </c>
      <c r="B277" s="62"/>
      <c r="C277" s="62"/>
      <c r="D277" s="9"/>
      <c r="E277" s="9"/>
      <c r="F277" s="6">
        <v>2012</v>
      </c>
      <c r="G277" s="6">
        <v>2013</v>
      </c>
      <c r="H277" s="6">
        <v>2014</v>
      </c>
      <c r="I277" s="6">
        <v>2015</v>
      </c>
      <c r="J277" s="6">
        <v>2016</v>
      </c>
      <c r="K277" s="6">
        <v>2017</v>
      </c>
      <c r="L277" s="6">
        <v>2018</v>
      </c>
      <c r="M277" s="6">
        <v>2019</v>
      </c>
      <c r="N277" s="6">
        <v>2020</v>
      </c>
      <c r="O277" s="6">
        <v>2021</v>
      </c>
      <c r="P277" s="9"/>
    </row>
    <row r="278" spans="1:16">
      <c r="A278" s="62"/>
      <c r="B278" s="62"/>
      <c r="C278" s="62"/>
      <c r="D278" s="9"/>
      <c r="E278" s="9"/>
      <c r="F278" s="62"/>
      <c r="G278" s="62"/>
      <c r="H278" s="62"/>
      <c r="I278" s="62"/>
      <c r="J278" s="62"/>
      <c r="K278" s="62"/>
      <c r="L278" s="62"/>
      <c r="P278" s="9"/>
    </row>
    <row r="279" spans="1:16">
      <c r="A279" s="62" t="s">
        <v>96</v>
      </c>
      <c r="B279" s="62"/>
      <c r="C279" s="63"/>
      <c r="D279" s="9"/>
      <c r="E279" s="9"/>
      <c r="F279" s="63">
        <v>86.2</v>
      </c>
      <c r="G279" s="63">
        <v>89.02</v>
      </c>
      <c r="H279" s="62">
        <v>93.43</v>
      </c>
      <c r="I279" s="63">
        <v>98.35</v>
      </c>
      <c r="J279" s="62">
        <v>111.82</v>
      </c>
      <c r="K279" s="63">
        <v>119.72</v>
      </c>
      <c r="L279" s="62">
        <v>126.29</v>
      </c>
      <c r="P279" s="9"/>
    </row>
    <row r="280" spans="1:16">
      <c r="A280" s="62" t="s">
        <v>249</v>
      </c>
      <c r="B280" s="62"/>
      <c r="C280" s="63"/>
      <c r="F280" s="63">
        <v>165.41</v>
      </c>
      <c r="G280" s="63">
        <v>176.86</v>
      </c>
      <c r="H280" s="62">
        <v>181.67</v>
      </c>
      <c r="I280" s="63">
        <v>187.28</v>
      </c>
      <c r="J280" s="62">
        <v>208.71</v>
      </c>
      <c r="K280" s="63">
        <v>213.4</v>
      </c>
      <c r="L280" s="62">
        <v>212.3</v>
      </c>
      <c r="P280" s="9"/>
    </row>
    <row r="281" spans="1:16">
      <c r="A281" s="62" t="s">
        <v>88</v>
      </c>
      <c r="B281" s="62"/>
      <c r="C281" s="63"/>
      <c r="F281" s="62">
        <v>20.43</v>
      </c>
      <c r="G281" s="63">
        <v>21.4</v>
      </c>
      <c r="H281" s="62">
        <v>21.59</v>
      </c>
      <c r="I281" s="63">
        <v>23.55</v>
      </c>
      <c r="J281" s="62">
        <v>25.48</v>
      </c>
      <c r="K281" s="63">
        <v>25.87</v>
      </c>
      <c r="L281" s="62">
        <v>25.56</v>
      </c>
    </row>
    <row r="282" spans="1:16">
      <c r="A282" s="62" t="s">
        <v>250</v>
      </c>
      <c r="B282" s="62"/>
      <c r="C282" s="63"/>
      <c r="F282" s="62">
        <v>1.1399999999999999</v>
      </c>
      <c r="G282" s="63">
        <v>1.24</v>
      </c>
      <c r="H282" s="62">
        <v>1.22</v>
      </c>
      <c r="I282" s="63">
        <v>1.1200000000000001</v>
      </c>
      <c r="J282" s="62">
        <v>1.36</v>
      </c>
      <c r="K282" s="63">
        <v>1.17</v>
      </c>
      <c r="L282" s="62">
        <v>1.06</v>
      </c>
    </row>
    <row r="283" spans="1:16">
      <c r="A283" s="62" t="s">
        <v>65</v>
      </c>
      <c r="B283" s="62"/>
      <c r="C283" s="63"/>
      <c r="F283" s="62">
        <v>16.579999999999998</v>
      </c>
      <c r="G283" s="63">
        <v>18.3</v>
      </c>
      <c r="H283" s="62">
        <v>14.65</v>
      </c>
      <c r="I283" s="63">
        <v>13.85</v>
      </c>
      <c r="J283" s="62">
        <v>18.510000000000002</v>
      </c>
      <c r="K283" s="63">
        <v>21.33</v>
      </c>
      <c r="L283" s="62">
        <v>20.79</v>
      </c>
      <c r="P283" s="9"/>
    </row>
    <row r="284" spans="1:16">
      <c r="C284" s="8"/>
      <c r="G284" s="8"/>
    </row>
    <row r="285" spans="1:16">
      <c r="A285" s="100" t="s">
        <v>251</v>
      </c>
      <c r="B285" s="100"/>
      <c r="C285" s="101"/>
      <c r="D285" s="102"/>
      <c r="E285" s="102"/>
      <c r="F285" s="103">
        <f t="shared" ref="F285:L285" si="142">SUM(F279:F284)</f>
        <v>289.76</v>
      </c>
      <c r="G285" s="103">
        <f t="shared" si="142"/>
        <v>306.82</v>
      </c>
      <c r="H285" s="103">
        <f t="shared" si="142"/>
        <v>312.56</v>
      </c>
      <c r="I285" s="103">
        <f t="shared" si="142"/>
        <v>324.15000000000003</v>
      </c>
      <c r="J285" s="103">
        <f t="shared" si="142"/>
        <v>365.88</v>
      </c>
      <c r="K285" s="103">
        <f t="shared" si="142"/>
        <v>381.49</v>
      </c>
      <c r="L285" s="103">
        <f t="shared" si="142"/>
        <v>386.00000000000006</v>
      </c>
      <c r="P285" s="9"/>
    </row>
    <row r="287" spans="1:16">
      <c r="A287" s="64" t="s">
        <v>252</v>
      </c>
    </row>
    <row r="288" spans="1:16">
      <c r="A288" s="62" t="s">
        <v>96</v>
      </c>
      <c r="B288" s="62"/>
      <c r="C288" s="63"/>
      <c r="F288" s="7">
        <f t="shared" ref="F288:L292" si="143">F279/F$285</f>
        <v>0.29748757592490338</v>
      </c>
      <c r="G288" s="7">
        <f t="shared" si="143"/>
        <v>0.2901375399256893</v>
      </c>
      <c r="H288" s="7">
        <f t="shared" si="143"/>
        <v>0.29891860762733558</v>
      </c>
      <c r="I288" s="7">
        <f t="shared" si="143"/>
        <v>0.303408915625482</v>
      </c>
      <c r="J288" s="7">
        <f t="shared" si="143"/>
        <v>0.30561932874166392</v>
      </c>
      <c r="K288" s="7">
        <f t="shared" si="143"/>
        <v>0.31382211853521719</v>
      </c>
      <c r="L288" s="7">
        <f t="shared" si="143"/>
        <v>0.32717616580310876</v>
      </c>
    </row>
    <row r="289" spans="1:31">
      <c r="A289" s="62" t="s">
        <v>249</v>
      </c>
      <c r="B289" s="62"/>
      <c r="C289" s="63"/>
      <c r="F289" s="7">
        <f t="shared" si="143"/>
        <v>0.57085173937051359</v>
      </c>
      <c r="G289" s="7">
        <f t="shared" si="143"/>
        <v>0.57642917671598992</v>
      </c>
      <c r="H289" s="7">
        <f t="shared" si="143"/>
        <v>0.58123240337855131</v>
      </c>
      <c r="I289" s="7">
        <f t="shared" si="143"/>
        <v>0.5777572111676692</v>
      </c>
      <c r="J289" s="7">
        <f t="shared" si="143"/>
        <v>0.57043292882912433</v>
      </c>
      <c r="K289" s="7">
        <f t="shared" si="143"/>
        <v>0.55938556711840415</v>
      </c>
      <c r="L289" s="7">
        <f t="shared" si="143"/>
        <v>0.54999999999999993</v>
      </c>
    </row>
    <row r="290" spans="1:31">
      <c r="A290" s="62" t="s">
        <v>88</v>
      </c>
      <c r="B290" s="62"/>
      <c r="C290" s="63"/>
      <c r="F290" s="7">
        <f t="shared" si="143"/>
        <v>7.0506626173384865E-2</v>
      </c>
      <c r="G290" s="7">
        <f t="shared" si="143"/>
        <v>6.9747734828238053E-2</v>
      </c>
      <c r="H290" s="7">
        <f t="shared" si="143"/>
        <v>6.9074737650371129E-2</v>
      </c>
      <c r="I290" s="7">
        <f t="shared" si="143"/>
        <v>7.2651550208236923E-2</v>
      </c>
      <c r="J290" s="7">
        <f t="shared" si="143"/>
        <v>6.9640319230348746E-2</v>
      </c>
      <c r="K290" s="7">
        <f t="shared" si="143"/>
        <v>6.7813048834831843E-2</v>
      </c>
      <c r="L290" s="7">
        <f t="shared" si="143"/>
        <v>6.6217616580310862E-2</v>
      </c>
    </row>
    <row r="291" spans="1:31">
      <c r="A291" s="62" t="s">
        <v>250</v>
      </c>
      <c r="B291" s="62"/>
      <c r="C291" s="63"/>
      <c r="F291" s="7">
        <f t="shared" si="143"/>
        <v>3.9342904472667029E-3</v>
      </c>
      <c r="G291" s="7">
        <f t="shared" si="143"/>
        <v>4.0414575321035132E-3</v>
      </c>
      <c r="H291" s="7">
        <f t="shared" si="143"/>
        <v>3.9032505758894291E-3</v>
      </c>
      <c r="I291" s="7">
        <f t="shared" si="143"/>
        <v>3.45519049822613E-3</v>
      </c>
      <c r="J291" s="7">
        <f t="shared" si="143"/>
        <v>3.7170657046026023E-3</v>
      </c>
      <c r="K291" s="7">
        <f t="shared" si="143"/>
        <v>3.0669218066004347E-3</v>
      </c>
      <c r="L291" s="7">
        <f t="shared" si="143"/>
        <v>2.7461139896373054E-3</v>
      </c>
    </row>
    <row r="292" spans="1:31">
      <c r="A292" s="62" t="s">
        <v>65</v>
      </c>
      <c r="B292" s="62"/>
      <c r="C292" s="63"/>
      <c r="F292" s="7">
        <f t="shared" si="143"/>
        <v>5.7219768083931526E-2</v>
      </c>
      <c r="G292" s="7">
        <f t="shared" si="143"/>
        <v>5.9644090997979272E-2</v>
      </c>
      <c r="H292" s="7">
        <f t="shared" si="143"/>
        <v>4.6871000767852576E-2</v>
      </c>
      <c r="I292" s="7">
        <f t="shared" si="143"/>
        <v>4.2727132500385616E-2</v>
      </c>
      <c r="J292" s="7">
        <f t="shared" si="143"/>
        <v>5.059035749426042E-2</v>
      </c>
      <c r="K292" s="7">
        <f t="shared" si="143"/>
        <v>5.5912343704946389E-2</v>
      </c>
      <c r="L292" s="7">
        <f t="shared" si="143"/>
        <v>5.3860103626942997E-2</v>
      </c>
    </row>
    <row r="294" spans="1:31" ht="30.75">
      <c r="A294" s="133" t="s">
        <v>253</v>
      </c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</row>
    <row r="295" spans="1:31">
      <c r="D295" s="26"/>
      <c r="M295" s="26"/>
    </row>
    <row r="296" spans="1:31">
      <c r="B296" s="1" t="s">
        <v>6</v>
      </c>
      <c r="C296" s="1"/>
      <c r="D296" s="2">
        <v>2010</v>
      </c>
      <c r="E296" s="2">
        <v>2011</v>
      </c>
      <c r="F296" s="2">
        <v>2012</v>
      </c>
      <c r="G296" s="2">
        <v>2013</v>
      </c>
      <c r="H296" s="2">
        <v>2014</v>
      </c>
      <c r="I296" s="2">
        <v>2015</v>
      </c>
      <c r="J296" s="2">
        <v>2016</v>
      </c>
      <c r="K296" s="2">
        <v>2017</v>
      </c>
      <c r="L296" s="2">
        <v>2018</v>
      </c>
      <c r="M296" s="2">
        <v>2019</v>
      </c>
      <c r="N296" s="2">
        <v>2020</v>
      </c>
      <c r="O296" s="2">
        <v>2021</v>
      </c>
      <c r="Q296" t="s">
        <v>151</v>
      </c>
      <c r="R296" t="s">
        <v>19</v>
      </c>
      <c r="V296" s="6" t="s">
        <v>254</v>
      </c>
    </row>
    <row r="297" spans="1:31" ht="18">
      <c r="B297" s="420" t="s">
        <v>435</v>
      </c>
      <c r="C297" s="153" t="s">
        <v>255</v>
      </c>
      <c r="D297" s="419">
        <f>(D$300+D$310+D$318+D$325+D$332+D$337)/1000</f>
        <v>391.99591756476218</v>
      </c>
      <c r="E297" s="419">
        <f t="shared" ref="E297:O297" si="144">(E$300+E$310+E$318+E$325+E$332+E$337)/1000</f>
        <v>411.93402319151141</v>
      </c>
      <c r="F297" s="419">
        <f t="shared" si="144"/>
        <v>425.14214421174836</v>
      </c>
      <c r="G297" s="419">
        <f t="shared" si="144"/>
        <v>432.33193952712298</v>
      </c>
      <c r="H297" s="419">
        <f t="shared" si="144"/>
        <v>442.48188299492114</v>
      </c>
      <c r="I297" s="419">
        <f t="shared" si="144"/>
        <v>468.68642153910184</v>
      </c>
      <c r="J297" s="419">
        <f t="shared" si="144"/>
        <v>496.58731281935002</v>
      </c>
      <c r="K297" s="419">
        <f t="shared" si="144"/>
        <v>516.25430301413087</v>
      </c>
      <c r="L297" s="419">
        <f t="shared" si="144"/>
        <v>524.85471569063475</v>
      </c>
      <c r="M297" s="419">
        <f t="shared" si="144"/>
        <v>550.50140401255385</v>
      </c>
      <c r="N297" s="419">
        <f>(N$300+N$310+N$318+N$325+N$332+N$337)/1000</f>
        <v>502.65378337736888</v>
      </c>
      <c r="O297" s="419">
        <f t="shared" si="144"/>
        <v>508.43974160709178</v>
      </c>
      <c r="Q297" s="240">
        <f>(M297/D297)^(1/9)-1</f>
        <v>3.8451745744414234E-2</v>
      </c>
      <c r="R297" s="360">
        <f>M297/D297*100</f>
        <v>140.43549418384052</v>
      </c>
    </row>
    <row r="298" spans="1:31">
      <c r="D298" s="26">
        <f>D297*1000</f>
        <v>391995.91756476217</v>
      </c>
      <c r="E298" s="26">
        <f>E297*1000</f>
        <v>411934.0231915114</v>
      </c>
      <c r="F298" s="26">
        <f>F297*1000</f>
        <v>425142.14421174838</v>
      </c>
      <c r="G298" s="26">
        <f>G297*1000</f>
        <v>432331.939527123</v>
      </c>
      <c r="H298" s="26">
        <f>H297*1000</f>
        <v>442481.88299492112</v>
      </c>
      <c r="I298" s="26">
        <f>I297*1000</f>
        <v>468686.42153910187</v>
      </c>
      <c r="J298" s="26">
        <f>J297*1000</f>
        <v>496587.31281935005</v>
      </c>
      <c r="K298" s="26">
        <f>K297*1000</f>
        <v>516254.30301413086</v>
      </c>
      <c r="L298" s="26">
        <f>L297*1000</f>
        <v>524854.7156906348</v>
      </c>
      <c r="M298" s="26">
        <f>M297*1000</f>
        <v>550501.40401255386</v>
      </c>
      <c r="N298" s="26">
        <f>N297*1000</f>
        <v>502653.78337736888</v>
      </c>
      <c r="O298" s="26">
        <f>O297*1000</f>
        <v>508439.7416070918</v>
      </c>
      <c r="Q298" s="240"/>
      <c r="R298" s="360"/>
    </row>
    <row r="299" spans="1:31">
      <c r="A299" s="344" t="s">
        <v>256</v>
      </c>
      <c r="C299" s="154"/>
      <c r="Q299" s="240">
        <f>(M298/D298)^(1/9)-1</f>
        <v>3.8451745744414234E-2</v>
      </c>
      <c r="R299" s="360">
        <f>M298/D298*100</f>
        <v>140.43549418384052</v>
      </c>
      <c r="T299" s="41"/>
      <c r="V299" s="409"/>
      <c r="W299" s="410"/>
      <c r="X299" s="411"/>
      <c r="Y299" s="314" t="s">
        <v>7</v>
      </c>
      <c r="Z299" s="315" t="s">
        <v>257</v>
      </c>
      <c r="AA299" s="316" t="s">
        <v>180</v>
      </c>
      <c r="AB299" s="329" t="s">
        <v>258</v>
      </c>
      <c r="AC299" s="330" t="s">
        <v>164</v>
      </c>
      <c r="AD299" s="331" t="s">
        <v>181</v>
      </c>
      <c r="AE299" s="332" t="s">
        <v>170</v>
      </c>
    </row>
    <row r="300" spans="1:31">
      <c r="B300" s="21" t="s">
        <v>259</v>
      </c>
      <c r="C300" s="155" t="s">
        <v>143</v>
      </c>
      <c r="D300" s="124">
        <f>SUM(D301:D305)</f>
        <v>208799.30659307755</v>
      </c>
      <c r="E300" s="124">
        <f t="shared" ref="E300:O300" si="145">SUM(E301:E305)</f>
        <v>222083.57185639424</v>
      </c>
      <c r="F300" s="124">
        <f t="shared" si="145"/>
        <v>232916.21920442057</v>
      </c>
      <c r="G300" s="124">
        <f t="shared" si="145"/>
        <v>236680.15196570606</v>
      </c>
      <c r="H300" s="124">
        <f t="shared" si="145"/>
        <v>238537.78296579031</v>
      </c>
      <c r="I300" s="124">
        <f t="shared" si="145"/>
        <v>250391.50601546819</v>
      </c>
      <c r="J300" s="124">
        <f t="shared" si="145"/>
        <v>269682.42662038573</v>
      </c>
      <c r="K300" s="124">
        <f t="shared" si="145"/>
        <v>276848.5954456855</v>
      </c>
      <c r="L300" s="124">
        <f t="shared" si="145"/>
        <v>281557.6674415585</v>
      </c>
      <c r="M300" s="124">
        <f t="shared" si="145"/>
        <v>296152.26245055976</v>
      </c>
      <c r="N300" s="124">
        <f t="shared" si="145"/>
        <v>290986.79357251286</v>
      </c>
      <c r="O300" s="124">
        <f t="shared" si="145"/>
        <v>286182.87109231378</v>
      </c>
      <c r="T300" s="41"/>
      <c r="V300" s="412" t="s">
        <v>260</v>
      </c>
      <c r="W300" s="412"/>
      <c r="X300" s="412"/>
      <c r="Y300" s="314" t="s">
        <v>261</v>
      </c>
      <c r="Z300" s="317">
        <v>0</v>
      </c>
      <c r="AA300" s="318">
        <v>0</v>
      </c>
      <c r="AB300" s="333">
        <v>0</v>
      </c>
      <c r="AC300" s="334">
        <v>0</v>
      </c>
      <c r="AD300" s="331">
        <v>0</v>
      </c>
      <c r="AE300" s="335"/>
    </row>
    <row r="301" spans="1:31">
      <c r="B301" s="21" t="s">
        <v>257</v>
      </c>
      <c r="C301" s="155" t="s">
        <v>143</v>
      </c>
      <c r="D301" s="124">
        <f t="shared" ref="D301:O301" si="146">D$137/1000*$Z$303*$Z$304</f>
        <v>159867.51290609696</v>
      </c>
      <c r="E301" s="124">
        <f t="shared" si="146"/>
        <v>187975.33019770126</v>
      </c>
      <c r="F301" s="124">
        <f t="shared" si="146"/>
        <v>201175.10162268108</v>
      </c>
      <c r="G301" s="124">
        <f t="shared" si="146"/>
        <v>206132.96659685756</v>
      </c>
      <c r="H301" s="124">
        <f t="shared" si="146"/>
        <v>209291.66052558401</v>
      </c>
      <c r="I301" s="124">
        <f t="shared" si="146"/>
        <v>216287.22053558263</v>
      </c>
      <c r="J301" s="124">
        <f t="shared" si="146"/>
        <v>234270.90181450333</v>
      </c>
      <c r="K301" s="124">
        <f t="shared" si="146"/>
        <v>239527.47476216484</v>
      </c>
      <c r="L301" s="124">
        <f t="shared" si="146"/>
        <v>244126.61323997768</v>
      </c>
      <c r="M301" s="124">
        <f t="shared" si="146"/>
        <v>256001.89745140326</v>
      </c>
      <c r="N301" s="124">
        <f t="shared" si="146"/>
        <v>256713.65274801964</v>
      </c>
      <c r="O301" s="124">
        <f t="shared" si="146"/>
        <v>252842.79117573961</v>
      </c>
      <c r="Q301" s="26">
        <f>L300+L311</f>
        <v>336841.21853355848</v>
      </c>
      <c r="T301" s="41"/>
      <c r="V301" s="412" t="s">
        <v>262</v>
      </c>
      <c r="W301" s="412"/>
      <c r="X301" s="412"/>
      <c r="Y301" s="314" t="s">
        <v>261</v>
      </c>
      <c r="Z301" s="317">
        <v>0.99</v>
      </c>
      <c r="AA301" s="318">
        <v>0.99</v>
      </c>
      <c r="AB301" s="333">
        <v>0.99</v>
      </c>
      <c r="AC301" s="334">
        <v>0.99</v>
      </c>
      <c r="AD301" s="336">
        <v>0.99</v>
      </c>
      <c r="AE301" s="337">
        <v>0.5</v>
      </c>
    </row>
    <row r="302" spans="1:31">
      <c r="B302" s="21" t="s">
        <v>263</v>
      </c>
      <c r="C302" s="155" t="s">
        <v>143</v>
      </c>
      <c r="D302" s="124">
        <f t="shared" ref="D302:O302" si="147">D$138/1000*$AA$303*$AA$304</f>
        <v>48535.367605170592</v>
      </c>
      <c r="E302" s="124">
        <f t="shared" si="147"/>
        <v>33638.960586184796</v>
      </c>
      <c r="F302" s="124">
        <f t="shared" si="147"/>
        <v>31355.591065306195</v>
      </c>
      <c r="G302" s="124">
        <f t="shared" si="147"/>
        <v>30104.117620499994</v>
      </c>
      <c r="H302" s="124">
        <f t="shared" si="147"/>
        <v>28894.412426784496</v>
      </c>
      <c r="I302" s="124">
        <f t="shared" si="147"/>
        <v>33684.723188221651</v>
      </c>
      <c r="J302" s="124">
        <f t="shared" si="147"/>
        <v>35013.390793354534</v>
      </c>
      <c r="K302" s="124">
        <f t="shared" si="147"/>
        <v>36962.312552635041</v>
      </c>
      <c r="L302" s="124">
        <f t="shared" si="147"/>
        <v>37077.360234128697</v>
      </c>
      <c r="M302" s="124">
        <f t="shared" si="147"/>
        <v>39767.074534155065</v>
      </c>
      <c r="N302" s="124">
        <f t="shared" si="147"/>
        <v>33823.638027367451</v>
      </c>
      <c r="O302" s="124">
        <f t="shared" si="147"/>
        <v>33340.079916574192</v>
      </c>
      <c r="T302" s="41"/>
      <c r="V302" s="412" t="s">
        <v>264</v>
      </c>
      <c r="W302" s="412"/>
      <c r="X302" s="412"/>
      <c r="Y302" s="314" t="s">
        <v>265</v>
      </c>
      <c r="Z302" s="317">
        <v>21.1</v>
      </c>
      <c r="AA302" s="318">
        <v>20.2</v>
      </c>
      <c r="AB302" s="338">
        <v>19.5</v>
      </c>
      <c r="AC302" s="339">
        <v>17.2</v>
      </c>
      <c r="AD302" s="331">
        <v>18.899999999999999</v>
      </c>
      <c r="AE302" s="335">
        <v>19.8</v>
      </c>
    </row>
    <row r="303" spans="1:31">
      <c r="B303" s="21" t="s">
        <v>266</v>
      </c>
      <c r="C303" s="155" t="s">
        <v>143</v>
      </c>
      <c r="D303" s="129">
        <f t="shared" ref="D303:O303" si="148">D$139/1000*$AE$303*$AE$304</f>
        <v>396.42608181000008</v>
      </c>
      <c r="E303" s="129">
        <f t="shared" si="148"/>
        <v>469.28107250818198</v>
      </c>
      <c r="F303" s="129">
        <f t="shared" si="148"/>
        <v>385.52651643330006</v>
      </c>
      <c r="G303" s="129">
        <f t="shared" si="148"/>
        <v>443.0677483485</v>
      </c>
      <c r="H303" s="129">
        <f t="shared" si="148"/>
        <v>351.71001342180006</v>
      </c>
      <c r="I303" s="129">
        <f t="shared" si="148"/>
        <v>419.56229166390006</v>
      </c>
      <c r="J303" s="129">
        <f t="shared" si="148"/>
        <v>398.1340125279001</v>
      </c>
      <c r="K303" s="129">
        <f t="shared" si="148"/>
        <v>358.80813088560006</v>
      </c>
      <c r="L303" s="129">
        <f t="shared" si="148"/>
        <v>353.69396745210008</v>
      </c>
      <c r="M303" s="129">
        <f t="shared" si="148"/>
        <v>383.29046500140004</v>
      </c>
      <c r="N303" s="129">
        <f t="shared" si="148"/>
        <v>449.50279712580004</v>
      </c>
      <c r="O303" s="129">
        <f t="shared" si="148"/>
        <v>0</v>
      </c>
      <c r="T303" s="41"/>
      <c r="V303" s="412" t="s">
        <v>267</v>
      </c>
      <c r="W303" s="412"/>
      <c r="X303" s="412"/>
      <c r="Y303" s="314" t="s">
        <v>268</v>
      </c>
      <c r="Z303" s="319">
        <v>40.19</v>
      </c>
      <c r="AA303" s="318">
        <v>43.33</v>
      </c>
      <c r="AB303" s="338">
        <v>44.59</v>
      </c>
      <c r="AC303" s="339">
        <v>47.31</v>
      </c>
      <c r="AD303" s="331">
        <v>44.8</v>
      </c>
      <c r="AE303" s="340">
        <v>40.19</v>
      </c>
    </row>
    <row r="304" spans="1:31">
      <c r="B304" s="21" t="s">
        <v>70</v>
      </c>
      <c r="C304" s="155" t="s">
        <v>143</v>
      </c>
      <c r="D304" s="126"/>
      <c r="E304" s="126"/>
      <c r="F304" s="126"/>
      <c r="G304" s="128">
        <v>0</v>
      </c>
      <c r="H304" s="128">
        <v>0</v>
      </c>
      <c r="I304" s="128">
        <v>0</v>
      </c>
      <c r="J304" s="128">
        <v>0</v>
      </c>
      <c r="K304" s="128">
        <v>0</v>
      </c>
      <c r="L304" s="128">
        <v>0</v>
      </c>
      <c r="M304" s="128">
        <v>0</v>
      </c>
      <c r="N304" s="128">
        <v>0</v>
      </c>
      <c r="O304" s="128">
        <v>0</v>
      </c>
      <c r="T304" s="41"/>
      <c r="V304" s="412" t="s">
        <v>269</v>
      </c>
      <c r="W304" s="412"/>
      <c r="X304" s="412"/>
      <c r="Y304" s="314" t="s">
        <v>270</v>
      </c>
      <c r="Z304" s="317">
        <f t="shared" ref="Z304:AA304" si="149">Z302*Z301*44/12</f>
        <v>76.593000000000004</v>
      </c>
      <c r="AA304" s="318">
        <f t="shared" si="149"/>
        <v>73.325999999999993</v>
      </c>
      <c r="AB304" s="333">
        <f>AB302*AB301*44/12</f>
        <v>70.784999999999997</v>
      </c>
      <c r="AC304" s="334">
        <f>AC302*AC301*44/12</f>
        <v>62.436</v>
      </c>
      <c r="AD304" s="336">
        <f>AD302*AD301*44/12</f>
        <v>68.606999999999985</v>
      </c>
      <c r="AE304" s="340">
        <f>AE302*AE301*44/12</f>
        <v>36.300000000000004</v>
      </c>
    </row>
    <row r="305" spans="1:30">
      <c r="B305" s="21" t="s">
        <v>72</v>
      </c>
      <c r="C305" s="155" t="s">
        <v>143</v>
      </c>
      <c r="D305" s="126"/>
      <c r="E305" s="126"/>
      <c r="F305" s="126"/>
      <c r="G305" s="126"/>
      <c r="H305" s="128">
        <v>0</v>
      </c>
      <c r="I305" s="128">
        <v>0</v>
      </c>
      <c r="J305" s="128">
        <v>0</v>
      </c>
      <c r="K305" s="128">
        <v>0</v>
      </c>
      <c r="L305" s="128">
        <v>0</v>
      </c>
      <c r="M305" s="128">
        <v>0</v>
      </c>
      <c r="N305" s="128">
        <v>0</v>
      </c>
      <c r="O305" s="128">
        <v>0</v>
      </c>
      <c r="T305" s="41"/>
      <c r="V305" s="414" t="s">
        <v>271</v>
      </c>
      <c r="W305" s="414"/>
      <c r="X305" s="414"/>
      <c r="Y305" s="320" t="s">
        <v>272</v>
      </c>
      <c r="Z305" s="317">
        <v>0.94299999999999995</v>
      </c>
      <c r="AA305" s="318">
        <v>0.84299999999999997</v>
      </c>
      <c r="AB305" s="338">
        <v>0.78400000000000003</v>
      </c>
      <c r="AC305" s="339"/>
      <c r="AD305" s="331">
        <v>0.72699999999999998</v>
      </c>
    </row>
    <row r="306" spans="1:30">
      <c r="B306" s="108" t="s">
        <v>273</v>
      </c>
      <c r="C306" s="156" t="s">
        <v>274</v>
      </c>
      <c r="D306" s="132">
        <f t="shared" ref="D306:O306" si="150">D$300/D$48</f>
        <v>693.59553610355317</v>
      </c>
      <c r="E306" s="132">
        <f t="shared" si="150"/>
        <v>685.79448685559339</v>
      </c>
      <c r="F306" s="132">
        <f t="shared" si="150"/>
        <v>692.13187687038089</v>
      </c>
      <c r="G306" s="132">
        <f t="shared" si="150"/>
        <v>668.16397813518074</v>
      </c>
      <c r="H306" s="132">
        <f t="shared" si="150"/>
        <v>658.13766231195132</v>
      </c>
      <c r="I306" s="132">
        <f t="shared" si="150"/>
        <v>663.05716715725623</v>
      </c>
      <c r="J306" s="132">
        <f t="shared" si="150"/>
        <v>658.29116182227244</v>
      </c>
      <c r="K306" s="132">
        <f t="shared" si="150"/>
        <v>653.20936115483153</v>
      </c>
      <c r="L306" s="132">
        <f t="shared" si="150"/>
        <v>658.11609971372354</v>
      </c>
      <c r="M306" s="132">
        <f t="shared" si="150"/>
        <v>661.70148889240647</v>
      </c>
      <c r="N306" s="132">
        <f t="shared" si="150"/>
        <v>658.58793274113509</v>
      </c>
      <c r="O306" s="132">
        <f t="shared" si="150"/>
        <v>655.48369688435082</v>
      </c>
      <c r="T306" s="41"/>
      <c r="V306" s="415" t="s">
        <v>275</v>
      </c>
      <c r="W306" s="416"/>
      <c r="X306" s="417"/>
      <c r="Y306" s="314" t="s">
        <v>276</v>
      </c>
      <c r="Z306" s="321">
        <f>Z304*Z303/1000</f>
        <v>3.07827267</v>
      </c>
      <c r="AA306" s="322">
        <f>AA304*AA303/1000</f>
        <v>3.1772155799999995</v>
      </c>
      <c r="AB306" s="341">
        <f>AB304*AB303/1000</f>
        <v>3.1563031500000003</v>
      </c>
      <c r="AC306" s="342">
        <f>AC304*AC303/1000</f>
        <v>2.9538471600000005</v>
      </c>
      <c r="AD306" s="343">
        <f>AD304*AD303/1000</f>
        <v>3.0735935999999993</v>
      </c>
    </row>
    <row r="307" spans="1:30">
      <c r="B307" s="108" t="s">
        <v>277</v>
      </c>
      <c r="C307" s="156" t="s">
        <v>274</v>
      </c>
      <c r="D307" s="132">
        <f t="shared" ref="D307:O307" si="151">D$300/D$79</f>
        <v>802.07793958998388</v>
      </c>
      <c r="E307" s="132">
        <f t="shared" si="151"/>
        <v>793.77314660165985</v>
      </c>
      <c r="F307" s="132">
        <f t="shared" si="151"/>
        <v>803.95770379456769</v>
      </c>
      <c r="G307" s="132">
        <f t="shared" si="151"/>
        <v>771.3992232818739</v>
      </c>
      <c r="H307" s="132">
        <f t="shared" si="151"/>
        <v>763.07425791383253</v>
      </c>
      <c r="I307" s="132">
        <f t="shared" si="151"/>
        <v>772.2854235498138</v>
      </c>
      <c r="J307" s="132">
        <f t="shared" si="151"/>
        <v>737.06705974833653</v>
      </c>
      <c r="K307" s="132">
        <f t="shared" si="151"/>
        <v>725.48622061615458</v>
      </c>
      <c r="L307" s="132">
        <f t="shared" si="151"/>
        <v>729.42611329139447</v>
      </c>
      <c r="M307" s="132">
        <f t="shared" si="151"/>
        <v>739.75197295584474</v>
      </c>
      <c r="N307" s="132">
        <f t="shared" si="151"/>
        <v>723.80959215735083</v>
      </c>
      <c r="O307" s="132">
        <f t="shared" si="151"/>
        <v>712.50416503108409</v>
      </c>
      <c r="T307" s="41"/>
      <c r="V307" s="415" t="s">
        <v>278</v>
      </c>
      <c r="W307" s="416"/>
      <c r="X307" s="417"/>
      <c r="Y307" s="323" t="s">
        <v>279</v>
      </c>
      <c r="Z307" s="324">
        <f>Z304*Z308*1000</f>
        <v>2.9028111278099997</v>
      </c>
      <c r="AA307" s="325">
        <f>AA304*AA308*1000</f>
        <v>2.6783927339399995</v>
      </c>
      <c r="AB307" s="325">
        <f>AB304*AB308*1000</f>
        <v>2.4745416696000002</v>
      </c>
      <c r="AD307" s="325">
        <f>AD304*AD308*1000</f>
        <v>2.2345025471999991</v>
      </c>
    </row>
    <row r="308" spans="1:30">
      <c r="T308" s="41"/>
      <c r="V308" s="415" t="s">
        <v>280</v>
      </c>
      <c r="W308" s="416"/>
      <c r="X308" s="417"/>
      <c r="Y308" s="326" t="s">
        <v>281</v>
      </c>
      <c r="Z308" s="327">
        <f>Z305/1000000*Z303</f>
        <v>3.7899169999999996E-5</v>
      </c>
      <c r="AA308" s="328">
        <f>AA305/1000000*AA303</f>
        <v>3.6527189999999997E-5</v>
      </c>
      <c r="AB308" s="328">
        <f>AB305/1000000*AB303</f>
        <v>3.4958560000000005E-5</v>
      </c>
      <c r="AD308" s="328">
        <f>AD305/1000000*AD303</f>
        <v>3.2569599999999994E-5</v>
      </c>
    </row>
    <row r="309" spans="1:30">
      <c r="A309" s="4" t="s">
        <v>282</v>
      </c>
      <c r="T309" s="41"/>
      <c r="V309" s="345"/>
      <c r="W309" s="345"/>
      <c r="X309" s="345"/>
      <c r="Y309" s="346"/>
      <c r="Z309" s="207"/>
      <c r="AA309" s="347"/>
    </row>
    <row r="310" spans="1:30">
      <c r="B310" s="21" t="s">
        <v>283</v>
      </c>
      <c r="C310" s="21"/>
      <c r="D310" s="352">
        <f>SUM(D311:D313)</f>
        <v>46775.573820787482</v>
      </c>
      <c r="E310" s="352">
        <f t="shared" ref="E310:O310" si="152">SUM(E311:E313)</f>
        <v>56206.744381655677</v>
      </c>
      <c r="F310" s="352">
        <f t="shared" si="152"/>
        <v>57783.545610419264</v>
      </c>
      <c r="G310" s="352">
        <f t="shared" si="152"/>
        <v>58646.775346891875</v>
      </c>
      <c r="H310" s="352">
        <f t="shared" si="152"/>
        <v>59462.381807770522</v>
      </c>
      <c r="I310" s="352">
        <f t="shared" si="152"/>
        <v>60147.118131300973</v>
      </c>
      <c r="J310" s="352">
        <f t="shared" si="152"/>
        <v>60888.352552347023</v>
      </c>
      <c r="K310" s="352">
        <f t="shared" si="152"/>
        <v>61890.202055080059</v>
      </c>
      <c r="L310" s="352">
        <f t="shared" si="152"/>
        <v>62767.314067240703</v>
      </c>
      <c r="M310" s="352">
        <f t="shared" si="152"/>
        <v>69670.034959787183</v>
      </c>
      <c r="N310" s="352">
        <f t="shared" si="152"/>
        <v>47061.71416044025</v>
      </c>
      <c r="O310" s="352">
        <f t="shared" si="152"/>
        <v>65309.297311605595</v>
      </c>
      <c r="T310" s="41"/>
    </row>
    <row r="311" spans="1:30">
      <c r="B311" s="21" t="s">
        <v>284</v>
      </c>
      <c r="C311" s="21" t="s">
        <v>143</v>
      </c>
      <c r="D311" s="124">
        <f t="shared" ref="D311:O311" si="153">D$140/1000*$AA$303*$AA$304</f>
        <v>42256.967213999997</v>
      </c>
      <c r="E311" s="124">
        <f t="shared" si="153"/>
        <v>50835.449279999993</v>
      </c>
      <c r="F311" s="124">
        <f t="shared" si="153"/>
        <v>51470.892395999988</v>
      </c>
      <c r="G311" s="124">
        <f t="shared" si="153"/>
        <v>52106.335511999991</v>
      </c>
      <c r="H311" s="124">
        <f t="shared" si="153"/>
        <v>52741.778628</v>
      </c>
      <c r="I311" s="124">
        <f t="shared" si="153"/>
        <v>53377.221743999995</v>
      </c>
      <c r="J311" s="124">
        <f t="shared" si="153"/>
        <v>54012.664859999997</v>
      </c>
      <c r="K311" s="124">
        <f t="shared" si="153"/>
        <v>54648.107975999992</v>
      </c>
      <c r="L311" s="124">
        <f t="shared" si="153"/>
        <v>55283.551091999987</v>
      </c>
      <c r="M311" s="124">
        <f t="shared" si="153"/>
        <v>62036.517352644514</v>
      </c>
      <c r="N311" s="124">
        <f t="shared" si="153"/>
        <v>31772.155799999993</v>
      </c>
      <c r="O311" s="124">
        <f t="shared" si="153"/>
        <v>50091.980834279995</v>
      </c>
      <c r="P311" s="1" t="s">
        <v>285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30">
      <c r="B312" s="21" t="s">
        <v>286</v>
      </c>
      <c r="C312" s="155" t="s">
        <v>143</v>
      </c>
      <c r="D312" s="124">
        <f t="shared" ref="D312:O312" si="154">D$203/1000*$AC$303*$AC$304</f>
        <v>2148.4037841074819</v>
      </c>
      <c r="E312" s="124">
        <f t="shared" si="154"/>
        <v>2871.1794641490164</v>
      </c>
      <c r="F312" s="124">
        <f t="shared" si="154"/>
        <v>3682.6247620859403</v>
      </c>
      <c r="G312" s="124">
        <f t="shared" si="154"/>
        <v>3780.4985677318859</v>
      </c>
      <c r="H312" s="124">
        <f t="shared" si="154"/>
        <v>3830.7490977838511</v>
      </c>
      <c r="I312" s="124">
        <f t="shared" si="154"/>
        <v>3750.1294904876518</v>
      </c>
      <c r="J312" s="124">
        <f t="shared" si="154"/>
        <v>3726.0079807070265</v>
      </c>
      <c r="K312" s="124">
        <f t="shared" si="154"/>
        <v>3962.5015526134034</v>
      </c>
      <c r="L312" s="124">
        <f t="shared" si="154"/>
        <v>4074.2576339473794</v>
      </c>
      <c r="M312" s="124">
        <f t="shared" si="154"/>
        <v>4084.5678042826612</v>
      </c>
      <c r="N312" s="124">
        <f t="shared" si="154"/>
        <v>3406.7720912402565</v>
      </c>
      <c r="O312" s="124">
        <f t="shared" si="154"/>
        <v>4144.7201810256001</v>
      </c>
      <c r="T312" s="41"/>
    </row>
    <row r="313" spans="1:30">
      <c r="B313" s="21" t="s">
        <v>287</v>
      </c>
      <c r="C313" s="155" t="s">
        <v>143</v>
      </c>
      <c r="D313" s="124">
        <f t="shared" ref="D313:O313" si="155">D$204/1000*$AA$303*$AA$304</f>
        <v>2370.2028226799998</v>
      </c>
      <c r="E313" s="124">
        <f t="shared" si="155"/>
        <v>2500.1156375066662</v>
      </c>
      <c r="F313" s="124">
        <f t="shared" si="155"/>
        <v>2630.028452333333</v>
      </c>
      <c r="G313" s="124">
        <f t="shared" si="155"/>
        <v>2759.9412671599994</v>
      </c>
      <c r="H313" s="124">
        <f t="shared" si="155"/>
        <v>2889.8540819866662</v>
      </c>
      <c r="I313" s="124">
        <f t="shared" si="155"/>
        <v>3019.7668968133326</v>
      </c>
      <c r="J313" s="124">
        <f t="shared" si="155"/>
        <v>3149.6797116399998</v>
      </c>
      <c r="K313" s="124">
        <f t="shared" si="155"/>
        <v>3279.5925264666662</v>
      </c>
      <c r="L313" s="124">
        <f t="shared" si="155"/>
        <v>3409.5053412933325</v>
      </c>
      <c r="M313" s="124">
        <f t="shared" si="155"/>
        <v>3548.9498028599992</v>
      </c>
      <c r="N313" s="124">
        <f t="shared" si="155"/>
        <v>11882.7862692</v>
      </c>
      <c r="O313" s="124">
        <f t="shared" si="155"/>
        <v>11072.596296299998</v>
      </c>
      <c r="T313" s="41"/>
    </row>
    <row r="314" spans="1:30">
      <c r="B314" s="108" t="s">
        <v>288</v>
      </c>
      <c r="C314" s="156" t="s">
        <v>274</v>
      </c>
      <c r="D314" s="109">
        <f t="shared" ref="D314:O314" si="156">D$311/D$56</f>
        <v>765.22533236994207</v>
      </c>
      <c r="E314" s="109">
        <f t="shared" si="156"/>
        <v>765.22533236994207</v>
      </c>
      <c r="F314" s="109">
        <f t="shared" si="156"/>
        <v>765.22533236994207</v>
      </c>
      <c r="G314" s="109">
        <f t="shared" si="156"/>
        <v>765.22533236994195</v>
      </c>
      <c r="H314" s="109">
        <f t="shared" si="156"/>
        <v>765.22533236994207</v>
      </c>
      <c r="I314" s="109">
        <f t="shared" si="156"/>
        <v>765.22533236994207</v>
      </c>
      <c r="J314" s="109">
        <f t="shared" si="156"/>
        <v>765.22533236994207</v>
      </c>
      <c r="K314" s="109">
        <f t="shared" si="156"/>
        <v>765.22533236994207</v>
      </c>
      <c r="L314" s="109">
        <f t="shared" si="156"/>
        <v>765.22533236994184</v>
      </c>
      <c r="M314" s="109">
        <f t="shared" si="156"/>
        <v>765.22533236994207</v>
      </c>
      <c r="N314" s="109">
        <f t="shared" si="156"/>
        <v>765.22533236994195</v>
      </c>
      <c r="O314" s="109">
        <f t="shared" si="156"/>
        <v>765.22533236994195</v>
      </c>
      <c r="T314" s="41"/>
    </row>
    <row r="315" spans="1:30">
      <c r="B315" s="108" t="s">
        <v>289</v>
      </c>
      <c r="C315" s="108"/>
      <c r="D315" s="110">
        <f>D$311/(D$300+D$311)</f>
        <v>0.16831671470784304</v>
      </c>
      <c r="E315" s="110">
        <f t="shared" ref="E315:O315" si="157">E$311/(E$300+E$311)</f>
        <v>0.18626568814562186</v>
      </c>
      <c r="F315" s="110">
        <f t="shared" si="157"/>
        <v>0.1809888363306682</v>
      </c>
      <c r="G315" s="110">
        <f t="shared" si="157"/>
        <v>0.18043204156504217</v>
      </c>
      <c r="H315" s="110">
        <f t="shared" si="157"/>
        <v>0.18106927358518926</v>
      </c>
      <c r="I315" s="110">
        <f t="shared" si="157"/>
        <v>0.17571664515204949</v>
      </c>
      <c r="J315" s="110">
        <f t="shared" si="157"/>
        <v>0.16686278625041456</v>
      </c>
      <c r="K315" s="110">
        <f t="shared" si="157"/>
        <v>0.16485264381795081</v>
      </c>
      <c r="L315" s="110">
        <f t="shared" si="157"/>
        <v>0.16412347435589225</v>
      </c>
      <c r="M315" s="110">
        <f t="shared" si="157"/>
        <v>0.17319503248183418</v>
      </c>
      <c r="N315" s="110">
        <f t="shared" si="157"/>
        <v>9.8439271356439123E-2</v>
      </c>
      <c r="O315" s="110">
        <f t="shared" si="157"/>
        <v>0.14896142410677407</v>
      </c>
      <c r="T315" s="41"/>
    </row>
    <row r="316" spans="1:30">
      <c r="T316" s="41"/>
    </row>
    <row r="317" spans="1:30">
      <c r="A317" s="4" t="s">
        <v>290</v>
      </c>
      <c r="T317" s="41"/>
    </row>
    <row r="318" spans="1:30">
      <c r="B318" s="21" t="s">
        <v>430</v>
      </c>
      <c r="C318" s="21"/>
      <c r="D318" s="352">
        <f>SUM(D319:D322)</f>
        <v>103021.66144395112</v>
      </c>
      <c r="E318" s="352">
        <f t="shared" ref="E318:O318" si="158">SUM(E319:E322)</f>
        <v>99853.336452211792</v>
      </c>
      <c r="F318" s="352">
        <f t="shared" si="158"/>
        <v>99847.651722152485</v>
      </c>
      <c r="G318" s="352">
        <f t="shared" si="158"/>
        <v>101239.72799296772</v>
      </c>
      <c r="H318" s="352">
        <f t="shared" si="158"/>
        <v>106936.31551882654</v>
      </c>
      <c r="I318" s="352">
        <f t="shared" si="158"/>
        <v>118530.2764220196</v>
      </c>
      <c r="J318" s="352">
        <f t="shared" si="158"/>
        <v>124326.83820106201</v>
      </c>
      <c r="K318" s="352">
        <f t="shared" si="158"/>
        <v>134582.30133778788</v>
      </c>
      <c r="L318" s="352">
        <f t="shared" si="158"/>
        <v>138277.7220240201</v>
      </c>
      <c r="M318" s="352">
        <f t="shared" si="158"/>
        <v>142366.30726849934</v>
      </c>
      <c r="N318" s="352">
        <f t="shared" si="158"/>
        <v>123447.17601932096</v>
      </c>
      <c r="O318" s="352">
        <f t="shared" si="158"/>
        <v>117335.77870522198</v>
      </c>
      <c r="T318" s="41"/>
    </row>
    <row r="319" spans="1:30">
      <c r="B319" s="21" t="s">
        <v>291</v>
      </c>
      <c r="C319" s="21" t="s">
        <v>143</v>
      </c>
      <c r="D319" s="352">
        <f t="shared" ref="D319:O319" si="159">D$146/1000*$AD$303*$AD$304</f>
        <v>42924.624893284767</v>
      </c>
      <c r="E319" s="352">
        <f t="shared" si="159"/>
        <v>45389.676380922698</v>
      </c>
      <c r="F319" s="352">
        <f t="shared" si="159"/>
        <v>46129.148791985943</v>
      </c>
      <c r="G319" s="352">
        <f t="shared" si="159"/>
        <v>47419.227665099119</v>
      </c>
      <c r="H319" s="352">
        <f t="shared" si="159"/>
        <v>53916.978931199992</v>
      </c>
      <c r="I319" s="352">
        <f t="shared" si="159"/>
        <v>60629.243892568222</v>
      </c>
      <c r="J319" s="352">
        <f t="shared" si="159"/>
        <v>62438.615542195184</v>
      </c>
      <c r="K319" s="352">
        <f t="shared" si="159"/>
        <v>69817.347152123126</v>
      </c>
      <c r="L319" s="352">
        <f t="shared" si="159"/>
        <v>69814.210168728721</v>
      </c>
      <c r="M319" s="352">
        <f t="shared" si="159"/>
        <v>73191.484396799977</v>
      </c>
      <c r="N319" s="352">
        <f t="shared" si="159"/>
        <v>66730.790649599978</v>
      </c>
      <c r="O319" s="352">
        <f t="shared" si="159"/>
        <v>65117.154009599981</v>
      </c>
      <c r="T319" s="41"/>
    </row>
    <row r="320" spans="1:30">
      <c r="B320" s="21" t="s">
        <v>292</v>
      </c>
      <c r="C320" s="21"/>
      <c r="D320" s="352">
        <f t="shared" ref="D320:O320" si="160">D$145/1000*$AA$303*$AA$304</f>
        <v>45148.916264072446</v>
      </c>
      <c r="E320" s="352">
        <f t="shared" si="160"/>
        <v>39470.231428781997</v>
      </c>
      <c r="F320" s="352">
        <f t="shared" si="160"/>
        <v>38602.935907480831</v>
      </c>
      <c r="G320" s="352">
        <f t="shared" si="160"/>
        <v>38308.764685521281</v>
      </c>
      <c r="H320" s="352">
        <f t="shared" si="160"/>
        <v>36922.921335828214</v>
      </c>
      <c r="I320" s="352">
        <f t="shared" si="160"/>
        <v>40602.620011979066</v>
      </c>
      <c r="J320" s="352">
        <f t="shared" si="160"/>
        <v>44107.125020948224</v>
      </c>
      <c r="K320" s="352">
        <f t="shared" si="160"/>
        <v>45850.837131112268</v>
      </c>
      <c r="L320" s="352">
        <f t="shared" si="160"/>
        <v>44824.772124447016</v>
      </c>
      <c r="M320" s="352">
        <f t="shared" si="160"/>
        <v>46342.016453367389</v>
      </c>
      <c r="N320" s="352">
        <f t="shared" si="160"/>
        <v>44347.416204860987</v>
      </c>
      <c r="O320" s="352">
        <f t="shared" si="160"/>
        <v>39597.320051981987</v>
      </c>
      <c r="T320" s="41"/>
    </row>
    <row r="321" spans="1:20">
      <c r="B321" s="21" t="s">
        <v>293</v>
      </c>
      <c r="C321" s="21"/>
      <c r="D321" s="352">
        <f t="shared" ref="D321:O321" si="161">D$165/1000*$AA$303*$AA$304</f>
        <v>8260.7605079999994</v>
      </c>
      <c r="E321" s="352">
        <f t="shared" si="161"/>
        <v>8566.1854120991084</v>
      </c>
      <c r="F321" s="352">
        <f t="shared" si="161"/>
        <v>8871.6103161982192</v>
      </c>
      <c r="G321" s="352">
        <f t="shared" si="161"/>
        <v>9177.0352202973263</v>
      </c>
      <c r="H321" s="352">
        <f t="shared" si="161"/>
        <v>9641.3209033964376</v>
      </c>
      <c r="I321" s="352">
        <f t="shared" si="161"/>
        <v>10097.981269103546</v>
      </c>
      <c r="J321" s="352">
        <f t="shared" si="161"/>
        <v>10554.641634810658</v>
      </c>
      <c r="K321" s="352">
        <f t="shared" si="161"/>
        <v>11011.302000517768</v>
      </c>
      <c r="L321" s="352">
        <f t="shared" si="161"/>
        <v>11467.962366224876</v>
      </c>
      <c r="M321" s="352">
        <f t="shared" si="161"/>
        <v>11924.622731931982</v>
      </c>
      <c r="N321" s="352">
        <f t="shared" si="161"/>
        <v>7584.0135894599989</v>
      </c>
      <c r="O321" s="352">
        <f t="shared" si="161"/>
        <v>7078.8363122399996</v>
      </c>
      <c r="T321" s="41"/>
    </row>
    <row r="322" spans="1:20">
      <c r="B322" s="21" t="s">
        <v>294</v>
      </c>
      <c r="C322" s="21"/>
      <c r="D322" s="124">
        <f t="shared" ref="D322:O322" si="162">D$161/1000*$AB$303*$AB$304</f>
        <v>6687.3597785938955</v>
      </c>
      <c r="E322" s="124">
        <f t="shared" si="162"/>
        <v>6427.2432304079994</v>
      </c>
      <c r="F322" s="124">
        <f t="shared" si="162"/>
        <v>6243.9567064875009</v>
      </c>
      <c r="G322" s="124">
        <f t="shared" si="162"/>
        <v>6334.7004220500012</v>
      </c>
      <c r="H322" s="124">
        <f t="shared" si="162"/>
        <v>6455.0943484018981</v>
      </c>
      <c r="I322" s="124">
        <f t="shared" si="162"/>
        <v>7200.431248368759</v>
      </c>
      <c r="J322" s="124">
        <f t="shared" si="162"/>
        <v>7226.4560031079427</v>
      </c>
      <c r="K322" s="124">
        <f t="shared" si="162"/>
        <v>7902.8150540347024</v>
      </c>
      <c r="L322" s="124">
        <f t="shared" si="162"/>
        <v>12170.777364619475</v>
      </c>
      <c r="M322" s="124">
        <f t="shared" si="162"/>
        <v>10908.183686400002</v>
      </c>
      <c r="N322" s="124">
        <f t="shared" si="162"/>
        <v>4784.9555754000003</v>
      </c>
      <c r="O322" s="124">
        <f t="shared" si="162"/>
        <v>5542.4683314000004</v>
      </c>
      <c r="T322" s="41"/>
    </row>
    <row r="323" spans="1:20">
      <c r="T323" s="41"/>
    </row>
    <row r="324" spans="1:20">
      <c r="A324" s="4" t="s">
        <v>295</v>
      </c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T324" s="41"/>
    </row>
    <row r="325" spans="1:20">
      <c r="B325" s="21" t="s">
        <v>431</v>
      </c>
      <c r="C325" s="21"/>
      <c r="D325" s="124">
        <f>SUM(D326:D329)</f>
        <v>19858.739017806678</v>
      </c>
      <c r="E325" s="124">
        <f t="shared" ref="E325:O325" si="163">SUM(E326:E329)</f>
        <v>20240.58221243478</v>
      </c>
      <c r="F325" s="124">
        <f t="shared" si="163"/>
        <v>21522.29544383644</v>
      </c>
      <c r="G325" s="124">
        <f t="shared" si="163"/>
        <v>22288.788817914232</v>
      </c>
      <c r="H325" s="124">
        <f t="shared" si="163"/>
        <v>23672.233991656911</v>
      </c>
      <c r="I325" s="124">
        <f t="shared" si="163"/>
        <v>25088.956157149849</v>
      </c>
      <c r="J325" s="124">
        <f t="shared" si="163"/>
        <v>26508.93783026762</v>
      </c>
      <c r="K325" s="124">
        <f t="shared" si="163"/>
        <v>27186.75259482531</v>
      </c>
      <c r="L325" s="124">
        <f t="shared" si="163"/>
        <v>25895.439272486732</v>
      </c>
      <c r="M325" s="124">
        <f t="shared" si="163"/>
        <v>25113.157826102775</v>
      </c>
      <c r="N325" s="124">
        <f t="shared" si="163"/>
        <v>24391.4949290558</v>
      </c>
      <c r="O325" s="124">
        <f t="shared" si="163"/>
        <v>22329.008726732398</v>
      </c>
      <c r="T325" s="41"/>
    </row>
    <row r="326" spans="1:20">
      <c r="A326" s="4"/>
      <c r="B326" s="21" t="s">
        <v>190</v>
      </c>
      <c r="C326" s="21"/>
      <c r="D326" s="352">
        <f t="shared" ref="D326:O326" si="164">D$190/1000*$AC$303*$AC$304</f>
        <v>586.27087046767792</v>
      </c>
      <c r="E326" s="352">
        <f t="shared" si="164"/>
        <v>627.81495846478208</v>
      </c>
      <c r="F326" s="352">
        <f t="shared" si="164"/>
        <v>635.3858164282201</v>
      </c>
      <c r="G326" s="352">
        <f t="shared" si="164"/>
        <v>652.06515749423409</v>
      </c>
      <c r="H326" s="352">
        <f t="shared" si="164"/>
        <v>666.53561165400004</v>
      </c>
      <c r="I326" s="352">
        <f t="shared" si="164"/>
        <v>674.42681434194014</v>
      </c>
      <c r="J326" s="352">
        <f t="shared" si="164"/>
        <v>685.60830738140396</v>
      </c>
      <c r="K326" s="352">
        <f t="shared" si="164"/>
        <v>710.83135597300202</v>
      </c>
      <c r="L326" s="352">
        <f t="shared" si="164"/>
        <v>739.50006727673997</v>
      </c>
      <c r="M326" s="352">
        <f t="shared" si="164"/>
        <v>753.72561129277574</v>
      </c>
      <c r="N326" s="352">
        <f t="shared" si="164"/>
        <v>734.16066343580314</v>
      </c>
      <c r="O326" s="352">
        <f t="shared" si="164"/>
        <v>761.02918230240016</v>
      </c>
      <c r="T326" s="41"/>
    </row>
    <row r="327" spans="1:20">
      <c r="A327" s="4"/>
      <c r="B327" s="21" t="s">
        <v>211</v>
      </c>
      <c r="C327" s="21"/>
      <c r="D327" s="352">
        <f t="shared" ref="D327:O327" si="165">D$191/1000*$Z$303*$Z$304</f>
        <v>12441.454650338999</v>
      </c>
      <c r="E327" s="352">
        <f t="shared" si="165"/>
        <v>12229.977317910001</v>
      </c>
      <c r="F327" s="352">
        <f t="shared" si="165"/>
        <v>12952.343252288221</v>
      </c>
      <c r="G327" s="352">
        <f t="shared" si="165"/>
        <v>13150.380846239999</v>
      </c>
      <c r="H327" s="352">
        <f t="shared" si="165"/>
        <v>13967.579126762912</v>
      </c>
      <c r="I327" s="352">
        <f t="shared" si="165"/>
        <v>14824.633650507914</v>
      </c>
      <c r="J327" s="352">
        <f t="shared" si="165"/>
        <v>15681.657391526216</v>
      </c>
      <c r="K327" s="352">
        <f t="shared" si="165"/>
        <v>15782.472668432316</v>
      </c>
      <c r="L327" s="352">
        <f t="shared" si="165"/>
        <v>13910.714195729999</v>
      </c>
      <c r="M327" s="352">
        <f t="shared" si="165"/>
        <v>12562.430766270001</v>
      </c>
      <c r="N327" s="352">
        <f t="shared" si="165"/>
        <v>14043.07992054</v>
      </c>
      <c r="O327" s="352">
        <f t="shared" si="165"/>
        <v>13707.54819951</v>
      </c>
      <c r="T327" s="41"/>
    </row>
    <row r="328" spans="1:20">
      <c r="B328" s="21" t="s">
        <v>296</v>
      </c>
      <c r="C328" s="21"/>
      <c r="D328" s="352">
        <f t="shared" ref="D328:O328" si="166">D$192/1000*$AA$303*$AA$304</f>
        <v>6831.013496999999</v>
      </c>
      <c r="E328" s="352">
        <f t="shared" si="166"/>
        <v>7382.7899360599977</v>
      </c>
      <c r="F328" s="352">
        <f t="shared" si="166"/>
        <v>7934.5663751199991</v>
      </c>
      <c r="G328" s="352">
        <f t="shared" si="166"/>
        <v>8486.3428141799959</v>
      </c>
      <c r="H328" s="352">
        <f t="shared" si="166"/>
        <v>9038.1192532399964</v>
      </c>
      <c r="I328" s="352">
        <f t="shared" si="166"/>
        <v>9589.8956922999951</v>
      </c>
      <c r="J328" s="352">
        <f t="shared" si="166"/>
        <v>10141.672131359997</v>
      </c>
      <c r="K328" s="352">
        <f t="shared" si="166"/>
        <v>10693.448570419992</v>
      </c>
      <c r="L328" s="352">
        <f t="shared" si="166"/>
        <v>11245.225009479993</v>
      </c>
      <c r="M328" s="352">
        <f t="shared" si="166"/>
        <v>11797.001448539999</v>
      </c>
      <c r="N328" s="352">
        <f t="shared" si="166"/>
        <v>9614.2543450799985</v>
      </c>
      <c r="O328" s="352">
        <f t="shared" si="166"/>
        <v>7860.431344919999</v>
      </c>
      <c r="T328" s="41"/>
    </row>
    <row r="329" spans="1:20">
      <c r="B329" s="21" t="s">
        <v>297</v>
      </c>
      <c r="C329" s="21"/>
      <c r="D329" s="21"/>
      <c r="E329" s="105"/>
      <c r="F329" s="105"/>
      <c r="G329" s="21"/>
      <c r="H329" s="105"/>
      <c r="I329" s="105"/>
      <c r="J329" s="105"/>
      <c r="K329" s="105"/>
      <c r="L329" s="105"/>
      <c r="M329" s="21"/>
      <c r="N329" s="21"/>
      <c r="O329" s="21"/>
      <c r="T329" s="41"/>
    </row>
    <row r="330" spans="1:20">
      <c r="T330" s="41"/>
    </row>
    <row r="331" spans="1:20">
      <c r="A331" s="4" t="s">
        <v>298</v>
      </c>
      <c r="D331" s="119"/>
      <c r="E331" s="119"/>
      <c r="F331" s="119"/>
      <c r="G331" s="119"/>
      <c r="H331" s="119"/>
      <c r="I331" s="119"/>
      <c r="J331" s="119"/>
      <c r="K331" s="119"/>
      <c r="L331" s="119"/>
      <c r="T331" s="41"/>
    </row>
    <row r="332" spans="1:20">
      <c r="B332" s="21" t="s">
        <v>432</v>
      </c>
      <c r="C332" s="21"/>
      <c r="D332" s="105">
        <f>SUM(D333:D334)</f>
        <v>8990.7427547783991</v>
      </c>
      <c r="E332" s="105">
        <f t="shared" ref="E332:O332" si="167">SUM(E333:E334)</f>
        <v>9057.3047466818407</v>
      </c>
      <c r="F332" s="105">
        <f t="shared" si="167"/>
        <v>8389.7057500502415</v>
      </c>
      <c r="G332" s="105">
        <f t="shared" si="167"/>
        <v>8608.7394246585609</v>
      </c>
      <c r="H332" s="105">
        <f t="shared" si="167"/>
        <v>8833.427523642149</v>
      </c>
      <c r="I332" s="105">
        <f t="shared" si="167"/>
        <v>9063.9799820092085</v>
      </c>
      <c r="J332" s="105">
        <f t="shared" si="167"/>
        <v>9300.5498595396512</v>
      </c>
      <c r="K332" s="105">
        <f t="shared" si="167"/>
        <v>9543.2942108736333</v>
      </c>
      <c r="L332" s="105">
        <f t="shared" si="167"/>
        <v>9976.2436443106799</v>
      </c>
      <c r="M332" s="105">
        <f t="shared" si="167"/>
        <v>10236.218810280079</v>
      </c>
      <c r="N332" s="105">
        <f t="shared" si="167"/>
        <v>10542.28051404</v>
      </c>
      <c r="O332" s="105">
        <f t="shared" si="167"/>
        <v>10314.834282720001</v>
      </c>
      <c r="T332" s="41"/>
    </row>
    <row r="333" spans="1:20">
      <c r="B333" s="21" t="s">
        <v>299</v>
      </c>
      <c r="C333" s="21"/>
      <c r="D333" s="124">
        <f t="shared" ref="D333:O333" si="168">D$133/1000*$AC$303*$AC$304</f>
        <v>8990.7427547783991</v>
      </c>
      <c r="E333" s="124">
        <f t="shared" si="168"/>
        <v>9057.3047466818407</v>
      </c>
      <c r="F333" s="124">
        <f t="shared" si="168"/>
        <v>8389.7057500502415</v>
      </c>
      <c r="G333" s="124">
        <f t="shared" si="168"/>
        <v>8608.7394246585609</v>
      </c>
      <c r="H333" s="124">
        <f t="shared" si="168"/>
        <v>8833.427523642149</v>
      </c>
      <c r="I333" s="124">
        <f t="shared" si="168"/>
        <v>9063.9799820092085</v>
      </c>
      <c r="J333" s="124">
        <f t="shared" si="168"/>
        <v>9300.5498595396512</v>
      </c>
      <c r="K333" s="124">
        <f t="shared" si="168"/>
        <v>9543.2942108736333</v>
      </c>
      <c r="L333" s="124">
        <f t="shared" si="168"/>
        <v>9976.2436443106799</v>
      </c>
      <c r="M333" s="124">
        <f t="shared" si="168"/>
        <v>10236.218810280079</v>
      </c>
      <c r="N333" s="124">
        <f t="shared" si="168"/>
        <v>10542.28051404</v>
      </c>
      <c r="O333" s="124">
        <f t="shared" si="168"/>
        <v>10314.834282720001</v>
      </c>
      <c r="T333" s="41"/>
    </row>
    <row r="334" spans="1:20">
      <c r="B334" s="21" t="s">
        <v>300</v>
      </c>
      <c r="C334" s="21"/>
      <c r="D334" s="105"/>
      <c r="E334" s="105"/>
      <c r="F334" s="105"/>
      <c r="G334" s="105"/>
      <c r="H334" s="105"/>
      <c r="I334" s="105"/>
      <c r="J334" s="105"/>
      <c r="K334" s="105"/>
      <c r="L334" s="105"/>
      <c r="M334" s="21"/>
      <c r="N334" s="21"/>
      <c r="O334" s="21"/>
      <c r="T334" s="41"/>
    </row>
    <row r="335" spans="1:20">
      <c r="T335" s="41"/>
    </row>
    <row r="336" spans="1:20">
      <c r="A336" s="4" t="s">
        <v>301</v>
      </c>
      <c r="D336" s="119"/>
      <c r="E336" s="119"/>
      <c r="F336" s="119"/>
      <c r="G336" s="119"/>
      <c r="H336" s="119"/>
      <c r="I336" s="119"/>
      <c r="J336" s="119"/>
      <c r="K336" s="119"/>
      <c r="L336" s="119"/>
      <c r="T336" s="41"/>
    </row>
    <row r="337" spans="1:20">
      <c r="B337" s="21" t="s">
        <v>433</v>
      </c>
      <c r="C337" s="21"/>
      <c r="D337" s="105">
        <f>SUM(D338:D339)</f>
        <v>4549.8939343609609</v>
      </c>
      <c r="E337" s="105">
        <f t="shared" ref="E337:O337" si="169">SUM(E338:E339)</f>
        <v>4492.4835421331245</v>
      </c>
      <c r="F337" s="105">
        <f t="shared" si="169"/>
        <v>4682.7264808694144</v>
      </c>
      <c r="G337" s="105">
        <f t="shared" si="169"/>
        <v>4867.7559789845391</v>
      </c>
      <c r="H337" s="105">
        <f t="shared" si="169"/>
        <v>5039.7411872346793</v>
      </c>
      <c r="I337" s="105">
        <f t="shared" si="169"/>
        <v>5464.584831154014</v>
      </c>
      <c r="J337" s="105">
        <f t="shared" si="169"/>
        <v>5880.2077557479934</v>
      </c>
      <c r="K337" s="105">
        <f t="shared" si="169"/>
        <v>6203.1573698785478</v>
      </c>
      <c r="L337" s="105">
        <f t="shared" si="169"/>
        <v>6380.3292410180848</v>
      </c>
      <c r="M337" s="105">
        <f t="shared" si="169"/>
        <v>6963.4226973248242</v>
      </c>
      <c r="N337" s="105">
        <f t="shared" si="169"/>
        <v>6224.3241819989998</v>
      </c>
      <c r="O337" s="105">
        <f t="shared" si="169"/>
        <v>6967.9514884979981</v>
      </c>
      <c r="T337" s="41"/>
    </row>
    <row r="338" spans="1:20" ht="14.25" customHeight="1">
      <c r="B338" s="21" t="s">
        <v>302</v>
      </c>
      <c r="C338" s="21"/>
      <c r="D338" s="124">
        <f>D$223/1000*$AA$303*$AA$304</f>
        <v>4549.8939343609609</v>
      </c>
      <c r="E338" s="124">
        <f t="shared" ref="E338:M338" si="170">E$223/1000*$AA$303*$AA$304</f>
        <v>4492.4835421331245</v>
      </c>
      <c r="F338" s="124">
        <f t="shared" si="170"/>
        <v>4682.7264808694144</v>
      </c>
      <c r="G338" s="124">
        <f t="shared" si="170"/>
        <v>4867.7559789845391</v>
      </c>
      <c r="H338" s="124">
        <f t="shared" si="170"/>
        <v>5039.7411872346793</v>
      </c>
      <c r="I338" s="124">
        <f t="shared" si="170"/>
        <v>5464.584831154014</v>
      </c>
      <c r="J338" s="124">
        <f t="shared" si="170"/>
        <v>5880.2077557479934</v>
      </c>
      <c r="K338" s="124">
        <f t="shared" si="170"/>
        <v>6203.1573698785478</v>
      </c>
      <c r="L338" s="124">
        <f t="shared" si="170"/>
        <v>6380.3292410180848</v>
      </c>
      <c r="M338" s="124">
        <f t="shared" si="170"/>
        <v>6963.4226973248242</v>
      </c>
      <c r="N338" s="124">
        <f>N$223/1000*$AA$303*$AA$304</f>
        <v>6224.3241819989998</v>
      </c>
      <c r="O338" s="124">
        <f>O$223/1000*$AA$303*$AA$304</f>
        <v>6967.9514884979981</v>
      </c>
      <c r="Q338" s="348" t="s">
        <v>303</v>
      </c>
      <c r="R338" s="348">
        <v>2018</v>
      </c>
      <c r="T338" s="41"/>
    </row>
    <row r="339" spans="1:20">
      <c r="B339" s="21" t="s">
        <v>434</v>
      </c>
      <c r="C339" s="21"/>
      <c r="D339" s="105"/>
      <c r="E339" s="105"/>
      <c r="F339" s="105"/>
      <c r="G339" s="105"/>
      <c r="H339" s="105"/>
      <c r="I339" s="105"/>
      <c r="J339" s="105"/>
      <c r="K339" s="105"/>
      <c r="L339" s="105"/>
      <c r="M339" s="21"/>
      <c r="N339" s="21"/>
      <c r="O339" s="21"/>
      <c r="Q339" s="349" t="s">
        <v>304</v>
      </c>
      <c r="R339" s="413">
        <v>332678</v>
      </c>
      <c r="S339" s="26">
        <f>L300+L311</f>
        <v>336841.21853355848</v>
      </c>
      <c r="T339" s="41"/>
    </row>
    <row r="340" spans="1:20">
      <c r="D340" s="119"/>
      <c r="E340" s="119"/>
      <c r="F340" s="119"/>
      <c r="G340" s="119"/>
      <c r="H340" s="119"/>
      <c r="I340" s="119"/>
      <c r="J340" s="119"/>
      <c r="K340" s="119"/>
      <c r="L340" s="119"/>
      <c r="Q340" s="349"/>
      <c r="R340" s="413"/>
      <c r="S340" s="26"/>
      <c r="T340" s="41"/>
    </row>
    <row r="341" spans="1:20">
      <c r="A341" s="4" t="s">
        <v>305</v>
      </c>
      <c r="Q341" s="70" t="s">
        <v>306</v>
      </c>
      <c r="R341" s="413"/>
      <c r="T341" s="41"/>
    </row>
    <row r="342" spans="1:20">
      <c r="Q342" s="349" t="s">
        <v>307</v>
      </c>
      <c r="R342" s="350">
        <v>143020</v>
      </c>
      <c r="S342" s="26">
        <f>L318</f>
        <v>138277.7220240201</v>
      </c>
      <c r="T342" s="41"/>
    </row>
    <row r="343" spans="1:20">
      <c r="B343" s="421" t="s">
        <v>436</v>
      </c>
      <c r="C343" s="422"/>
      <c r="D343" s="423">
        <f t="shared" ref="D343:O343" si="171">D$300/D$48</f>
        <v>693.59553610355317</v>
      </c>
      <c r="E343" s="423">
        <f t="shared" si="171"/>
        <v>685.79448685559339</v>
      </c>
      <c r="F343" s="423">
        <f t="shared" si="171"/>
        <v>692.13187687038089</v>
      </c>
      <c r="G343" s="423">
        <f t="shared" si="171"/>
        <v>668.16397813518074</v>
      </c>
      <c r="H343" s="423">
        <f t="shared" si="171"/>
        <v>658.13766231195132</v>
      </c>
      <c r="I343" s="423">
        <f t="shared" si="171"/>
        <v>663.05716715725623</v>
      </c>
      <c r="J343" s="423">
        <f t="shared" si="171"/>
        <v>658.29116182227244</v>
      </c>
      <c r="K343" s="423">
        <f t="shared" si="171"/>
        <v>653.20936115483153</v>
      </c>
      <c r="L343" s="423">
        <f t="shared" si="171"/>
        <v>658.11609971372354</v>
      </c>
      <c r="M343" s="423">
        <f t="shared" si="171"/>
        <v>661.70148889240647</v>
      </c>
      <c r="N343" s="423">
        <f t="shared" si="171"/>
        <v>658.58793274113509</v>
      </c>
      <c r="O343" s="423">
        <f t="shared" si="171"/>
        <v>655.48369688435082</v>
      </c>
      <c r="Q343" s="349" t="s">
        <v>308</v>
      </c>
      <c r="R343" s="350">
        <v>19710</v>
      </c>
      <c r="S343" s="353">
        <f>L325</f>
        <v>25895.439272486732</v>
      </c>
      <c r="T343" s="41"/>
    </row>
    <row r="344" spans="1:20">
      <c r="B344" s="422"/>
      <c r="C344" s="422"/>
      <c r="D344" s="423"/>
      <c r="E344" s="423"/>
      <c r="F344" s="423"/>
      <c r="G344" s="423"/>
      <c r="H344" s="423"/>
      <c r="I344" s="423"/>
      <c r="J344" s="423"/>
      <c r="K344" s="423"/>
      <c r="L344" s="423"/>
      <c r="M344" s="423"/>
      <c r="N344" s="423"/>
      <c r="O344" s="423"/>
      <c r="Q344" s="349"/>
      <c r="R344" s="350"/>
      <c r="S344" s="353"/>
      <c r="T344" s="41"/>
    </row>
    <row r="345" spans="1:20" ht="18">
      <c r="B345" s="113" t="s">
        <v>309</v>
      </c>
      <c r="C345" s="422" t="s">
        <v>437</v>
      </c>
      <c r="D345" s="423">
        <f>D$298/D$14</f>
        <v>3.3019080304988475</v>
      </c>
      <c r="E345" s="423">
        <f>E$298/E$14</f>
        <v>3.0887252708054569</v>
      </c>
      <c r="F345" s="423">
        <f>F$298/F$14</f>
        <v>3.2453598794789951</v>
      </c>
      <c r="G345" s="423">
        <f>G$298/G$14</f>
        <v>3.0611796993363543</v>
      </c>
      <c r="H345" s="423">
        <f>H$298/H$14</f>
        <v>3.2027374790993544</v>
      </c>
      <c r="I345" s="423">
        <f>I$298/I$14</f>
        <v>3.2269567239216328</v>
      </c>
      <c r="J345" s="423">
        <f>J$298/J$14</f>
        <v>3.1677584176071525</v>
      </c>
      <c r="K345" s="423">
        <f>K$298/K$14</f>
        <v>3.1559744651799173</v>
      </c>
      <c r="L345" s="423">
        <f>L$298/L$14</f>
        <v>3.2254449008539332</v>
      </c>
      <c r="M345" s="423">
        <f>M$298/M$14</f>
        <v>3.0741738147047268</v>
      </c>
      <c r="N345" s="423">
        <f>N$298/N$14</f>
        <v>3.3184894257093496</v>
      </c>
      <c r="O345" s="423">
        <f>O$298/O$14</f>
        <v>3.2427761396755277</v>
      </c>
      <c r="Q345" s="349" t="s">
        <v>85</v>
      </c>
      <c r="R345" s="350">
        <v>12540</v>
      </c>
      <c r="S345" s="353">
        <f>L333</f>
        <v>9976.2436443106799</v>
      </c>
    </row>
    <row r="346" spans="1:20" ht="30">
      <c r="Q346" s="349" t="s">
        <v>310</v>
      </c>
      <c r="R346" s="350">
        <v>8520</v>
      </c>
      <c r="S346" s="26">
        <f>L338</f>
        <v>6380.3292410180848</v>
      </c>
    </row>
    <row r="347" spans="1:20" ht="18.75">
      <c r="E347" s="146" t="s">
        <v>311</v>
      </c>
      <c r="I347" t="s">
        <v>143</v>
      </c>
      <c r="Q347" s="349" t="s">
        <v>312</v>
      </c>
      <c r="R347" s="350">
        <v>3340</v>
      </c>
      <c r="S347" s="26">
        <f>L312+L313</f>
        <v>7483.762975240712</v>
      </c>
    </row>
    <row r="348" spans="1:20">
      <c r="Q348" s="349" t="s">
        <v>92</v>
      </c>
      <c r="R348" s="351">
        <v>519808</v>
      </c>
      <c r="S348" s="26">
        <f>SUM(S339:S347)</f>
        <v>524854.7156906348</v>
      </c>
    </row>
    <row r="349" spans="1:20">
      <c r="D349" s="2">
        <v>2010</v>
      </c>
      <c r="E349" s="2">
        <v>2011</v>
      </c>
      <c r="F349" s="2">
        <v>2012</v>
      </c>
      <c r="G349" s="2">
        <v>2013</v>
      </c>
      <c r="H349" s="2">
        <v>2014</v>
      </c>
      <c r="I349" s="2">
        <v>2015</v>
      </c>
      <c r="J349" s="2">
        <v>2016</v>
      </c>
      <c r="K349" s="2">
        <v>2017</v>
      </c>
      <c r="L349" s="2">
        <v>2018</v>
      </c>
      <c r="M349" s="2">
        <v>2019</v>
      </c>
      <c r="N349" s="2">
        <v>2020</v>
      </c>
      <c r="O349" s="2">
        <v>2021</v>
      </c>
    </row>
    <row r="350" spans="1:20">
      <c r="C350" s="228" t="s">
        <v>156</v>
      </c>
      <c r="D350" s="41">
        <v>48825</v>
      </c>
      <c r="E350" s="41">
        <v>46000</v>
      </c>
      <c r="F350" s="41">
        <v>42941</v>
      </c>
      <c r="G350" s="41">
        <v>44362.754451000001</v>
      </c>
      <c r="H350" s="41">
        <v>44691.507591000001</v>
      </c>
      <c r="I350" s="41">
        <v>47336.857607999998</v>
      </c>
      <c r="J350" s="41">
        <v>49220.434046999995</v>
      </c>
      <c r="K350" s="41">
        <v>50715.155660999997</v>
      </c>
      <c r="L350" s="41">
        <v>52490.186109135</v>
      </c>
      <c r="M350" s="41">
        <v>55843.913565690003</v>
      </c>
      <c r="N350" s="41">
        <v>46213</v>
      </c>
      <c r="O350" s="41">
        <v>48034</v>
      </c>
    </row>
    <row r="351" spans="1:20">
      <c r="C351" s="228" t="s">
        <v>158</v>
      </c>
      <c r="D351" s="41">
        <v>54513.369999999995</v>
      </c>
      <c r="E351" s="41">
        <v>65370.98</v>
      </c>
      <c r="F351" s="41">
        <v>68099.696486999994</v>
      </c>
      <c r="G351" s="41">
        <v>71225</v>
      </c>
      <c r="H351" s="41">
        <v>72527.441063999999</v>
      </c>
      <c r="I351" s="41">
        <v>75078.421881999981</v>
      </c>
      <c r="J351" s="41">
        <v>81198.966434000002</v>
      </c>
      <c r="K351" s="41">
        <v>82939.354242000001</v>
      </c>
      <c r="L351" s="41">
        <v>84175.320189999999</v>
      </c>
      <c r="M351" s="41">
        <v>86510.525783999998</v>
      </c>
      <c r="N351" s="41">
        <v>88555</v>
      </c>
      <c r="O351" s="41">
        <v>85787</v>
      </c>
    </row>
    <row r="352" spans="1:20">
      <c r="C352" s="228" t="s">
        <v>160</v>
      </c>
      <c r="D352" s="41">
        <v>13965.615003000001</v>
      </c>
      <c r="E352" s="41">
        <v>14767.624574999998</v>
      </c>
      <c r="F352" s="41">
        <v>15008.213445000001</v>
      </c>
      <c r="G352" s="41">
        <v>15427.943259999998</v>
      </c>
      <c r="H352" s="41">
        <v>17542</v>
      </c>
      <c r="I352" s="41">
        <v>19725.849212000001</v>
      </c>
      <c r="J352" s="41">
        <v>18855.084509</v>
      </c>
      <c r="K352" s="41">
        <v>22715.217506999998</v>
      </c>
      <c r="L352" s="41">
        <v>22714.196883000001</v>
      </c>
      <c r="M352" s="41">
        <v>23813</v>
      </c>
      <c r="N352" s="41">
        <v>21711</v>
      </c>
      <c r="O352" s="41">
        <v>21186</v>
      </c>
    </row>
    <row r="353" spans="3:15">
      <c r="C353" s="228" t="s">
        <v>162</v>
      </c>
      <c r="D353" s="41">
        <v>2118.7317760000001</v>
      </c>
      <c r="E353" s="41">
        <v>2036.32</v>
      </c>
      <c r="F353" s="41">
        <v>1978.25</v>
      </c>
      <c r="G353" s="41">
        <v>2007</v>
      </c>
      <c r="H353" s="41">
        <v>2045.1439679999999</v>
      </c>
      <c r="I353" s="41">
        <v>2281.2863360000001</v>
      </c>
      <c r="J353" s="41">
        <v>2289.5316640000001</v>
      </c>
      <c r="K353" s="41">
        <v>2503.8200320000001</v>
      </c>
      <c r="L353" s="41">
        <v>3856.0229440000003</v>
      </c>
      <c r="M353" s="41">
        <v>3455.6631296723476</v>
      </c>
      <c r="N353" s="41">
        <v>1516</v>
      </c>
      <c r="O353" s="41">
        <v>1756</v>
      </c>
    </row>
    <row r="354" spans="3:15">
      <c r="C354" s="228" t="s">
        <v>164</v>
      </c>
      <c r="D354" s="41">
        <v>3969.5409999999997</v>
      </c>
      <c r="E354" s="41">
        <v>4250.8289999999997</v>
      </c>
      <c r="F354" s="41">
        <v>4302.09</v>
      </c>
      <c r="G354" s="41">
        <v>4415.0230000000001</v>
      </c>
      <c r="H354" s="41">
        <v>4535.4184000000005</v>
      </c>
      <c r="I354" s="41">
        <v>4655.8138000000008</v>
      </c>
      <c r="J354" s="41">
        <v>4776.2092000000011</v>
      </c>
      <c r="K354" s="41">
        <v>4896.6046000000015</v>
      </c>
      <c r="L354" s="41">
        <v>5017</v>
      </c>
      <c r="M354" s="41">
        <v>5103.3487547999994</v>
      </c>
      <c r="N354" s="41">
        <v>4649</v>
      </c>
      <c r="O354" s="41">
        <v>4727</v>
      </c>
    </row>
    <row r="355" spans="3:15">
      <c r="C355" s="228" t="s">
        <v>166</v>
      </c>
      <c r="D355" s="41">
        <v>127.20870400000001</v>
      </c>
      <c r="E355" s="41">
        <v>95.274816000000015</v>
      </c>
      <c r="F355" s="41">
        <v>83.931120000000007</v>
      </c>
      <c r="G355" s="41">
        <v>64.750560000000007</v>
      </c>
      <c r="H355" s="41">
        <v>60.803120000000007</v>
      </c>
      <c r="I355" s="41">
        <v>58.149280000000005</v>
      </c>
      <c r="J355" s="41">
        <v>73.900000000000006</v>
      </c>
      <c r="K355" s="41">
        <v>61.09</v>
      </c>
      <c r="L355" s="41">
        <v>98</v>
      </c>
      <c r="M355" s="41">
        <v>61</v>
      </c>
      <c r="N355" s="41">
        <v>46</v>
      </c>
      <c r="O355" s="41">
        <v>38</v>
      </c>
    </row>
    <row r="356" spans="3:15">
      <c r="C356" s="229" t="s">
        <v>168</v>
      </c>
      <c r="D356" s="148">
        <v>26.161919999999999</v>
      </c>
      <c r="E356" s="148">
        <v>4.3600000000000003</v>
      </c>
      <c r="F356" s="148">
        <v>28.2</v>
      </c>
      <c r="G356" s="148">
        <v>25</v>
      </c>
      <c r="H356" s="148">
        <v>31.378320000000002</v>
      </c>
      <c r="I356" s="148">
        <v>26.10144</v>
      </c>
      <c r="J356" s="148">
        <v>27.87912</v>
      </c>
      <c r="K356" s="148">
        <v>3.8023199999999999</v>
      </c>
      <c r="L356" s="148">
        <v>7.0106399999999995</v>
      </c>
      <c r="M356" s="148">
        <v>7.3360799999999999</v>
      </c>
      <c r="N356" s="261">
        <v>53.32</v>
      </c>
      <c r="O356" s="261">
        <v>88</v>
      </c>
    </row>
    <row r="357" spans="3:15">
      <c r="C357" s="228" t="s">
        <v>313</v>
      </c>
      <c r="D357" s="149">
        <f>SUM(D350:D356)</f>
        <v>123545.628403</v>
      </c>
      <c r="E357" s="150">
        <f t="shared" ref="E357:O357" si="172">SUM(E350:E356)</f>
        <v>132525.38839099999</v>
      </c>
      <c r="F357" s="150">
        <f t="shared" si="172"/>
        <v>132441.38105200001</v>
      </c>
      <c r="G357" s="150">
        <f t="shared" si="172"/>
        <v>137527.47127099996</v>
      </c>
      <c r="H357" s="150">
        <f t="shared" si="172"/>
        <v>141433.69246299998</v>
      </c>
      <c r="I357" s="150">
        <f t="shared" si="172"/>
        <v>149162.47955799999</v>
      </c>
      <c r="J357" s="150">
        <f t="shared" si="172"/>
        <v>156442.00497400001</v>
      </c>
      <c r="K357" s="150">
        <f t="shared" si="172"/>
        <v>163835.04436199996</v>
      </c>
      <c r="L357" s="150">
        <f t="shared" si="172"/>
        <v>168357.73676613497</v>
      </c>
      <c r="M357" s="150">
        <f t="shared" si="172"/>
        <v>174794.78731416236</v>
      </c>
      <c r="N357" s="370">
        <f t="shared" si="172"/>
        <v>162743.32</v>
      </c>
      <c r="O357" s="369">
        <f t="shared" si="172"/>
        <v>161616</v>
      </c>
    </row>
    <row r="358" spans="3:15">
      <c r="C358" s="228" t="s">
        <v>151</v>
      </c>
      <c r="D358" s="151"/>
      <c r="E358" s="147"/>
      <c r="F358" s="147"/>
      <c r="G358" s="147"/>
      <c r="H358" s="152">
        <f>(M357/D357)^(1/9)-1</f>
        <v>3.9308707848735081E-2</v>
      </c>
      <c r="I358" s="147"/>
      <c r="J358" s="147"/>
      <c r="K358" s="147"/>
      <c r="L358" s="147"/>
      <c r="M358" s="147"/>
      <c r="N358" s="371"/>
      <c r="O358" s="372"/>
    </row>
    <row r="359" spans="3:15">
      <c r="D359" s="41"/>
      <c r="E359" s="41"/>
      <c r="F359" s="41"/>
      <c r="G359" s="41"/>
      <c r="H359" s="41"/>
      <c r="I359" s="41"/>
      <c r="J359" s="41"/>
      <c r="K359" s="41"/>
      <c r="L359" s="41"/>
    </row>
  </sheetData>
  <mergeCells count="26">
    <mergeCell ref="R339:R341"/>
    <mergeCell ref="V304:X304"/>
    <mergeCell ref="V305:X305"/>
    <mergeCell ref="V306:X306"/>
    <mergeCell ref="V307:X307"/>
    <mergeCell ref="V308:X308"/>
    <mergeCell ref="V299:X299"/>
    <mergeCell ref="V300:X300"/>
    <mergeCell ref="V301:X301"/>
    <mergeCell ref="V302:X302"/>
    <mergeCell ref="V303:X303"/>
    <mergeCell ref="C71:C81"/>
    <mergeCell ref="C46:C56"/>
    <mergeCell ref="C190:C192"/>
    <mergeCell ref="C194:C196"/>
    <mergeCell ref="C203:C204"/>
    <mergeCell ref="C148:C150"/>
    <mergeCell ref="C152:C154"/>
    <mergeCell ref="C156:C157"/>
    <mergeCell ref="C173:C178"/>
    <mergeCell ref="C232:C239"/>
    <mergeCell ref="C241:C246"/>
    <mergeCell ref="C117:C125"/>
    <mergeCell ref="C85:C102"/>
    <mergeCell ref="C131:C146"/>
    <mergeCell ref="C206:C20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47"/>
  <sheetViews>
    <sheetView topLeftCell="H1" workbookViewId="0">
      <selection activeCell="F21" sqref="F21"/>
    </sheetView>
  </sheetViews>
  <sheetFormatPr defaultRowHeight="15"/>
  <cols>
    <col min="2" max="2" width="21.85546875" customWidth="1"/>
    <col min="3" max="3" width="10.85546875" customWidth="1"/>
    <col min="4" max="4" width="10.140625" customWidth="1"/>
  </cols>
  <sheetData>
    <row r="2" spans="1:6" ht="21">
      <c r="A2" s="167" t="s">
        <v>314</v>
      </c>
    </row>
    <row r="4" spans="1:6">
      <c r="B4" s="1" t="s">
        <v>6</v>
      </c>
      <c r="C4" s="2">
        <v>2018</v>
      </c>
      <c r="D4" s="1"/>
      <c r="E4" s="2">
        <v>2019</v>
      </c>
      <c r="F4" s="1"/>
    </row>
    <row r="5" spans="1:6">
      <c r="C5" s="169" t="s">
        <v>28</v>
      </c>
      <c r="D5" s="165" t="s">
        <v>41</v>
      </c>
      <c r="E5" s="169" t="s">
        <v>28</v>
      </c>
      <c r="F5" s="165" t="s">
        <v>41</v>
      </c>
    </row>
    <row r="6" spans="1:6">
      <c r="B6" s="3" t="s">
        <v>315</v>
      </c>
      <c r="C6" s="10">
        <v>416.89648099999999</v>
      </c>
      <c r="D6" s="7">
        <f>C6/$C$13</f>
        <v>0.8420686374182702</v>
      </c>
      <c r="E6" s="10">
        <v>439.01102200000003</v>
      </c>
      <c r="F6" s="7">
        <f>$E6/$E$13</f>
        <v>0.82989181033716553</v>
      </c>
    </row>
    <row r="7" spans="1:6">
      <c r="B7" s="11" t="s">
        <v>316</v>
      </c>
      <c r="C7" s="12">
        <v>7.3924099999999999</v>
      </c>
      <c r="D7" s="7">
        <f>C7/$C$13</f>
        <v>1.4931564308256167E-2</v>
      </c>
      <c r="E7" s="12">
        <v>4.8844279999999998</v>
      </c>
      <c r="F7" s="7">
        <f t="shared" ref="F7:F13" si="0">$E7/$E$13</f>
        <v>9.2333599664874474E-3</v>
      </c>
    </row>
    <row r="8" spans="1:6">
      <c r="B8" s="11" t="s">
        <v>317</v>
      </c>
      <c r="C8" s="12">
        <v>3.5348129999999998</v>
      </c>
      <c r="D8" s="7">
        <f>C8/$C$13</f>
        <v>7.1397944144277574E-3</v>
      </c>
      <c r="E8" s="12">
        <v>4.0328390000000001</v>
      </c>
      <c r="F8" s="7">
        <f t="shared" si="0"/>
        <v>7.6235444915738904E-3</v>
      </c>
    </row>
    <row r="9" spans="1:6">
      <c r="B9" s="168" t="s">
        <v>318</v>
      </c>
      <c r="C9" s="37">
        <f>SUM(C6:C8)</f>
        <v>427.82370399999996</v>
      </c>
      <c r="D9" s="7">
        <f>C9/$C$13</f>
        <v>0.86413999614095405</v>
      </c>
      <c r="E9" s="37">
        <f>SUM(E6:E8)</f>
        <v>447.92828900000006</v>
      </c>
      <c r="F9" s="140">
        <f t="shared" si="0"/>
        <v>0.84674871479522695</v>
      </c>
    </row>
    <row r="11" spans="1:6">
      <c r="B11" s="3" t="s">
        <v>319</v>
      </c>
      <c r="C11" s="10">
        <v>67.2624</v>
      </c>
      <c r="D11" s="7">
        <f>C11/$C$13</f>
        <v>0.1358600038590459</v>
      </c>
      <c r="E11" s="10">
        <v>81.069607510920008</v>
      </c>
      <c r="F11" s="140">
        <f t="shared" si="0"/>
        <v>0.15325128520477299</v>
      </c>
    </row>
    <row r="13" spans="1:6">
      <c r="B13" s="25" t="s">
        <v>320</v>
      </c>
      <c r="C13" s="45">
        <f>C9+C11</f>
        <v>495.08610399999998</v>
      </c>
      <c r="D13" s="7">
        <f>C13/$C$13</f>
        <v>1</v>
      </c>
      <c r="E13" s="45">
        <f>E9+E11</f>
        <v>528.9978965109201</v>
      </c>
      <c r="F13" s="140">
        <f t="shared" si="0"/>
        <v>1</v>
      </c>
    </row>
    <row r="20" spans="1:6" ht="21">
      <c r="A20" s="167" t="s">
        <v>321</v>
      </c>
    </row>
    <row r="22" spans="1:6">
      <c r="B22" s="30" t="s">
        <v>322</v>
      </c>
      <c r="C22" s="9"/>
    </row>
    <row r="23" spans="1:6">
      <c r="B23" s="65" t="s">
        <v>323</v>
      </c>
    </row>
    <row r="24" spans="1:6">
      <c r="B24" s="9"/>
      <c r="C24" s="409" t="s">
        <v>324</v>
      </c>
      <c r="D24" s="411"/>
      <c r="E24" s="409" t="s">
        <v>325</v>
      </c>
      <c r="F24" s="411"/>
    </row>
    <row r="25" spans="1:6">
      <c r="B25" s="66" t="s">
        <v>326</v>
      </c>
      <c r="C25" s="67">
        <v>212.3</v>
      </c>
      <c r="D25" s="68">
        <f>$C25/$C$29</f>
        <v>0.54999999999999993</v>
      </c>
      <c r="E25" s="8">
        <v>217.30911884</v>
      </c>
      <c r="F25" s="7">
        <f>$E25/$E$29</f>
        <v>0.54281148512253163</v>
      </c>
    </row>
    <row r="26" spans="1:6">
      <c r="B26" s="66" t="s">
        <v>85</v>
      </c>
      <c r="C26" s="67">
        <v>126.29</v>
      </c>
      <c r="D26" s="68">
        <f>$C26/$C$29</f>
        <v>0.32717616580310876</v>
      </c>
      <c r="E26" s="8">
        <v>134.56031184</v>
      </c>
      <c r="F26" s="7">
        <f>$E26/$E$29</f>
        <v>0.33611512990487896</v>
      </c>
    </row>
    <row r="27" spans="1:6">
      <c r="B27" s="66" t="s">
        <v>88</v>
      </c>
      <c r="C27" s="67">
        <v>46.349999999999994</v>
      </c>
      <c r="D27" s="68">
        <f>$C27/$C$29</f>
        <v>0.12007772020725385</v>
      </c>
      <c r="E27" s="8">
        <v>47.326193000000004</v>
      </c>
      <c r="F27" s="7">
        <f>$E27/$E$29</f>
        <v>0.11821501667603727</v>
      </c>
    </row>
    <row r="28" spans="1:6">
      <c r="B28" s="66" t="s">
        <v>101</v>
      </c>
      <c r="C28" s="67">
        <v>1.06</v>
      </c>
      <c r="D28" s="68">
        <f>$C28/$C$29</f>
        <v>2.7461139896373054E-3</v>
      </c>
      <c r="E28" s="8">
        <v>1.1443190000000001</v>
      </c>
      <c r="F28" s="7">
        <f>$E28/$E$29</f>
        <v>2.858368296552108E-3</v>
      </c>
    </row>
    <row r="29" spans="1:6">
      <c r="B29" s="66" t="s">
        <v>92</v>
      </c>
      <c r="C29" s="69">
        <f>SUM(C25:C28)</f>
        <v>386.00000000000006</v>
      </c>
      <c r="D29" s="68">
        <f>$C29/$C$29</f>
        <v>1</v>
      </c>
      <c r="E29" s="69">
        <f>SUM(E25:E28)</f>
        <v>400.33994267999998</v>
      </c>
      <c r="F29" s="166">
        <f>SUM(F25:F28)</f>
        <v>1</v>
      </c>
    </row>
    <row r="31" spans="1:6">
      <c r="B31" s="9" t="s">
        <v>327</v>
      </c>
      <c r="C31" s="36">
        <f>0.27*C25</f>
        <v>57.321000000000005</v>
      </c>
      <c r="E31" s="36">
        <f>0.27*E25</f>
        <v>58.673462086800001</v>
      </c>
    </row>
    <row r="32" spans="1:6">
      <c r="B32" s="9" t="s">
        <v>328</v>
      </c>
      <c r="C32" s="36">
        <f>C25-C31</f>
        <v>154.97900000000001</v>
      </c>
      <c r="E32" s="36">
        <f>E25-E31</f>
        <v>158.63565675320001</v>
      </c>
    </row>
    <row r="42" spans="2:4">
      <c r="B42" s="6" t="s">
        <v>329</v>
      </c>
      <c r="C42">
        <v>2018</v>
      </c>
      <c r="D42">
        <v>2019</v>
      </c>
    </row>
    <row r="43" spans="2:4">
      <c r="B43" s="74" t="s">
        <v>328</v>
      </c>
      <c r="C43" s="71">
        <f>0.73*C25</f>
        <v>154.97900000000001</v>
      </c>
      <c r="D43" s="71">
        <f>0.73*D25</f>
        <v>0.40149999999999997</v>
      </c>
    </row>
    <row r="44" spans="2:4">
      <c r="B44" s="74" t="s">
        <v>330</v>
      </c>
      <c r="C44" s="70">
        <v>50.75</v>
      </c>
    </row>
    <row r="45" spans="2:4">
      <c r="B45" s="74" t="s">
        <v>100</v>
      </c>
      <c r="C45" s="72">
        <v>46.349999999999994</v>
      </c>
    </row>
    <row r="46" spans="2:4">
      <c r="B46" s="75" t="s">
        <v>101</v>
      </c>
      <c r="C46" s="72">
        <v>1.06</v>
      </c>
    </row>
    <row r="47" spans="2:4">
      <c r="B47" s="74" t="s">
        <v>92</v>
      </c>
      <c r="C47" s="73">
        <f>SUM(C43:C46)</f>
        <v>253.13900000000001</v>
      </c>
    </row>
    <row r="63" spans="2:3">
      <c r="B63" s="6" t="s">
        <v>331</v>
      </c>
    </row>
    <row r="64" spans="2:3">
      <c r="B64" s="74" t="s">
        <v>308</v>
      </c>
      <c r="C64" s="71">
        <f>0.27*C25</f>
        <v>57.321000000000005</v>
      </c>
    </row>
    <row r="65" spans="2:4">
      <c r="B65" s="74" t="s">
        <v>332</v>
      </c>
      <c r="C65" s="70">
        <v>21.75</v>
      </c>
    </row>
    <row r="66" spans="2:4">
      <c r="B66" s="74" t="s">
        <v>92</v>
      </c>
      <c r="C66" s="73">
        <f>SUM(C64:C65)</f>
        <v>79.070999999999998</v>
      </c>
    </row>
    <row r="69" spans="2:4">
      <c r="B69" s="30" t="s">
        <v>333</v>
      </c>
    </row>
    <row r="70" spans="2:4">
      <c r="B70" s="65" t="s">
        <v>323</v>
      </c>
    </row>
    <row r="72" spans="2:4">
      <c r="B72" s="76" t="s">
        <v>334</v>
      </c>
      <c r="C72" s="76" t="s">
        <v>28</v>
      </c>
      <c r="D72" s="76" t="s">
        <v>335</v>
      </c>
    </row>
    <row r="73" spans="2:4">
      <c r="B73" s="70" t="s">
        <v>134</v>
      </c>
      <c r="C73" s="71">
        <f>C47</f>
        <v>253.13900000000001</v>
      </c>
      <c r="D73" s="68">
        <f>C73/$C$76</f>
        <v>0.5521025081788441</v>
      </c>
    </row>
    <row r="74" spans="2:4">
      <c r="B74" s="70" t="s">
        <v>133</v>
      </c>
      <c r="C74" s="71">
        <f>C26</f>
        <v>126.29</v>
      </c>
      <c r="D74" s="68">
        <f>C74/$C$76</f>
        <v>0.27544165757906219</v>
      </c>
    </row>
    <row r="75" spans="2:4">
      <c r="B75" s="70" t="s">
        <v>135</v>
      </c>
      <c r="C75" s="71">
        <f>C66</f>
        <v>79.070999999999998</v>
      </c>
      <c r="D75" s="68">
        <f>C75/$C$76</f>
        <v>0.17245583424209379</v>
      </c>
    </row>
    <row r="76" spans="2:4">
      <c r="B76" s="70" t="s">
        <v>313</v>
      </c>
      <c r="C76" s="71">
        <f>SUM(C73:C75)</f>
        <v>458.5</v>
      </c>
      <c r="D76" s="68">
        <f>C76/$C$76</f>
        <v>1</v>
      </c>
    </row>
    <row r="81" spans="1:5" ht="18.75">
      <c r="A81" s="146" t="s">
        <v>336</v>
      </c>
    </row>
    <row r="83" spans="1:5">
      <c r="B83" s="19" t="s">
        <v>197</v>
      </c>
      <c r="D83" s="170">
        <v>11572.186818239999</v>
      </c>
      <c r="E83" s="7">
        <f t="shared" ref="E83:E88" si="1">D83/$D$88</f>
        <v>0.7406512478233287</v>
      </c>
    </row>
    <row r="84" spans="1:5">
      <c r="B84" s="19" t="s">
        <v>164</v>
      </c>
      <c r="D84" s="46">
        <v>3915.8854974800001</v>
      </c>
      <c r="E84" s="7">
        <f t="shared" si="1"/>
        <v>0.25062726048203759</v>
      </c>
    </row>
    <row r="85" spans="1:5">
      <c r="B85" s="19" t="s">
        <v>337</v>
      </c>
      <c r="D85" s="46">
        <v>74.367754392501737</v>
      </c>
      <c r="E85" s="7">
        <f t="shared" si="1"/>
        <v>4.7597373732169304E-3</v>
      </c>
    </row>
    <row r="86" spans="1:5">
      <c r="B86" s="19" t="s">
        <v>195</v>
      </c>
      <c r="D86" s="46">
        <v>58.054059550789468</v>
      </c>
      <c r="E86" s="7">
        <f t="shared" si="1"/>
        <v>3.7156167907459983E-3</v>
      </c>
    </row>
    <row r="87" spans="1:5">
      <c r="B87" s="32" t="s">
        <v>191</v>
      </c>
      <c r="D87" s="171">
        <v>3.8457364329999999</v>
      </c>
      <c r="E87" s="7">
        <f t="shared" si="1"/>
        <v>2.4613753067065413E-4</v>
      </c>
    </row>
    <row r="88" spans="1:5">
      <c r="B88" s="19" t="s">
        <v>125</v>
      </c>
      <c r="D88" s="51">
        <f>SUM(D83:D87)</f>
        <v>15624.339866096292</v>
      </c>
      <c r="E88" s="7">
        <f t="shared" si="1"/>
        <v>1</v>
      </c>
    </row>
    <row r="89" spans="1:5">
      <c r="B89" s="19" t="s">
        <v>338</v>
      </c>
      <c r="D89" s="41">
        <f>'Growth 2010-2021'!$M$239</f>
        <v>106690.50400552193</v>
      </c>
      <c r="E89" s="7">
        <f>D88/D89</f>
        <v>0.14644545933804598</v>
      </c>
    </row>
    <row r="95" spans="1:5" ht="18.75">
      <c r="A95" s="146" t="s">
        <v>339</v>
      </c>
    </row>
    <row r="97" spans="1:15">
      <c r="A97" t="s">
        <v>197</v>
      </c>
      <c r="B97" s="13" t="s">
        <v>197</v>
      </c>
      <c r="D97" s="235">
        <v>5536.3886394647998</v>
      </c>
      <c r="E97" s="140">
        <f>D97/$D$101</f>
        <v>0.40752842830118019</v>
      </c>
      <c r="O97" s="136"/>
    </row>
    <row r="98" spans="1:15">
      <c r="A98" t="s">
        <v>340</v>
      </c>
      <c r="B98" s="13" t="s">
        <v>211</v>
      </c>
      <c r="D98" s="48">
        <v>3917.5991999999992</v>
      </c>
      <c r="E98" s="140">
        <f>D98/$D$101</f>
        <v>0.28837084039033373</v>
      </c>
      <c r="O98" s="136"/>
    </row>
    <row r="99" spans="1:15">
      <c r="A99" t="s">
        <v>180</v>
      </c>
      <c r="B99" s="233" t="s">
        <v>341</v>
      </c>
      <c r="D99" s="234">
        <v>3842.9549999999999</v>
      </c>
      <c r="E99" s="140">
        <f>D99/$D$101</f>
        <v>0.28287635012081763</v>
      </c>
      <c r="O99" s="136"/>
    </row>
    <row r="100" spans="1:15">
      <c r="A100" t="s">
        <v>164</v>
      </c>
      <c r="B100" s="34" t="s">
        <v>164</v>
      </c>
      <c r="D100" s="236">
        <v>288.33920464619996</v>
      </c>
      <c r="E100" s="140">
        <f>D100/$D$101</f>
        <v>2.1224381187668489E-2</v>
      </c>
      <c r="O100" s="136"/>
    </row>
    <row r="101" spans="1:15">
      <c r="B101" s="19" t="s">
        <v>125</v>
      </c>
      <c r="D101" s="26">
        <f>SUM(D97:D100)</f>
        <v>13585.282044110998</v>
      </c>
      <c r="E101" s="140">
        <f>D101/$D$101</f>
        <v>1</v>
      </c>
      <c r="O101" s="136"/>
    </row>
    <row r="102" spans="1:15">
      <c r="B102" s="19" t="s">
        <v>338</v>
      </c>
      <c r="D102" s="41">
        <f>'Growth 2010-2021'!$M$239</f>
        <v>106690.50400552193</v>
      </c>
      <c r="E102" s="140">
        <f>D101/D102</f>
        <v>0.12733356328889281</v>
      </c>
      <c r="O102" s="136"/>
    </row>
    <row r="103" spans="1:15">
      <c r="O103" s="136"/>
    </row>
    <row r="104" spans="1:15">
      <c r="O104" s="136"/>
    </row>
    <row r="111" spans="1:15" ht="18.75">
      <c r="A111" s="146" t="s">
        <v>342</v>
      </c>
    </row>
    <row r="112" spans="1:15">
      <c r="B112" s="33" t="s">
        <v>197</v>
      </c>
      <c r="C112" s="8"/>
      <c r="D112" s="119">
        <v>24292.645858714324</v>
      </c>
      <c r="E112" s="140">
        <f>D112/$D$116</f>
        <v>0.89736700228748267</v>
      </c>
    </row>
    <row r="113" spans="1:5">
      <c r="B113" s="17" t="s">
        <v>164</v>
      </c>
      <c r="C113" s="8"/>
      <c r="D113" s="119">
        <v>1562.5593907977984</v>
      </c>
      <c r="E113" s="140">
        <f>D113/$D$116</f>
        <v>5.7720729333951011E-2</v>
      </c>
    </row>
    <row r="114" spans="1:5">
      <c r="B114" s="232" t="s">
        <v>343</v>
      </c>
      <c r="C114" s="8"/>
      <c r="D114" s="8">
        <v>1156.0949999999998</v>
      </c>
      <c r="E114" s="140">
        <f>D114/$D$116</f>
        <v>4.2705990551350055E-2</v>
      </c>
    </row>
    <row r="115" spans="1:5">
      <c r="B115" s="33" t="s">
        <v>218</v>
      </c>
      <c r="C115" s="8"/>
      <c r="D115" s="237">
        <v>59.726205427514998</v>
      </c>
      <c r="E115" s="140">
        <f>D115/$D$116</f>
        <v>2.2062778272161445E-3</v>
      </c>
    </row>
    <row r="116" spans="1:5">
      <c r="B116" s="19" t="s">
        <v>125</v>
      </c>
      <c r="D116" s="26">
        <f>SUM(D112:D115)</f>
        <v>27071.026454939642</v>
      </c>
      <c r="E116" s="140">
        <f>D116/$D$116</f>
        <v>1</v>
      </c>
    </row>
    <row r="117" spans="1:5">
      <c r="B117" s="19" t="s">
        <v>338</v>
      </c>
      <c r="D117" s="41">
        <f>'Growth 2010-2021'!$M$239</f>
        <v>106690.50400552193</v>
      </c>
      <c r="E117" s="139">
        <f>D116/D117</f>
        <v>0.25373416975833707</v>
      </c>
    </row>
    <row r="118" spans="1:5">
      <c r="B118" s="17"/>
      <c r="D118" s="41"/>
    </row>
    <row r="126" spans="1:5" ht="18.75">
      <c r="A126" s="146" t="s">
        <v>344</v>
      </c>
    </row>
    <row r="128" spans="1:5">
      <c r="B128" t="s">
        <v>345</v>
      </c>
    </row>
    <row r="129" spans="1:4">
      <c r="B129" s="194" t="s">
        <v>156</v>
      </c>
      <c r="C129" s="198">
        <v>15.096233107743746</v>
      </c>
    </row>
    <row r="130" spans="1:4">
      <c r="B130" s="194" t="s">
        <v>160</v>
      </c>
      <c r="C130" s="199">
        <v>25.47991</v>
      </c>
    </row>
    <row r="131" spans="1:4">
      <c r="C131" s="131">
        <f>SUM(C129:C130)</f>
        <v>40.576143107743746</v>
      </c>
    </row>
    <row r="141" spans="1:4" ht="18.75">
      <c r="A141" s="146" t="s">
        <v>346</v>
      </c>
    </row>
    <row r="143" spans="1:4">
      <c r="B143" s="207" t="s">
        <v>173</v>
      </c>
      <c r="C143" s="41">
        <v>40576.143107743745</v>
      </c>
      <c r="D143" s="140">
        <f>C143/$C$146</f>
        <v>0.84285495632936225</v>
      </c>
    </row>
    <row r="144" spans="1:4">
      <c r="B144" s="207" t="s">
        <v>186</v>
      </c>
      <c r="C144" s="41">
        <v>3884.5285177499991</v>
      </c>
      <c r="D144" s="140">
        <f>C144/$C$146</f>
        <v>8.0690126350710101E-2</v>
      </c>
    </row>
    <row r="145" spans="2:4">
      <c r="B145" s="207" t="s">
        <v>184</v>
      </c>
      <c r="C145" s="237">
        <v>3680.64</v>
      </c>
      <c r="D145" s="140">
        <f>C145/$C$146</f>
        <v>7.6454917319927734E-2</v>
      </c>
    </row>
    <row r="146" spans="2:4">
      <c r="C146" s="26">
        <f>SUM(C143:C145)</f>
        <v>48141.311625493741</v>
      </c>
    </row>
    <row r="147" spans="2:4">
      <c r="B147" s="19" t="s">
        <v>338</v>
      </c>
      <c r="C147" s="41">
        <f>'Growth 2010-2021'!$M$239</f>
        <v>106690.50400552193</v>
      </c>
      <c r="D147" s="140">
        <f>C146/C147</f>
        <v>0.45122395919136454</v>
      </c>
    </row>
  </sheetData>
  <mergeCells count="2">
    <mergeCell ref="C24:D24"/>
    <mergeCell ref="E24:F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3"/>
  <sheetViews>
    <sheetView topLeftCell="A85" zoomScale="98" zoomScaleNormal="98" workbookViewId="0">
      <selection activeCell="M89" sqref="M89"/>
    </sheetView>
  </sheetViews>
  <sheetFormatPr defaultRowHeight="15"/>
  <sheetData>
    <row r="1" spans="1:1" ht="26.25">
      <c r="A1" s="87" t="s">
        <v>347</v>
      </c>
    </row>
    <row r="24" spans="1:23">
      <c r="A24" s="6" t="s">
        <v>348</v>
      </c>
      <c r="W24" s="6" t="s">
        <v>349</v>
      </c>
    </row>
    <row r="72" spans="2:6" ht="15.75" thickBot="1"/>
    <row r="73" spans="2:6" ht="15.75" thickBot="1">
      <c r="D73" s="245" t="s">
        <v>350</v>
      </c>
    </row>
    <row r="74" spans="2:6" ht="15.75" thickBot="1">
      <c r="C74" s="245" t="s">
        <v>351</v>
      </c>
      <c r="E74" s="258" t="s">
        <v>352</v>
      </c>
    </row>
    <row r="75" spans="2:6">
      <c r="B75" s="244" t="s">
        <v>353</v>
      </c>
      <c r="F75" s="246" t="s">
        <v>354</v>
      </c>
    </row>
    <row r="76" spans="2:6">
      <c r="B76" s="247">
        <v>43847</v>
      </c>
      <c r="C76" s="248">
        <v>1625</v>
      </c>
      <c r="D76" s="249" t="s">
        <v>261</v>
      </c>
      <c r="E76" s="249" t="s">
        <v>261</v>
      </c>
      <c r="F76" s="250">
        <v>1625</v>
      </c>
    </row>
    <row r="77" spans="2:6">
      <c r="B77" s="247">
        <v>43878</v>
      </c>
      <c r="C77" s="248">
        <v>2034</v>
      </c>
      <c r="D77" s="249" t="s">
        <v>261</v>
      </c>
      <c r="E77" s="249" t="s">
        <v>261</v>
      </c>
      <c r="F77" s="250">
        <v>2034</v>
      </c>
    </row>
    <row r="78" spans="2:6">
      <c r="B78" s="247">
        <v>43907</v>
      </c>
      <c r="C78" s="248">
        <v>1928</v>
      </c>
      <c r="D78" s="249" t="s">
        <v>261</v>
      </c>
      <c r="E78" s="249" t="s">
        <v>261</v>
      </c>
      <c r="F78" s="250">
        <v>1928</v>
      </c>
    </row>
    <row r="79" spans="2:6">
      <c r="B79" s="247">
        <v>43938</v>
      </c>
      <c r="C79" s="248">
        <v>1680</v>
      </c>
      <c r="D79" s="249" t="s">
        <v>261</v>
      </c>
      <c r="E79" s="249" t="s">
        <v>261</v>
      </c>
      <c r="F79" s="250">
        <v>1680</v>
      </c>
    </row>
    <row r="80" spans="2:6">
      <c r="B80" s="247">
        <v>43968</v>
      </c>
      <c r="C80" s="248">
        <v>1946</v>
      </c>
      <c r="D80" s="249" t="s">
        <v>261</v>
      </c>
      <c r="E80" s="249" t="s">
        <v>261</v>
      </c>
      <c r="F80" s="250">
        <v>1946</v>
      </c>
    </row>
    <row r="81" spans="1:10">
      <c r="B81" s="247">
        <v>43999</v>
      </c>
      <c r="C81" s="248">
        <v>1704</v>
      </c>
      <c r="D81" s="249" t="s">
        <v>261</v>
      </c>
      <c r="E81" s="249" t="s">
        <v>261</v>
      </c>
      <c r="F81" s="250">
        <v>1704</v>
      </c>
    </row>
    <row r="82" spans="1:10">
      <c r="B82" s="247">
        <v>44029</v>
      </c>
      <c r="C82" s="248">
        <v>1611</v>
      </c>
      <c r="D82" s="249" t="s">
        <v>261</v>
      </c>
      <c r="E82" s="249" t="s">
        <v>261</v>
      </c>
      <c r="F82" s="250">
        <v>1611</v>
      </c>
    </row>
    <row r="83" spans="1:10">
      <c r="B83" s="247">
        <v>44060</v>
      </c>
      <c r="C83" s="248">
        <v>1888</v>
      </c>
      <c r="D83" s="249" t="s">
        <v>261</v>
      </c>
      <c r="E83" s="249" t="s">
        <v>261</v>
      </c>
      <c r="F83" s="250">
        <v>1888</v>
      </c>
    </row>
    <row r="84" spans="1:10">
      <c r="B84" s="247">
        <v>44091</v>
      </c>
      <c r="C84" s="248">
        <v>1662</v>
      </c>
      <c r="D84" s="249" t="s">
        <v>261</v>
      </c>
      <c r="E84" s="249" t="s">
        <v>261</v>
      </c>
      <c r="F84" s="250">
        <v>1662</v>
      </c>
    </row>
    <row r="85" spans="1:10">
      <c r="B85" s="247">
        <v>44121</v>
      </c>
      <c r="C85" s="248">
        <v>1581</v>
      </c>
      <c r="D85" s="249" t="s">
        <v>261</v>
      </c>
      <c r="E85" s="249" t="s">
        <v>261</v>
      </c>
      <c r="F85" s="250">
        <v>1581</v>
      </c>
    </row>
    <row r="86" spans="1:10">
      <c r="B86" s="247">
        <v>44152</v>
      </c>
      <c r="C86" s="248">
        <v>1794</v>
      </c>
      <c r="D86" s="249" t="s">
        <v>261</v>
      </c>
      <c r="E86" s="249" t="s">
        <v>261</v>
      </c>
      <c r="F86" s="250">
        <v>1794</v>
      </c>
    </row>
    <row r="87" spans="1:10">
      <c r="B87" s="247">
        <v>44182</v>
      </c>
      <c r="C87" s="248">
        <v>1273</v>
      </c>
      <c r="D87" s="249" t="s">
        <v>261</v>
      </c>
      <c r="E87" s="249" t="s">
        <v>261</v>
      </c>
      <c r="F87" s="250">
        <v>1273</v>
      </c>
    </row>
    <row r="88" spans="1:10">
      <c r="A88">
        <v>2018</v>
      </c>
      <c r="B88" s="247">
        <v>43848</v>
      </c>
      <c r="C88" s="248">
        <v>1890</v>
      </c>
      <c r="D88" s="249" t="s">
        <v>261</v>
      </c>
      <c r="E88" s="249" t="s">
        <v>261</v>
      </c>
      <c r="F88" s="250">
        <v>1890</v>
      </c>
    </row>
    <row r="89" spans="1:10">
      <c r="A89">
        <v>2018</v>
      </c>
      <c r="B89" s="247">
        <v>43879</v>
      </c>
      <c r="C89" s="248">
        <v>1492</v>
      </c>
      <c r="D89" s="251">
        <v>286</v>
      </c>
      <c r="E89" s="252">
        <v>0.16</v>
      </c>
      <c r="F89" s="250">
        <v>1777</v>
      </c>
      <c r="I89" s="140">
        <f>D89/F89</f>
        <v>0.16094541361845807</v>
      </c>
      <c r="J89" s="137">
        <f>C89+D89</f>
        <v>1778</v>
      </c>
    </row>
    <row r="90" spans="1:10">
      <c r="A90">
        <v>2018</v>
      </c>
      <c r="B90" s="247">
        <v>43908</v>
      </c>
      <c r="C90" s="248">
        <v>1254</v>
      </c>
      <c r="D90" s="251">
        <v>764</v>
      </c>
      <c r="E90" s="252">
        <v>0.38</v>
      </c>
      <c r="F90" s="250">
        <v>2018</v>
      </c>
      <c r="I90" s="140">
        <f t="shared" ref="I90:I103" si="0">D90/F90</f>
        <v>0.37859266600594649</v>
      </c>
      <c r="J90" s="137">
        <f t="shared" ref="J90:J103" si="1">C90+D90</f>
        <v>2018</v>
      </c>
    </row>
    <row r="91" spans="1:10">
      <c r="A91">
        <v>2018</v>
      </c>
      <c r="B91" s="247">
        <v>43939</v>
      </c>
      <c r="C91" s="248">
        <v>1135</v>
      </c>
      <c r="D91" s="251">
        <v>722</v>
      </c>
      <c r="E91" s="252">
        <v>0.39</v>
      </c>
      <c r="F91" s="250">
        <v>1857</v>
      </c>
      <c r="I91" s="140">
        <f t="shared" si="0"/>
        <v>0.3887991383952612</v>
      </c>
      <c r="J91" s="137">
        <f t="shared" si="1"/>
        <v>1857</v>
      </c>
    </row>
    <row r="92" spans="1:10">
      <c r="A92">
        <v>2018</v>
      </c>
      <c r="B92" s="247">
        <v>43969</v>
      </c>
      <c r="C92" s="248">
        <v>1202</v>
      </c>
      <c r="D92" s="251">
        <v>559</v>
      </c>
      <c r="E92" s="252">
        <v>0.32</v>
      </c>
      <c r="F92" s="250">
        <v>1761</v>
      </c>
      <c r="I92" s="140">
        <f t="shared" si="0"/>
        <v>0.31743327654741627</v>
      </c>
      <c r="J92" s="137">
        <f t="shared" si="1"/>
        <v>1761</v>
      </c>
    </row>
    <row r="93" spans="1:10">
      <c r="A93">
        <v>2018</v>
      </c>
      <c r="B93" s="247">
        <v>44000</v>
      </c>
      <c r="C93" s="248">
        <v>1119</v>
      </c>
      <c r="D93" s="251">
        <v>433</v>
      </c>
      <c r="E93" s="252">
        <v>0.28000000000000003</v>
      </c>
      <c r="F93" s="250">
        <v>1551</v>
      </c>
      <c r="I93" s="140">
        <f t="shared" si="0"/>
        <v>0.27917472598323662</v>
      </c>
      <c r="J93" s="137">
        <f t="shared" si="1"/>
        <v>1552</v>
      </c>
    </row>
    <row r="94" spans="1:10">
      <c r="A94">
        <v>2018</v>
      </c>
      <c r="B94" s="247">
        <v>44030</v>
      </c>
      <c r="C94" s="248">
        <v>1184</v>
      </c>
      <c r="D94" s="251">
        <v>492</v>
      </c>
      <c r="E94" s="252">
        <v>0.28999999999999998</v>
      </c>
      <c r="F94" s="250">
        <v>1676</v>
      </c>
      <c r="I94" s="140">
        <f t="shared" si="0"/>
        <v>0.2935560859188544</v>
      </c>
      <c r="J94" s="137">
        <f t="shared" si="1"/>
        <v>1676</v>
      </c>
    </row>
    <row r="95" spans="1:10">
      <c r="A95">
        <v>2018</v>
      </c>
      <c r="B95" s="247">
        <v>44061</v>
      </c>
      <c r="C95" s="248">
        <v>1385</v>
      </c>
      <c r="D95" s="251">
        <v>481</v>
      </c>
      <c r="E95" s="252">
        <v>0.26</v>
      </c>
      <c r="F95" s="250">
        <v>1866</v>
      </c>
      <c r="I95" s="140">
        <f t="shared" si="0"/>
        <v>0.25777063236870312</v>
      </c>
      <c r="J95" s="137">
        <f t="shared" si="1"/>
        <v>1866</v>
      </c>
    </row>
    <row r="96" spans="1:10">
      <c r="A96">
        <v>2018</v>
      </c>
      <c r="B96" s="247">
        <v>44092</v>
      </c>
      <c r="C96" s="248">
        <v>1187</v>
      </c>
      <c r="D96" s="251">
        <v>547</v>
      </c>
      <c r="E96" s="252">
        <v>0.32</v>
      </c>
      <c r="F96" s="250">
        <v>1733</v>
      </c>
      <c r="I96" s="140">
        <f t="shared" si="0"/>
        <v>0.31563762261973455</v>
      </c>
      <c r="J96" s="137">
        <f t="shared" si="1"/>
        <v>1734</v>
      </c>
    </row>
    <row r="97" spans="1:14">
      <c r="A97">
        <v>2018</v>
      </c>
      <c r="B97" s="247">
        <v>44122</v>
      </c>
      <c r="C97" s="248">
        <v>1524</v>
      </c>
      <c r="D97" s="251">
        <v>387</v>
      </c>
      <c r="E97" s="252">
        <v>0.2</v>
      </c>
      <c r="F97" s="250">
        <v>1912</v>
      </c>
      <c r="I97" s="140">
        <f t="shared" si="0"/>
        <v>0.20240585774058578</v>
      </c>
      <c r="J97" s="137">
        <f t="shared" si="1"/>
        <v>1911</v>
      </c>
      <c r="L97" t="s">
        <v>355</v>
      </c>
      <c r="N97" t="s">
        <v>356</v>
      </c>
    </row>
    <row r="98" spans="1:14">
      <c r="A98">
        <v>2018</v>
      </c>
      <c r="B98" s="247">
        <v>44153</v>
      </c>
      <c r="C98" s="248">
        <v>1265</v>
      </c>
      <c r="D98" s="251">
        <v>519</v>
      </c>
      <c r="E98" s="252">
        <v>0.28999999999999998</v>
      </c>
      <c r="F98" s="250">
        <v>1784</v>
      </c>
      <c r="I98" s="140">
        <f t="shared" si="0"/>
        <v>0.29091928251121074</v>
      </c>
      <c r="J98" s="137">
        <f t="shared" si="1"/>
        <v>1784</v>
      </c>
      <c r="L98" t="s">
        <v>357</v>
      </c>
      <c r="M98" t="s">
        <v>41</v>
      </c>
      <c r="N98" t="s">
        <v>358</v>
      </c>
    </row>
    <row r="99" spans="1:14">
      <c r="A99">
        <v>2018</v>
      </c>
      <c r="B99" s="247">
        <v>44183</v>
      </c>
      <c r="C99" s="251">
        <v>975</v>
      </c>
      <c r="D99" s="251">
        <v>268</v>
      </c>
      <c r="E99" s="252">
        <v>0.22</v>
      </c>
      <c r="F99" s="250">
        <v>1243</v>
      </c>
      <c r="I99" s="140">
        <f t="shared" si="0"/>
        <v>0.21560740144810941</v>
      </c>
      <c r="J99" s="137">
        <f t="shared" si="1"/>
        <v>1243</v>
      </c>
      <c r="L99">
        <f>SUM(D89:D99)</f>
        <v>5458</v>
      </c>
      <c r="M99" s="140">
        <f>L99/N99</f>
        <v>0.25906588190620849</v>
      </c>
      <c r="N99" s="137">
        <f>SUM(F88:F99)</f>
        <v>21068</v>
      </c>
    </row>
    <row r="100" spans="1:14">
      <c r="A100">
        <v>2019</v>
      </c>
      <c r="B100" s="247">
        <v>43849</v>
      </c>
      <c r="C100" s="248">
        <v>1401</v>
      </c>
      <c r="D100" s="251">
        <v>304</v>
      </c>
      <c r="E100" s="252">
        <v>0.18</v>
      </c>
      <c r="F100" s="250">
        <v>1705</v>
      </c>
      <c r="I100" s="140">
        <f t="shared" si="0"/>
        <v>0.17829912023460412</v>
      </c>
      <c r="J100" s="137">
        <f t="shared" si="1"/>
        <v>1705</v>
      </c>
    </row>
    <row r="101" spans="1:14">
      <c r="A101">
        <v>2019</v>
      </c>
      <c r="B101" s="247">
        <v>43880</v>
      </c>
      <c r="C101" s="248">
        <v>1092</v>
      </c>
      <c r="D101" s="251">
        <v>366</v>
      </c>
      <c r="E101" s="252">
        <v>0.25</v>
      </c>
      <c r="F101" s="250">
        <v>1458</v>
      </c>
      <c r="I101" s="140">
        <f t="shared" si="0"/>
        <v>0.25102880658436216</v>
      </c>
      <c r="J101" s="137">
        <f t="shared" si="1"/>
        <v>1458</v>
      </c>
    </row>
    <row r="102" spans="1:14">
      <c r="A102">
        <v>2019</v>
      </c>
      <c r="B102" s="247">
        <v>43909</v>
      </c>
      <c r="C102" s="251">
        <v>971</v>
      </c>
      <c r="D102" s="251">
        <v>463</v>
      </c>
      <c r="E102" s="252">
        <v>0.32</v>
      </c>
      <c r="F102" s="250">
        <v>1433</v>
      </c>
      <c r="I102" s="140">
        <f t="shared" si="0"/>
        <v>0.32309839497557574</v>
      </c>
      <c r="J102" s="137">
        <f t="shared" si="1"/>
        <v>1434</v>
      </c>
    </row>
    <row r="103" spans="1:14" ht="15.75" thickBot="1">
      <c r="A103">
        <v>2019</v>
      </c>
      <c r="B103" s="253">
        <v>43940</v>
      </c>
      <c r="C103" s="254">
        <v>1297</v>
      </c>
      <c r="D103" s="255">
        <v>405</v>
      </c>
      <c r="E103" s="256">
        <v>0.24</v>
      </c>
      <c r="F103" s="257">
        <v>1702</v>
      </c>
      <c r="I103" s="140">
        <f t="shared" si="0"/>
        <v>0.23795534665099882</v>
      </c>
      <c r="J103" s="137">
        <f t="shared" si="1"/>
        <v>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6:AJ216"/>
  <sheetViews>
    <sheetView topLeftCell="A61" zoomScale="106" zoomScaleNormal="106" workbookViewId="0">
      <selection activeCell="L60" sqref="L60"/>
    </sheetView>
  </sheetViews>
  <sheetFormatPr defaultRowHeight="15"/>
  <sheetData>
    <row r="6" spans="36:36">
      <c r="AJ6" t="s">
        <v>359</v>
      </c>
    </row>
    <row r="8" spans="36:36">
      <c r="AJ8" t="s">
        <v>360</v>
      </c>
    </row>
    <row r="27" spans="1:25">
      <c r="A27" s="6"/>
      <c r="M27" s="6"/>
      <c r="Y27" s="6"/>
    </row>
    <row r="45" spans="1:1">
      <c r="A45" s="6"/>
    </row>
    <row r="69" spans="1:1">
      <c r="A69" s="6"/>
    </row>
    <row r="174" spans="1:1">
      <c r="A174" s="6" t="s">
        <v>361</v>
      </c>
    </row>
    <row r="194" spans="1:1">
      <c r="A194" s="6" t="s">
        <v>362</v>
      </c>
    </row>
    <row r="216" spans="1:1">
      <c r="A216" s="6" t="s">
        <v>363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9"/>
  <sheetViews>
    <sheetView topLeftCell="A46" zoomScaleNormal="100" workbookViewId="0">
      <selection activeCell="N95" sqref="N95"/>
    </sheetView>
  </sheetViews>
  <sheetFormatPr defaultRowHeight="15"/>
  <sheetData>
    <row r="1" spans="1:1" ht="26.25">
      <c r="A1" s="87" t="s">
        <v>364</v>
      </c>
    </row>
    <row r="3" spans="1:1">
      <c r="A3" s="4" t="s">
        <v>173</v>
      </c>
    </row>
    <row r="5" spans="1:1">
      <c r="A5" t="s">
        <v>365</v>
      </c>
    </row>
    <row r="25" spans="1:1">
      <c r="A25" s="6" t="s">
        <v>366</v>
      </c>
    </row>
    <row r="50" spans="1:4">
      <c r="A50" t="s">
        <v>367</v>
      </c>
    </row>
    <row r="59" spans="1:4">
      <c r="D59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"/>
  <sheetViews>
    <sheetView topLeftCell="A37" zoomScale="110" zoomScaleNormal="110" workbookViewId="0">
      <selection activeCell="K19" sqref="K19"/>
    </sheetView>
  </sheetViews>
  <sheetFormatPr defaultRowHeight="15"/>
  <sheetData>
    <row r="1" spans="1:1" ht="26.25">
      <c r="A1" s="87" t="s">
        <v>368</v>
      </c>
    </row>
    <row r="4" spans="1:1">
      <c r="A4" s="6"/>
    </row>
    <row r="42" spans="2:2">
      <c r="B4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4"/>
  <sheetViews>
    <sheetView topLeftCell="A22" zoomScaleNormal="100" workbookViewId="0">
      <selection activeCell="J45" sqref="J45"/>
    </sheetView>
  </sheetViews>
  <sheetFormatPr defaultRowHeight="15"/>
  <sheetData>
    <row r="1" spans="1:1" ht="26.25">
      <c r="A1" s="87" t="s">
        <v>369</v>
      </c>
    </row>
    <row r="74" spans="1:1">
      <c r="A74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5"/>
  <sheetViews>
    <sheetView topLeftCell="A43" workbookViewId="0">
      <selection activeCell="I16" sqref="I16"/>
    </sheetView>
  </sheetViews>
  <sheetFormatPr defaultRowHeight="15"/>
  <cols>
    <col min="2" max="2" width="51.42578125" customWidth="1"/>
    <col min="3" max="3" width="10.5703125" bestFit="1" customWidth="1"/>
    <col min="5" max="5" width="55" customWidth="1"/>
    <col min="10" max="10" width="13" customWidth="1"/>
  </cols>
  <sheetData>
    <row r="2" spans="2:7" ht="26.25">
      <c r="B2" s="87" t="s">
        <v>370</v>
      </c>
    </row>
    <row r="4" spans="2:7">
      <c r="D4" t="s">
        <v>7</v>
      </c>
      <c r="E4" t="s">
        <v>371</v>
      </c>
    </row>
    <row r="5" spans="2:7">
      <c r="B5" s="77" t="s">
        <v>372</v>
      </c>
      <c r="C5" s="82">
        <v>97000</v>
      </c>
      <c r="D5" s="77" t="s">
        <v>203</v>
      </c>
      <c r="E5" s="77"/>
      <c r="F5" s="9"/>
      <c r="G5" s="9"/>
    </row>
    <row r="6" spans="2:7">
      <c r="B6" s="77" t="s">
        <v>373</v>
      </c>
      <c r="C6" s="82">
        <v>9375.1333333333296</v>
      </c>
      <c r="D6" s="77" t="s">
        <v>374</v>
      </c>
      <c r="E6" s="77"/>
      <c r="F6" s="9"/>
      <c r="G6" s="9"/>
    </row>
    <row r="7" spans="2:7">
      <c r="C7" s="80"/>
      <c r="F7" s="9"/>
      <c r="G7" s="9"/>
    </row>
    <row r="8" spans="2:7">
      <c r="B8" s="77" t="s">
        <v>22</v>
      </c>
      <c r="C8" s="83">
        <v>162723.20000000001</v>
      </c>
      <c r="D8" s="77" t="s">
        <v>23</v>
      </c>
      <c r="E8" s="77"/>
      <c r="F8" s="9"/>
      <c r="G8" s="9"/>
    </row>
    <row r="9" spans="2:7">
      <c r="B9" s="77" t="s">
        <v>375</v>
      </c>
      <c r="C9" s="77">
        <v>99.2</v>
      </c>
      <c r="D9" s="77" t="s">
        <v>41</v>
      </c>
      <c r="E9" s="77"/>
      <c r="F9" s="9"/>
      <c r="G9" s="9"/>
    </row>
    <row r="10" spans="2:7">
      <c r="B10" s="77" t="s">
        <v>376</v>
      </c>
      <c r="C10" s="77">
        <v>0.8</v>
      </c>
      <c r="D10" s="77" t="s">
        <v>41</v>
      </c>
      <c r="E10" s="77"/>
      <c r="F10" s="9"/>
      <c r="G10" s="9"/>
    </row>
    <row r="11" spans="2:7">
      <c r="B11" s="77" t="s">
        <v>377</v>
      </c>
      <c r="C11" s="77">
        <v>0.8</v>
      </c>
      <c r="D11" s="77" t="s">
        <v>41</v>
      </c>
      <c r="E11" s="77"/>
      <c r="F11" s="9"/>
      <c r="G11" s="9"/>
    </row>
    <row r="12" spans="2:7">
      <c r="C12" s="81"/>
      <c r="F12" s="9"/>
      <c r="G12" s="9"/>
    </row>
    <row r="13" spans="2:7">
      <c r="B13" s="77" t="s">
        <v>34</v>
      </c>
      <c r="C13" s="83">
        <v>100385.69446997551</v>
      </c>
      <c r="D13" s="77" t="s">
        <v>23</v>
      </c>
      <c r="E13" s="77"/>
      <c r="F13" s="9"/>
      <c r="G13" s="9"/>
    </row>
    <row r="14" spans="2:7">
      <c r="B14" s="77" t="s">
        <v>378</v>
      </c>
      <c r="C14" s="89">
        <v>60.4</v>
      </c>
      <c r="D14" s="77" t="s">
        <v>41</v>
      </c>
      <c r="E14" s="77"/>
      <c r="F14" s="9"/>
      <c r="G14" s="9"/>
    </row>
    <row r="15" spans="2:7">
      <c r="B15" s="77" t="s">
        <v>379</v>
      </c>
      <c r="C15" s="77">
        <v>39.299999999999997</v>
      </c>
      <c r="D15" s="77" t="s">
        <v>41</v>
      </c>
      <c r="E15" s="77"/>
      <c r="F15" s="9"/>
      <c r="G15" s="9"/>
    </row>
    <row r="16" spans="2:7">
      <c r="C16" s="81"/>
      <c r="F16" s="9"/>
      <c r="G16" s="9"/>
    </row>
    <row r="17" spans="2:14">
      <c r="B17" s="77" t="s">
        <v>380</v>
      </c>
      <c r="C17" s="84">
        <f>C8/C5</f>
        <v>1.677558762886598</v>
      </c>
      <c r="D17" s="77" t="s">
        <v>23</v>
      </c>
      <c r="E17" s="77"/>
      <c r="F17" s="9"/>
      <c r="G17" s="9"/>
    </row>
    <row r="18" spans="2:14">
      <c r="B18" s="77" t="s">
        <v>381</v>
      </c>
      <c r="C18" s="84">
        <f>C13/C5</f>
        <v>1.0349040667007785</v>
      </c>
      <c r="D18" s="77" t="s">
        <v>23</v>
      </c>
      <c r="E18" s="77"/>
      <c r="F18" s="9"/>
      <c r="G18" s="9"/>
    </row>
    <row r="19" spans="2:14">
      <c r="C19" s="6"/>
    </row>
    <row r="20" spans="2:14">
      <c r="B20" s="77" t="s">
        <v>382</v>
      </c>
      <c r="C20" s="84">
        <f>C8/C6</f>
        <v>17.356894479722964</v>
      </c>
      <c r="D20" s="77" t="s">
        <v>383</v>
      </c>
      <c r="E20" s="77" t="s">
        <v>384</v>
      </c>
      <c r="F20" s="77"/>
      <c r="G20" s="77"/>
      <c r="H20" s="9"/>
      <c r="I20" s="9"/>
      <c r="J20" s="9"/>
      <c r="K20" s="9"/>
      <c r="L20" s="9"/>
      <c r="M20" s="9"/>
      <c r="N20" s="9"/>
    </row>
    <row r="21" spans="2:14">
      <c r="B21" s="77"/>
      <c r="C21" s="77"/>
      <c r="D21" s="77"/>
      <c r="E21" s="77" t="s">
        <v>385</v>
      </c>
      <c r="F21" s="77"/>
      <c r="G21" s="77"/>
      <c r="H21" s="9"/>
      <c r="I21" s="9"/>
      <c r="J21" s="9"/>
      <c r="K21" s="9"/>
      <c r="L21" s="9"/>
      <c r="M21" s="9"/>
      <c r="N21" s="9"/>
    </row>
    <row r="22" spans="2:14">
      <c r="H22" s="9"/>
      <c r="I22" s="9"/>
      <c r="J22" s="9"/>
      <c r="K22" s="9"/>
      <c r="L22" s="9"/>
      <c r="M22" s="9"/>
      <c r="N22" s="9"/>
    </row>
    <row r="23" spans="2:14">
      <c r="B23" s="77" t="s">
        <v>56</v>
      </c>
      <c r="C23" s="85">
        <f>C13/C8</f>
        <v>0.61691076914647391</v>
      </c>
      <c r="D23" s="77"/>
      <c r="E23" s="77" t="s">
        <v>386</v>
      </c>
      <c r="F23" s="77"/>
      <c r="G23" s="77"/>
      <c r="H23" s="9"/>
      <c r="I23" s="9"/>
      <c r="J23" s="9"/>
      <c r="K23" s="9"/>
      <c r="L23" s="9"/>
      <c r="M23" s="9"/>
      <c r="N23" s="9"/>
    </row>
    <row r="24" spans="2:14">
      <c r="B24" s="77"/>
      <c r="C24" s="77"/>
      <c r="D24" s="77"/>
      <c r="E24" s="77" t="s">
        <v>387</v>
      </c>
      <c r="F24" s="77"/>
      <c r="G24" s="77"/>
      <c r="H24" s="9"/>
      <c r="I24" s="9"/>
      <c r="J24" s="9"/>
      <c r="K24" s="9"/>
      <c r="L24" s="9"/>
      <c r="M24" s="9"/>
      <c r="N24" s="9"/>
    </row>
    <row r="26" spans="2:14">
      <c r="B26" s="77" t="s">
        <v>388</v>
      </c>
      <c r="C26" s="91">
        <v>427.82370400000002</v>
      </c>
      <c r="D26" s="77" t="s">
        <v>28</v>
      </c>
      <c r="E26" s="77"/>
      <c r="F26" s="9"/>
      <c r="G26" s="9"/>
      <c r="H26" s="9"/>
      <c r="I26" s="9"/>
    </row>
    <row r="27" spans="2:14">
      <c r="B27" s="77" t="s">
        <v>389</v>
      </c>
      <c r="C27" s="86">
        <v>2.5499999999999998E-2</v>
      </c>
      <c r="D27" s="77"/>
      <c r="E27" s="77" t="s">
        <v>390</v>
      </c>
      <c r="F27" s="9"/>
      <c r="G27" s="9"/>
      <c r="H27" s="9"/>
      <c r="I27" s="9"/>
    </row>
    <row r="28" spans="2:14">
      <c r="B28" s="77" t="s">
        <v>391</v>
      </c>
      <c r="C28" s="82">
        <v>386.03337099999999</v>
      </c>
      <c r="D28" s="77" t="s">
        <v>28</v>
      </c>
      <c r="E28" s="77" t="s">
        <v>392</v>
      </c>
      <c r="F28" s="9"/>
      <c r="G28" s="9"/>
      <c r="H28" s="9"/>
      <c r="I28" s="9"/>
    </row>
    <row r="29" spans="2:14">
      <c r="B29" s="77" t="s">
        <v>393</v>
      </c>
      <c r="C29" s="92">
        <f>C28/C5*1000000</f>
        <v>3979.7254742268037</v>
      </c>
      <c r="D29" s="77" t="s">
        <v>207</v>
      </c>
      <c r="E29" s="77"/>
      <c r="F29" s="9"/>
      <c r="G29" s="9"/>
      <c r="H29" s="9"/>
      <c r="I29" s="9"/>
    </row>
    <row r="30" spans="2:14">
      <c r="B30" s="77" t="s">
        <v>394</v>
      </c>
      <c r="C30" s="95">
        <v>38820</v>
      </c>
      <c r="D30" s="42"/>
      <c r="E30" s="77"/>
      <c r="F30" s="9"/>
      <c r="G30" s="9"/>
      <c r="H30" s="9"/>
      <c r="I30" s="9"/>
    </row>
    <row r="31" spans="2:14">
      <c r="C31" s="79"/>
      <c r="D31" s="9"/>
      <c r="E31" s="9"/>
      <c r="F31" s="9"/>
      <c r="G31" s="9"/>
      <c r="H31" s="9"/>
      <c r="I31" s="9"/>
    </row>
    <row r="32" spans="2:14">
      <c r="B32" s="88" t="s">
        <v>395</v>
      </c>
      <c r="C32" s="77"/>
      <c r="D32" s="77"/>
      <c r="E32" s="77"/>
    </row>
    <row r="33" spans="2:5">
      <c r="B33" s="77" t="s">
        <v>396</v>
      </c>
      <c r="C33" s="93">
        <v>17400</v>
      </c>
      <c r="D33" s="77" t="s">
        <v>143</v>
      </c>
      <c r="E33" s="77" t="s">
        <v>397</v>
      </c>
    </row>
    <row r="34" spans="2:5">
      <c r="B34" s="77" t="s">
        <v>398</v>
      </c>
      <c r="C34" s="90">
        <v>72.5</v>
      </c>
      <c r="D34" s="77" t="s">
        <v>28</v>
      </c>
      <c r="E34" s="77" t="s">
        <v>399</v>
      </c>
    </row>
    <row r="36" spans="2:5">
      <c r="B36" s="88" t="s">
        <v>368</v>
      </c>
      <c r="C36" s="77"/>
      <c r="D36" s="77"/>
    </row>
    <row r="37" spans="2:5">
      <c r="B37" s="77" t="s">
        <v>400</v>
      </c>
      <c r="C37" s="93">
        <v>32278</v>
      </c>
      <c r="D37" s="77"/>
    </row>
    <row r="38" spans="2:5">
      <c r="B38" s="77" t="s">
        <v>401</v>
      </c>
      <c r="C38" s="77">
        <v>100</v>
      </c>
      <c r="D38" s="77" t="s">
        <v>41</v>
      </c>
    </row>
    <row r="39" spans="2:5">
      <c r="B39" s="77" t="s">
        <v>402</v>
      </c>
      <c r="C39" s="94">
        <v>126.29</v>
      </c>
      <c r="D39" s="77" t="s">
        <v>28</v>
      </c>
    </row>
    <row r="40" spans="2:5">
      <c r="B40" s="77" t="s">
        <v>403</v>
      </c>
      <c r="C40" s="93">
        <v>3755.2725</v>
      </c>
      <c r="D40" s="77" t="s">
        <v>143</v>
      </c>
    </row>
    <row r="41" spans="2:5">
      <c r="B41" s="77" t="s">
        <v>404</v>
      </c>
      <c r="C41" s="77">
        <v>2.8</v>
      </c>
      <c r="D41" s="77" t="s">
        <v>143</v>
      </c>
    </row>
    <row r="43" spans="2:5">
      <c r="B43" s="88" t="s">
        <v>405</v>
      </c>
      <c r="C43" s="77"/>
      <c r="D43" s="77"/>
    </row>
    <row r="44" spans="2:5">
      <c r="B44" s="77" t="s">
        <v>406</v>
      </c>
      <c r="C44" s="93">
        <v>45758.5</v>
      </c>
      <c r="D44" s="77" t="s">
        <v>23</v>
      </c>
    </row>
    <row r="45" spans="2:5">
      <c r="B45" s="77" t="s">
        <v>407</v>
      </c>
      <c r="C45" s="78">
        <f>C44/C13*100</f>
        <v>45.582690085075789</v>
      </c>
      <c r="D45" s="77" t="s">
        <v>41</v>
      </c>
    </row>
    <row r="47" spans="2:5">
      <c r="B47" s="88" t="s">
        <v>369</v>
      </c>
      <c r="C47" s="77"/>
      <c r="D47" s="77"/>
    </row>
    <row r="48" spans="2:5">
      <c r="B48" s="77" t="s">
        <v>402</v>
      </c>
      <c r="C48" s="77">
        <v>253.14</v>
      </c>
      <c r="D48" s="77" t="s">
        <v>28</v>
      </c>
      <c r="E48" s="42" t="s">
        <v>408</v>
      </c>
    </row>
    <row r="49" spans="2:5">
      <c r="B49" s="77" t="s">
        <v>403</v>
      </c>
      <c r="C49" s="93">
        <v>1001.41</v>
      </c>
      <c r="D49" s="77" t="s">
        <v>143</v>
      </c>
    </row>
    <row r="50" spans="2:5">
      <c r="B50" s="77" t="s">
        <v>409</v>
      </c>
      <c r="C50" s="77">
        <v>23.1</v>
      </c>
      <c r="D50" s="77" t="s">
        <v>41</v>
      </c>
    </row>
    <row r="52" spans="2:5">
      <c r="B52" s="88" t="s">
        <v>410</v>
      </c>
      <c r="C52" s="77"/>
      <c r="D52" s="77"/>
    </row>
    <row r="53" spans="2:5">
      <c r="B53" s="77" t="s">
        <v>402</v>
      </c>
      <c r="C53" s="77">
        <v>79.069999999999993</v>
      </c>
      <c r="D53" s="77" t="s">
        <v>28</v>
      </c>
      <c r="E53" s="42" t="s">
        <v>408</v>
      </c>
    </row>
    <row r="54" spans="2:5">
      <c r="B54" s="77" t="s">
        <v>406</v>
      </c>
      <c r="C54" s="93">
        <v>6639.8</v>
      </c>
      <c r="D54" s="77" t="s">
        <v>23</v>
      </c>
      <c r="E54" s="42" t="s">
        <v>411</v>
      </c>
    </row>
    <row r="55" spans="2:5">
      <c r="B55" s="77" t="s">
        <v>412</v>
      </c>
      <c r="C55" s="77">
        <v>13.4</v>
      </c>
      <c r="D55" s="77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4:E32"/>
  <sheetViews>
    <sheetView topLeftCell="A46" zoomScaleNormal="100" workbookViewId="0">
      <selection activeCell="E12" sqref="E12"/>
    </sheetView>
  </sheetViews>
  <sheetFormatPr defaultRowHeight="15"/>
  <cols>
    <col min="2" max="2" width="31" customWidth="1"/>
  </cols>
  <sheetData>
    <row r="14" spans="2:2" ht="23.25">
      <c r="B14" s="264" t="s">
        <v>413</v>
      </c>
    </row>
    <row r="18" spans="2:5">
      <c r="B18" s="1" t="s">
        <v>6</v>
      </c>
      <c r="C18" s="2">
        <v>2019</v>
      </c>
      <c r="D18" s="1"/>
    </row>
    <row r="19" spans="2:5">
      <c r="C19" s="169" t="s">
        <v>28</v>
      </c>
      <c r="D19" s="165" t="s">
        <v>41</v>
      </c>
    </row>
    <row r="20" spans="2:5">
      <c r="B20" s="3" t="s">
        <v>414</v>
      </c>
      <c r="C20" s="10">
        <v>437.82</v>
      </c>
      <c r="D20" s="7">
        <f>$C20/$C$23</f>
        <v>0.97825320688000372</v>
      </c>
    </row>
    <row r="21" spans="2:5">
      <c r="B21" s="11" t="s">
        <v>415</v>
      </c>
      <c r="C21" s="12">
        <v>5.7</v>
      </c>
      <c r="D21" s="240">
        <f>$C21/$C$23</f>
        <v>1.2735926360641409E-2</v>
      </c>
    </row>
    <row r="22" spans="2:5">
      <c r="B22" s="11" t="s">
        <v>416</v>
      </c>
      <c r="C22" s="12">
        <v>4.0328390000000001</v>
      </c>
      <c r="D22" s="240">
        <f>$C22/$C$23</f>
        <v>9.0108667593548665E-3</v>
      </c>
    </row>
    <row r="23" spans="2:5">
      <c r="B23" s="168" t="s">
        <v>318</v>
      </c>
      <c r="C23" s="265">
        <f>SUM(C20:C22)</f>
        <v>447.55283900000001</v>
      </c>
      <c r="D23" s="140">
        <f>$C23/$C$23</f>
        <v>1</v>
      </c>
    </row>
    <row r="26" spans="2:5">
      <c r="B26" s="6" t="s">
        <v>417</v>
      </c>
    </row>
    <row r="27" spans="2:5">
      <c r="B27" t="s">
        <v>418</v>
      </c>
      <c r="C27" s="239">
        <v>0.31</v>
      </c>
    </row>
    <row r="28" spans="2:5">
      <c r="B28" t="s">
        <v>419</v>
      </c>
      <c r="C28" s="239">
        <v>0.21</v>
      </c>
      <c r="D28" t="s">
        <v>420</v>
      </c>
      <c r="E28" t="s">
        <v>421</v>
      </c>
    </row>
    <row r="29" spans="2:5">
      <c r="B29" t="s">
        <v>422</v>
      </c>
      <c r="C29" s="239">
        <v>0.02</v>
      </c>
    </row>
    <row r="32" spans="2:5">
      <c r="B32" s="6" t="s">
        <v>423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Growth 2010-2021</vt:lpstr>
      <vt:lpstr>Structures</vt:lpstr>
      <vt:lpstr>Charts-ELECTRICITY</vt:lpstr>
      <vt:lpstr>Charts-National</vt:lpstr>
      <vt:lpstr>Charts-TRANSP</vt:lpstr>
      <vt:lpstr>Charts-RESIDENTIAL</vt:lpstr>
      <vt:lpstr>Charts-SERVICE</vt:lpstr>
      <vt:lpstr>Key Energy Figures</vt:lpstr>
      <vt:lpstr>Booklet-2019</vt:lpstr>
    </vt:vector>
  </TitlesOfParts>
  <Company>Deftones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revision/>
  <dcterms:created xsi:type="dcterms:W3CDTF">2019-10-28T11:48:41Z</dcterms:created>
  <dcterms:modified xsi:type="dcterms:W3CDTF">2022-11-08T07:45:19Z</dcterms:modified>
</cp:coreProperties>
</file>