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heme/themeOverride1.xml" ContentType="application/vnd.openxmlformats-officedocument.themeOverrid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Generation-Summary (2)" sheetId="4" r:id="rId1"/>
    <sheet name="Sheet1" sheetId="1" r:id="rId2"/>
    <sheet name="Sheet2" sheetId="2" r:id="rId3"/>
    <sheet name="Sheet3" sheetId="3" r:id="rId4"/>
  </sheets>
  <calcPr calcId="125725" calcMode="autoNoTable" iterate="1"/>
</workbook>
</file>

<file path=xl/calcChain.xml><?xml version="1.0" encoding="utf-8"?>
<calcChain xmlns="http://schemas.openxmlformats.org/spreadsheetml/2006/main">
  <c r="L166" i="4"/>
  <c r="D166"/>
  <c r="M164"/>
  <c r="L164"/>
  <c r="G164"/>
  <c r="F164"/>
  <c r="M163"/>
  <c r="L163"/>
  <c r="F163"/>
  <c r="G163" s="1"/>
  <c r="M162"/>
  <c r="L162"/>
  <c r="G162"/>
  <c r="F162"/>
  <c r="M161"/>
  <c r="L161"/>
  <c r="G161"/>
  <c r="F161"/>
  <c r="M160"/>
  <c r="L160"/>
  <c r="G160"/>
  <c r="F160"/>
  <c r="G159"/>
  <c r="G166" s="1"/>
  <c r="F159"/>
  <c r="F166" s="1"/>
  <c r="D145"/>
  <c r="F144"/>
  <c r="F142"/>
  <c r="F143" s="1"/>
  <c r="N141"/>
  <c r="M141"/>
  <c r="H141"/>
  <c r="O140"/>
  <c r="N140"/>
  <c r="M140"/>
  <c r="H140"/>
  <c r="Q140" s="1"/>
  <c r="H139"/>
  <c r="M139" s="1"/>
  <c r="M138"/>
  <c r="H138"/>
  <c r="N138" s="1"/>
  <c r="N137"/>
  <c r="M137"/>
  <c r="H137"/>
  <c r="O137" s="1"/>
  <c r="O136"/>
  <c r="N136"/>
  <c r="H136"/>
  <c r="Q136" s="1"/>
  <c r="H135"/>
  <c r="M135" s="1"/>
  <c r="M134"/>
  <c r="H134"/>
  <c r="N134" s="1"/>
  <c r="N133"/>
  <c r="M133"/>
  <c r="H133"/>
  <c r="O133" s="1"/>
  <c r="J125"/>
  <c r="J126" s="1"/>
  <c r="G143" s="1"/>
  <c r="G110"/>
  <c r="G109"/>
  <c r="G108"/>
  <c r="G107"/>
  <c r="G106"/>
  <c r="G105"/>
  <c r="G104"/>
  <c r="G103"/>
  <c r="G102"/>
  <c r="G101"/>
  <c r="G100"/>
  <c r="M99"/>
  <c r="G99"/>
  <c r="M98"/>
  <c r="G98"/>
  <c r="G97"/>
  <c r="G96"/>
  <c r="G95"/>
  <c r="G94"/>
  <c r="G93"/>
  <c r="G92"/>
  <c r="X51"/>
  <c r="W51"/>
  <c r="Y51" s="1"/>
  <c r="V51"/>
  <c r="S51"/>
  <c r="R51"/>
  <c r="N51"/>
  <c r="I51"/>
  <c r="H51"/>
  <c r="E51"/>
  <c r="D51"/>
  <c r="J51" s="1"/>
  <c r="X50"/>
  <c r="W50"/>
  <c r="Y50" s="1"/>
  <c r="U50"/>
  <c r="T50"/>
  <c r="V50" s="1"/>
  <c r="S50"/>
  <c r="N50"/>
  <c r="H50"/>
  <c r="I50" s="1"/>
  <c r="D50"/>
  <c r="E50" s="1"/>
  <c r="X49"/>
  <c r="W49"/>
  <c r="Y49" s="1"/>
  <c r="T49"/>
  <c r="S49"/>
  <c r="N49"/>
  <c r="L49"/>
  <c r="U49" s="1"/>
  <c r="I49"/>
  <c r="H49"/>
  <c r="AI49" s="1"/>
  <c r="E49"/>
  <c r="D49"/>
  <c r="AG49" s="1"/>
  <c r="X48"/>
  <c r="W48"/>
  <c r="Y48" s="1"/>
  <c r="U48"/>
  <c r="T48"/>
  <c r="V48" s="1"/>
  <c r="S48"/>
  <c r="N48"/>
  <c r="L48"/>
  <c r="I48"/>
  <c r="H48"/>
  <c r="AI48" s="1"/>
  <c r="E48"/>
  <c r="D48"/>
  <c r="J48" s="1"/>
  <c r="AG47"/>
  <c r="X47"/>
  <c r="W47"/>
  <c r="Y47" s="1"/>
  <c r="U47"/>
  <c r="T47"/>
  <c r="V47" s="1"/>
  <c r="S47"/>
  <c r="N47"/>
  <c r="L47"/>
  <c r="I47"/>
  <c r="H47"/>
  <c r="AI47" s="1"/>
  <c r="E47"/>
  <c r="D47"/>
  <c r="J47" s="1"/>
  <c r="X46"/>
  <c r="W46"/>
  <c r="Y46" s="1"/>
  <c r="U46"/>
  <c r="T46"/>
  <c r="V46" s="1"/>
  <c r="S46"/>
  <c r="N46"/>
  <c r="L46"/>
  <c r="I46"/>
  <c r="H46"/>
  <c r="AI46" s="1"/>
  <c r="E46"/>
  <c r="D46"/>
  <c r="J46" s="1"/>
  <c r="X45"/>
  <c r="W45"/>
  <c r="Y45" s="1"/>
  <c r="U45"/>
  <c r="T45"/>
  <c r="V45" s="1"/>
  <c r="S45"/>
  <c r="N45"/>
  <c r="L45"/>
  <c r="I45"/>
  <c r="H45"/>
  <c r="AI45" s="1"/>
  <c r="E45"/>
  <c r="D45"/>
  <c r="J45" s="1"/>
  <c r="AG44"/>
  <c r="X44"/>
  <c r="W44"/>
  <c r="Y44" s="1"/>
  <c r="U44"/>
  <c r="T44"/>
  <c r="V44" s="1"/>
  <c r="S44"/>
  <c r="N44"/>
  <c r="L44"/>
  <c r="I44"/>
  <c r="H44"/>
  <c r="AI44" s="1"/>
  <c r="E44"/>
  <c r="D44"/>
  <c r="J44" s="1"/>
  <c r="X43"/>
  <c r="W43"/>
  <c r="Y43" s="1"/>
  <c r="U43"/>
  <c r="T43"/>
  <c r="V43" s="1"/>
  <c r="S43"/>
  <c r="N43"/>
  <c r="L43"/>
  <c r="I43"/>
  <c r="H43"/>
  <c r="AI43" s="1"/>
  <c r="E43"/>
  <c r="D43"/>
  <c r="J43" s="1"/>
  <c r="Y42"/>
  <c r="X42"/>
  <c r="W42"/>
  <c r="U42"/>
  <c r="T42"/>
  <c r="V42" s="1"/>
  <c r="S42"/>
  <c r="N42"/>
  <c r="H42"/>
  <c r="D42"/>
  <c r="Y41"/>
  <c r="X41"/>
  <c r="W41"/>
  <c r="U41"/>
  <c r="T41"/>
  <c r="V41" s="1"/>
  <c r="S41"/>
  <c r="N41"/>
  <c r="H41"/>
  <c r="D41"/>
  <c r="Y40"/>
  <c r="X40"/>
  <c r="W40"/>
  <c r="U40"/>
  <c r="T40"/>
  <c r="S40"/>
  <c r="N40"/>
  <c r="H40"/>
  <c r="D40"/>
  <c r="P32"/>
  <c r="P31"/>
  <c r="P30"/>
  <c r="P29"/>
  <c r="Y28"/>
  <c r="P28"/>
  <c r="X27"/>
  <c r="X29" s="1"/>
  <c r="Y29" s="1"/>
  <c r="P27"/>
  <c r="Y26"/>
  <c r="P26"/>
  <c r="Y25"/>
  <c r="X25"/>
  <c r="P25"/>
  <c r="AI21"/>
  <c r="AI20"/>
  <c r="Z16"/>
  <c r="AE16" s="1"/>
  <c r="Y16"/>
  <c r="AD16" s="1"/>
  <c r="W16"/>
  <c r="T16"/>
  <c r="S16"/>
  <c r="P16"/>
  <c r="O16"/>
  <c r="J16"/>
  <c r="X16" s="1"/>
  <c r="D16"/>
  <c r="F16" s="1"/>
  <c r="Z15"/>
  <c r="AA15" s="1"/>
  <c r="AB15" s="1"/>
  <c r="Y15"/>
  <c r="AD15" s="1"/>
  <c r="S15"/>
  <c r="P15"/>
  <c r="O15"/>
  <c r="D15"/>
  <c r="F15" s="1"/>
  <c r="BA14"/>
  <c r="AX14"/>
  <c r="AM14"/>
  <c r="AK14"/>
  <c r="AL14" s="1"/>
  <c r="AA14"/>
  <c r="AB14" s="1"/>
  <c r="X14"/>
  <c r="S14"/>
  <c r="D14"/>
  <c r="F14" s="1"/>
  <c r="BA13"/>
  <c r="AK13"/>
  <c r="AL13" s="1"/>
  <c r="Z13"/>
  <c r="AX13" s="1"/>
  <c r="X13"/>
  <c r="D13"/>
  <c r="F13" s="1"/>
  <c r="BA12"/>
  <c r="AK12"/>
  <c r="AL12" s="1"/>
  <c r="Z12"/>
  <c r="AX12" s="1"/>
  <c r="X12"/>
  <c r="D12"/>
  <c r="F12" s="1"/>
  <c r="AK11"/>
  <c r="AL11" s="1"/>
  <c r="Z11"/>
  <c r="AX11" s="1"/>
  <c r="X11"/>
  <c r="D11"/>
  <c r="F11" s="1"/>
  <c r="AK10"/>
  <c r="AL10" s="1"/>
  <c r="AA10"/>
  <c r="AB10" s="1"/>
  <c r="Z10"/>
  <c r="AX10" s="1"/>
  <c r="X10"/>
  <c r="D10"/>
  <c r="F10" s="1"/>
  <c r="AK9"/>
  <c r="AL9" s="1"/>
  <c r="Z9"/>
  <c r="AX9" s="1"/>
  <c r="X9"/>
  <c r="Q9"/>
  <c r="Q10" s="1"/>
  <c r="L9"/>
  <c r="L10" s="1"/>
  <c r="D9"/>
  <c r="F9" s="1"/>
  <c r="AX8"/>
  <c r="AK8"/>
  <c r="AL8" s="1"/>
  <c r="X8"/>
  <c r="D8"/>
  <c r="F8" s="1"/>
  <c r="AC41" l="1"/>
  <c r="Z41"/>
  <c r="AA41" s="1"/>
  <c r="Z44"/>
  <c r="AA44" s="1"/>
  <c r="AC45"/>
  <c r="Z45"/>
  <c r="AA45" s="1"/>
  <c r="AK46"/>
  <c r="O46"/>
  <c r="K46"/>
  <c r="Z50"/>
  <c r="AA50" s="1"/>
  <c r="AF50"/>
  <c r="K51"/>
  <c r="O51"/>
  <c r="Z46"/>
  <c r="AA46" s="1"/>
  <c r="AK47"/>
  <c r="O47"/>
  <c r="K47"/>
  <c r="AK48"/>
  <c r="O48"/>
  <c r="K48"/>
  <c r="AD41"/>
  <c r="AB46"/>
  <c r="AD51"/>
  <c r="AF16"/>
  <c r="AG16" s="1"/>
  <c r="AB47"/>
  <c r="Z51"/>
  <c r="Q11"/>
  <c r="S10"/>
  <c r="AK43"/>
  <c r="O43"/>
  <c r="K43"/>
  <c r="AC47"/>
  <c r="Z47"/>
  <c r="AA47" s="1"/>
  <c r="Z48"/>
  <c r="AA48" s="1"/>
  <c r="V49"/>
  <c r="L11"/>
  <c r="O10"/>
  <c r="Z42"/>
  <c r="AC42" s="1"/>
  <c r="Z43"/>
  <c r="AA43" s="1"/>
  <c r="AK44"/>
  <c r="O44"/>
  <c r="K44"/>
  <c r="AK45"/>
  <c r="O45"/>
  <c r="K45"/>
  <c r="AB43"/>
  <c r="AD44"/>
  <c r="AD45"/>
  <c r="AD50"/>
  <c r="AA56"/>
  <c r="AB41"/>
  <c r="AB44"/>
  <c r="AB45"/>
  <c r="AD46"/>
  <c r="AB50"/>
  <c r="AA9"/>
  <c r="AB9" s="1"/>
  <c r="AE15"/>
  <c r="AF15" s="1"/>
  <c r="AG15" s="1"/>
  <c r="V40"/>
  <c r="AG43"/>
  <c r="AG45"/>
  <c r="AG46"/>
  <c r="AG48"/>
  <c r="J50"/>
  <c r="Q135"/>
  <c r="Q139"/>
  <c r="H144"/>
  <c r="H142" s="1"/>
  <c r="O9"/>
  <c r="AA12"/>
  <c r="AB12" s="1"/>
  <c r="AA42"/>
  <c r="J49"/>
  <c r="Q134"/>
  <c r="O135"/>
  <c r="Q138"/>
  <c r="O139"/>
  <c r="AA11"/>
  <c r="AB11" s="1"/>
  <c r="AA16"/>
  <c r="AB16" s="1"/>
  <c r="Q133"/>
  <c r="O134"/>
  <c r="N135"/>
  <c r="M136"/>
  <c r="Q137"/>
  <c r="O138"/>
  <c r="N139"/>
  <c r="Q141"/>
  <c r="S9"/>
  <c r="AA13"/>
  <c r="AB13" s="1"/>
  <c r="Y27"/>
  <c r="O141"/>
  <c r="H143" l="1"/>
  <c r="Q142"/>
  <c r="N142"/>
  <c r="C142"/>
  <c r="M142" s="1"/>
  <c r="O142"/>
  <c r="AC40"/>
  <c r="Z40"/>
  <c r="AB51"/>
  <c r="AC51"/>
  <c r="AA51"/>
  <c r="AD47"/>
  <c r="AK49"/>
  <c r="O49"/>
  <c r="K49"/>
  <c r="K50"/>
  <c r="O50"/>
  <c r="AD42"/>
  <c r="AB42"/>
  <c r="AC49"/>
  <c r="Z49"/>
  <c r="AF49"/>
  <c r="AA55"/>
  <c r="Z53"/>
  <c r="AD43"/>
  <c r="AD48"/>
  <c r="AC50"/>
  <c r="L12"/>
  <c r="O11"/>
  <c r="AC43"/>
  <c r="AC48"/>
  <c r="AC46"/>
  <c r="AC44"/>
  <c r="Q12"/>
  <c r="S11"/>
  <c r="AB48"/>
  <c r="Q13" l="1"/>
  <c r="S13" s="1"/>
  <c r="S12"/>
  <c r="Q143"/>
  <c r="C143"/>
  <c r="M143" s="1"/>
  <c r="N143"/>
  <c r="O144" s="1"/>
  <c r="P143"/>
  <c r="O143"/>
  <c r="O12"/>
  <c r="L13"/>
  <c r="AB40"/>
  <c r="AD40"/>
  <c r="AA40"/>
  <c r="AA49"/>
  <c r="AD49"/>
  <c r="AB49"/>
  <c r="L14" l="1"/>
  <c r="O13"/>
  <c r="J15" l="1"/>
  <c r="X15" s="1"/>
  <c r="O14"/>
</calcChain>
</file>

<file path=xl/comments1.xml><?xml version="1.0" encoding="utf-8"?>
<comments xmlns="http://schemas.openxmlformats.org/spreadsheetml/2006/main">
  <authors>
    <author>ACER</author>
  </authors>
  <commentList>
    <comment ref="H165" authorId="0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data is up to Nov 2019 only</t>
        </r>
      </text>
    </comment>
  </commentList>
</comments>
</file>

<file path=xl/sharedStrings.xml><?xml version="1.0" encoding="utf-8"?>
<sst xmlns="http://schemas.openxmlformats.org/spreadsheetml/2006/main" count="255" uniqueCount="136">
  <si>
    <t>Electricity Generated from Renewable Energy</t>
  </si>
  <si>
    <t>Port-Victoria Wind Farm</t>
  </si>
  <si>
    <t>GRID-CONNECTED SOLAR PV</t>
  </si>
  <si>
    <t>All RE Wind+PV</t>
  </si>
  <si>
    <t>OFF-GRID SOLAR PV</t>
  </si>
  <si>
    <t>Total On-grid RE</t>
  </si>
  <si>
    <t xml:space="preserve">Estimation of max payment by PUC for </t>
  </si>
  <si>
    <t>MAHE</t>
  </si>
  <si>
    <t>PRASLIN</t>
  </si>
  <si>
    <t>LA DIGUE</t>
  </si>
  <si>
    <t>SEYCHELLES OVERALL</t>
  </si>
  <si>
    <t xml:space="preserve">Additional </t>
  </si>
  <si>
    <t xml:space="preserve">Cumulative </t>
  </si>
  <si>
    <t xml:space="preserve">Annual </t>
  </si>
  <si>
    <t>kWh injected to the gri</t>
  </si>
  <si>
    <t>Year</t>
  </si>
  <si>
    <t>Capacity</t>
  </si>
  <si>
    <t>Production</t>
  </si>
  <si>
    <t>AFLH</t>
  </si>
  <si>
    <t>CF</t>
  </si>
  <si>
    <t>Additional Capacity</t>
  </si>
  <si>
    <t>Solar PV Farm</t>
  </si>
  <si>
    <t>Distributed Solar PV Cumulative Capacity</t>
  </si>
  <si>
    <t>Production of  Solar PV Farm</t>
  </si>
  <si>
    <t>Production of DG solar PV</t>
  </si>
  <si>
    <t>FLH</t>
  </si>
  <si>
    <t>Total Capacity</t>
  </si>
  <si>
    <t>Plant</t>
  </si>
  <si>
    <t>Year of Inst.</t>
  </si>
  <si>
    <t>Owner</t>
  </si>
  <si>
    <t>year</t>
  </si>
  <si>
    <t>GWh</t>
  </si>
  <si>
    <t>Buy back rate</t>
  </si>
  <si>
    <t>kW</t>
  </si>
  <si>
    <t>kWh</t>
  </si>
  <si>
    <t>hr/yr</t>
  </si>
  <si>
    <t>SR/kWh</t>
  </si>
  <si>
    <t>Aldabra</t>
  </si>
  <si>
    <t>SIF</t>
  </si>
  <si>
    <t>Curieuse</t>
  </si>
  <si>
    <t>Alphonse</t>
  </si>
  <si>
    <t>IDC</t>
  </si>
  <si>
    <t>Running</t>
  </si>
  <si>
    <t>Astove</t>
  </si>
  <si>
    <t>Farquhar</t>
  </si>
  <si>
    <t>Desroches</t>
  </si>
  <si>
    <t>Not yet</t>
  </si>
  <si>
    <t>AFLH:</t>
  </si>
  <si>
    <t>Annual Full Load Hours (the equivalent number of hours per year where the RE plant operates at full capacity, here 6MW)</t>
  </si>
  <si>
    <t>CF:</t>
  </si>
  <si>
    <t>Capacity Factor (it is the same as the AFLH expressed in terms of the fraction or percentage of the total number of hours in a year_8760 hours)</t>
  </si>
  <si>
    <t>No. Panels</t>
  </si>
  <si>
    <t>Watt</t>
  </si>
  <si>
    <t>Coverage</t>
  </si>
  <si>
    <t>of the island's electricity</t>
  </si>
  <si>
    <t>Mahe</t>
  </si>
  <si>
    <t>LFO</t>
  </si>
  <si>
    <t>HFO</t>
  </si>
  <si>
    <t>IDC has 60% RE in their energy mix</t>
  </si>
  <si>
    <t xml:space="preserve">New Port </t>
  </si>
  <si>
    <t>BSA</t>
  </si>
  <si>
    <t>Reasons for installing the solar PV by IDC: 1) to bring down the total cost of energy in the country</t>
  </si>
  <si>
    <t xml:space="preserve">Roche Caiman </t>
  </si>
  <si>
    <t>La Digue</t>
  </si>
  <si>
    <t>2) to lessen our carbon footprint</t>
  </si>
  <si>
    <t>Total</t>
  </si>
  <si>
    <t>Wind Farm</t>
  </si>
  <si>
    <t>Solar PV</t>
  </si>
  <si>
    <t>Total PUC</t>
  </si>
  <si>
    <t>PV-Third Party</t>
  </si>
  <si>
    <t>Renewable Energy</t>
  </si>
  <si>
    <t>Electricity Generation</t>
  </si>
  <si>
    <t>all in GWh</t>
  </si>
  <si>
    <t>Gross Production</t>
  </si>
  <si>
    <t>PRASLIN &amp; LA DIGUE</t>
  </si>
  <si>
    <t xml:space="preserve"> Electricity Generation Mix</t>
  </si>
  <si>
    <t>RE</t>
  </si>
  <si>
    <t>Fuel Savings</t>
  </si>
  <si>
    <t>Vic-B Newport</t>
  </si>
  <si>
    <t>Vic-C Roche Caiman</t>
  </si>
  <si>
    <t>LFO &amp; HFO</t>
  </si>
  <si>
    <t>Fuel Mahe</t>
  </si>
  <si>
    <t>Wind</t>
  </si>
  <si>
    <t>Renewable</t>
  </si>
  <si>
    <t>BSA-Praslin</t>
  </si>
  <si>
    <t>Praslin</t>
  </si>
  <si>
    <t>HFO &amp; LFO</t>
  </si>
  <si>
    <t>Seychelles</t>
  </si>
  <si>
    <t>HFO/LFO</t>
  </si>
  <si>
    <t>Target</t>
  </si>
  <si>
    <t>Sub-total</t>
  </si>
  <si>
    <t>%HFO</t>
  </si>
  <si>
    <t>Grand Total</t>
  </si>
  <si>
    <t>total</t>
  </si>
  <si>
    <t>Shares of elec generated from LFO</t>
  </si>
  <si>
    <t>in Vic B</t>
  </si>
  <si>
    <t>in Vic C</t>
  </si>
  <si>
    <t>on Mahe</t>
  </si>
  <si>
    <t>Avrg: 1.5%</t>
  </si>
  <si>
    <t>Avrg: 0.09%</t>
  </si>
  <si>
    <t>Avrg: 0.216%</t>
  </si>
  <si>
    <t>Praslin&amp;La Digue</t>
  </si>
  <si>
    <t>Total Generation Summary (PUC+Autoproducers)</t>
  </si>
  <si>
    <t>wind</t>
  </si>
  <si>
    <t>solar</t>
  </si>
  <si>
    <t>PUC Therm</t>
  </si>
  <si>
    <t>Auto-producers</t>
  </si>
  <si>
    <t>TOTAL</t>
  </si>
  <si>
    <t>Forecast of the Annual Production of the 5 MW Solar Park</t>
  </si>
  <si>
    <t>Estimated Annual Full-Load-Hours:</t>
  </si>
  <si>
    <t>1200 to 1400 hours/year</t>
  </si>
  <si>
    <t>5 MW</t>
  </si>
  <si>
    <t>Annual Production:</t>
  </si>
  <si>
    <t>5 MW x 1300 hours</t>
  </si>
  <si>
    <t>MWh</t>
  </si>
  <si>
    <t>or</t>
  </si>
  <si>
    <t xml:space="preserve">Forecast of Electricity Generation for 2019 and 2020 in GWh </t>
  </si>
  <si>
    <t>Shares in Total Generation</t>
  </si>
  <si>
    <t xml:space="preserve">Ongrid </t>
  </si>
  <si>
    <t>PUC</t>
  </si>
  <si>
    <t>Distributed</t>
  </si>
  <si>
    <t>5MW</t>
  </si>
  <si>
    <t>Ongrid Distributed</t>
  </si>
  <si>
    <t>Solar Park</t>
  </si>
  <si>
    <t>AAGR</t>
  </si>
  <si>
    <t>Total Share of RE in 2020:</t>
  </si>
  <si>
    <t>Average</t>
  </si>
  <si>
    <t xml:space="preserve">Assumptions: </t>
  </si>
  <si>
    <t>1. It is assumed that ongrid distributed solar PV will grow at the same rate as in 2014-2018</t>
  </si>
  <si>
    <t>2. It is also assumed that national electricity demand will grow at the rate of 4.5% per year as it was during the period 2010-2018</t>
  </si>
  <si>
    <t>Full Load Hours per Year (FLH) and Capacity Factor (CF)</t>
  </si>
  <si>
    <t>Ongrid Distributed Solar PV</t>
  </si>
  <si>
    <t>Cumul Capacity</t>
  </si>
  <si>
    <t>Overall CF</t>
  </si>
  <si>
    <t>MW</t>
  </si>
  <si>
    <t>hours/yr</t>
  </si>
</sst>
</file>

<file path=xl/styles.xml><?xml version="1.0" encoding="utf-8"?>
<styleSheet xmlns="http://schemas.openxmlformats.org/spreadsheetml/2006/main">
  <numFmts count="11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-* #,##0_-;\-* #,##0_-;_-* &quot;-&quot;??_-;_-@_-"/>
    <numFmt numFmtId="167" formatCode="_(* #,##0.0_);_(* \(#,##0.0\);_(* &quot;-&quot;??_);_(@_)"/>
    <numFmt numFmtId="168" formatCode="_(* #,##0.00000_);_(* \(#,##0.00000\);_(* &quot;-&quot;??_);_(@_)"/>
    <numFmt numFmtId="169" formatCode="0.0%"/>
    <numFmt numFmtId="170" formatCode="_(* #,##0.000_);_(* \(#,##0.000\);_(* &quot;-&quot;??_);_(@_)"/>
    <numFmt numFmtId="171" formatCode="0.000%"/>
    <numFmt numFmtId="172" formatCode="0.0000%"/>
    <numFmt numFmtId="173" formatCode="_(* #,##0.0000_);_(* \(#,##0.0000\);_(* &quot;-&quot;??_);_(@_)"/>
  </numFmts>
  <fonts count="3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b/>
      <sz val="9"/>
      <color theme="5" tint="-0.249977111117893"/>
      <name val="Calibri"/>
      <family val="2"/>
      <scheme val="minor"/>
    </font>
    <font>
      <sz val="11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name val="Arial"/>
      <family val="2"/>
    </font>
    <font>
      <sz val="10"/>
      <name val="Maiandra GD"/>
      <family val="2"/>
    </font>
    <font>
      <sz val="8"/>
      <name val="Maiandra GD"/>
      <family val="2"/>
    </font>
    <font>
      <sz val="7"/>
      <name val="Maiandra GD"/>
      <family val="2"/>
    </font>
    <font>
      <b/>
      <u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Arial"/>
      <family val="2"/>
    </font>
    <font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5BF923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249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Border="1"/>
    <xf numFmtId="0" fontId="3" fillId="0" borderId="0" xfId="1" applyFont="1" applyBorder="1"/>
    <xf numFmtId="0" fontId="4" fillId="0" borderId="0" xfId="1" applyFont="1"/>
    <xf numFmtId="0" fontId="5" fillId="2" borderId="1" xfId="1" applyFont="1" applyFill="1" applyBorder="1" applyAlignment="1">
      <alignment horizontal="center"/>
    </xf>
    <xf numFmtId="0" fontId="6" fillId="3" borderId="2" xfId="1" applyFont="1" applyFill="1" applyBorder="1" applyAlignment="1"/>
    <xf numFmtId="0" fontId="6" fillId="3" borderId="3" xfId="1" applyFont="1" applyFill="1" applyBorder="1" applyAlignment="1"/>
    <xf numFmtId="0" fontId="6" fillId="3" borderId="4" xfId="1" applyFont="1" applyFill="1" applyBorder="1" applyAlignment="1"/>
    <xf numFmtId="0" fontId="5" fillId="3" borderId="2" xfId="1" applyFont="1" applyFill="1" applyBorder="1" applyAlignment="1"/>
    <xf numFmtId="0" fontId="5" fillId="3" borderId="3" xfId="1" applyFont="1" applyFill="1" applyBorder="1" applyAlignment="1"/>
    <xf numFmtId="0" fontId="5" fillId="3" borderId="4" xfId="1" applyFont="1" applyFill="1" applyBorder="1" applyAlignment="1"/>
    <xf numFmtId="0" fontId="5" fillId="3" borderId="2" xfId="1" applyFont="1" applyFill="1" applyBorder="1" applyAlignment="1">
      <alignment horizontal="center"/>
    </xf>
    <xf numFmtId="0" fontId="5" fillId="3" borderId="4" xfId="1" applyFont="1" applyFill="1" applyBorder="1" applyAlignment="1">
      <alignment horizontal="center"/>
    </xf>
    <xf numFmtId="0" fontId="4" fillId="4" borderId="0" xfId="1" applyFont="1" applyFill="1"/>
    <xf numFmtId="0" fontId="1" fillId="5" borderId="2" xfId="1" applyFill="1" applyBorder="1" applyAlignment="1"/>
    <xf numFmtId="0" fontId="1" fillId="5" borderId="3" xfId="1" applyFill="1" applyBorder="1" applyAlignment="1"/>
    <xf numFmtId="0" fontId="1" fillId="5" borderId="4" xfId="1" applyFill="1" applyBorder="1" applyAlignment="1"/>
    <xf numFmtId="0" fontId="1" fillId="5" borderId="2" xfId="1" applyFill="1" applyBorder="1" applyAlignment="1">
      <alignment horizontal="center"/>
    </xf>
    <xf numFmtId="0" fontId="1" fillId="5" borderId="3" xfId="1" applyFill="1" applyBorder="1" applyAlignment="1">
      <alignment horizontal="center"/>
    </xf>
    <xf numFmtId="0" fontId="1" fillId="5" borderId="4" xfId="1" applyFill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1" fillId="0" borderId="0" xfId="1" quotePrefix="1"/>
    <xf numFmtId="0" fontId="5" fillId="6" borderId="5" xfId="1" applyFont="1" applyFill="1" applyBorder="1" applyAlignment="1">
      <alignment horizontal="center"/>
    </xf>
    <xf numFmtId="0" fontId="5" fillId="6" borderId="6" xfId="1" applyFont="1" applyFill="1" applyBorder="1"/>
    <xf numFmtId="0" fontId="4" fillId="6" borderId="1" xfId="1" applyFont="1" applyFill="1" applyBorder="1"/>
    <xf numFmtId="0" fontId="5" fillId="6" borderId="1" xfId="1" applyFont="1" applyFill="1" applyBorder="1" applyAlignment="1">
      <alignment horizontal="center"/>
    </xf>
    <xf numFmtId="0" fontId="4" fillId="6" borderId="2" xfId="1" applyFont="1" applyFill="1" applyBorder="1"/>
    <xf numFmtId="0" fontId="7" fillId="6" borderId="1" xfId="1" applyFont="1" applyFill="1" applyBorder="1" applyAlignment="1">
      <alignment horizontal="center" vertical="center" wrapText="1"/>
    </xf>
    <xf numFmtId="0" fontId="7" fillId="6" borderId="4" xfId="1" applyFont="1" applyFill="1" applyBorder="1" applyAlignment="1">
      <alignment horizontal="center" vertical="center" wrapText="1"/>
    </xf>
    <xf numFmtId="0" fontId="7" fillId="6" borderId="7" xfId="1" applyFont="1" applyFill="1" applyBorder="1" applyAlignment="1">
      <alignment horizontal="center" vertical="center" wrapText="1"/>
    </xf>
    <xf numFmtId="0" fontId="7" fillId="6" borderId="8" xfId="1" applyFont="1" applyFill="1" applyBorder="1" applyAlignment="1">
      <alignment horizontal="center" vertical="center" wrapText="1"/>
    </xf>
    <xf numFmtId="0" fontId="7" fillId="6" borderId="9" xfId="1" applyFont="1" applyFill="1" applyBorder="1" applyAlignment="1">
      <alignment horizontal="center" vertical="center" wrapText="1"/>
    </xf>
    <xf numFmtId="0" fontId="8" fillId="6" borderId="7" xfId="1" applyFont="1" applyFill="1" applyBorder="1" applyAlignment="1">
      <alignment horizontal="center" vertical="center" wrapText="1"/>
    </xf>
    <xf numFmtId="0" fontId="8" fillId="6" borderId="8" xfId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center" vertical="center" wrapText="1"/>
    </xf>
    <xf numFmtId="0" fontId="8" fillId="6" borderId="9" xfId="1" applyFont="1" applyFill="1" applyBorder="1" applyAlignment="1">
      <alignment horizontal="center" vertical="center" wrapText="1"/>
    </xf>
    <xf numFmtId="0" fontId="5" fillId="6" borderId="8" xfId="1" applyFont="1" applyFill="1" applyBorder="1" applyAlignment="1">
      <alignment horizontal="center"/>
    </xf>
    <xf numFmtId="0" fontId="5" fillId="6" borderId="10" xfId="1" applyFont="1" applyFill="1" applyBorder="1" applyAlignment="1">
      <alignment horizontal="center"/>
    </xf>
    <xf numFmtId="0" fontId="5" fillId="6" borderId="4" xfId="1" applyFont="1" applyFill="1" applyBorder="1" applyAlignment="1">
      <alignment horizontal="center"/>
    </xf>
    <xf numFmtId="0" fontId="5" fillId="6" borderId="1" xfId="1" applyFont="1" applyFill="1" applyBorder="1" applyAlignment="1">
      <alignment horizontal="left"/>
    </xf>
    <xf numFmtId="0" fontId="1" fillId="6" borderId="0" xfId="1" applyFont="1" applyFill="1"/>
    <xf numFmtId="0" fontId="1" fillId="6" borderId="0" xfId="1" applyFont="1" applyFill="1" applyAlignment="1">
      <alignment horizontal="center"/>
    </xf>
    <xf numFmtId="0" fontId="1" fillId="0" borderId="0" xfId="1" applyFont="1"/>
    <xf numFmtId="0" fontId="4" fillId="6" borderId="0" xfId="1" applyFont="1" applyFill="1" applyAlignment="1">
      <alignment horizontal="center"/>
    </xf>
    <xf numFmtId="0" fontId="4" fillId="6" borderId="11" xfId="1" applyFont="1" applyFill="1" applyBorder="1" applyAlignment="1">
      <alignment horizontal="center"/>
    </xf>
    <xf numFmtId="0" fontId="4" fillId="6" borderId="12" xfId="1" applyFont="1" applyFill="1" applyBorder="1" applyAlignment="1">
      <alignment horizontal="center"/>
    </xf>
    <xf numFmtId="0" fontId="4" fillId="6" borderId="6" xfId="1" applyFont="1" applyFill="1" applyBorder="1" applyAlignment="1">
      <alignment horizontal="center"/>
    </xf>
    <xf numFmtId="0" fontId="4" fillId="6" borderId="0" xfId="1" applyFont="1" applyFill="1" applyBorder="1" applyAlignment="1">
      <alignment horizontal="center"/>
    </xf>
    <xf numFmtId="0" fontId="1" fillId="6" borderId="0" xfId="1" applyFill="1"/>
    <xf numFmtId="0" fontId="4" fillId="6" borderId="0" xfId="1" applyFont="1" applyFill="1"/>
    <xf numFmtId="0" fontId="9" fillId="6" borderId="0" xfId="1" applyFont="1" applyFill="1" applyAlignment="1">
      <alignment horizontal="center"/>
    </xf>
    <xf numFmtId="165" fontId="0" fillId="6" borderId="0" xfId="2" applyNumberFormat="1" applyFont="1" applyFill="1" applyAlignment="1">
      <alignment horizontal="center"/>
    </xf>
    <xf numFmtId="165" fontId="0" fillId="6" borderId="0" xfId="2" applyNumberFormat="1" applyFont="1" applyFill="1"/>
    <xf numFmtId="9" fontId="0" fillId="6" borderId="0" xfId="3" applyFont="1" applyFill="1"/>
    <xf numFmtId="3" fontId="1" fillId="0" borderId="0" xfId="1" applyNumberFormat="1"/>
    <xf numFmtId="3" fontId="10" fillId="0" borderId="0" xfId="1" applyNumberFormat="1" applyFont="1" applyBorder="1" applyAlignment="1">
      <alignment horizontal="center" vertical="center"/>
    </xf>
    <xf numFmtId="3" fontId="11" fillId="0" borderId="0" xfId="1" applyNumberFormat="1" applyFont="1" applyBorder="1" applyAlignment="1">
      <alignment horizontal="center" vertical="center"/>
    </xf>
    <xf numFmtId="3" fontId="11" fillId="0" borderId="13" xfId="1" applyNumberFormat="1" applyFont="1" applyBorder="1" applyAlignment="1">
      <alignment horizontal="center" vertical="center"/>
    </xf>
    <xf numFmtId="0" fontId="1" fillId="0" borderId="13" xfId="1" applyFont="1" applyBorder="1"/>
    <xf numFmtId="3" fontId="1" fillId="0" borderId="14" xfId="1" applyNumberFormat="1" applyBorder="1"/>
    <xf numFmtId="3" fontId="12" fillId="0" borderId="0" xfId="1" applyNumberFormat="1" applyFont="1" applyBorder="1" applyAlignment="1">
      <alignment vertical="center"/>
    </xf>
    <xf numFmtId="0" fontId="1" fillId="0" borderId="13" xfId="1" applyBorder="1"/>
    <xf numFmtId="165" fontId="4" fillId="6" borderId="0" xfId="2" applyNumberFormat="1" applyFont="1" applyFill="1"/>
    <xf numFmtId="9" fontId="4" fillId="6" borderId="0" xfId="3" applyFont="1" applyFill="1"/>
    <xf numFmtId="164" fontId="4" fillId="6" borderId="0" xfId="1" applyNumberFormat="1" applyFont="1" applyFill="1"/>
    <xf numFmtId="0" fontId="13" fillId="6" borderId="0" xfId="1" applyFont="1" applyFill="1" applyAlignment="1">
      <alignment horizontal="center"/>
    </xf>
    <xf numFmtId="164" fontId="4" fillId="6" borderId="0" xfId="2" applyFont="1" applyFill="1"/>
    <xf numFmtId="3" fontId="11" fillId="0" borderId="0" xfId="1" applyNumberFormat="1" applyFont="1" applyBorder="1" applyAlignment="1">
      <alignment vertical="center"/>
    </xf>
    <xf numFmtId="3" fontId="11" fillId="0" borderId="13" xfId="1" applyNumberFormat="1" applyFont="1" applyBorder="1" applyAlignment="1">
      <alignment horizontal="right" vertical="center"/>
    </xf>
    <xf numFmtId="3" fontId="14" fillId="0" borderId="0" xfId="1" applyNumberFormat="1" applyFont="1" applyBorder="1" applyAlignment="1">
      <alignment vertical="center"/>
    </xf>
    <xf numFmtId="3" fontId="14" fillId="0" borderId="13" xfId="1" applyNumberFormat="1" applyFont="1" applyBorder="1" applyAlignment="1">
      <alignment vertical="center"/>
    </xf>
    <xf numFmtId="165" fontId="0" fillId="0" borderId="13" xfId="2" applyNumberFormat="1" applyFont="1" applyBorder="1"/>
    <xf numFmtId="9" fontId="0" fillId="0" borderId="0" xfId="3" applyFont="1"/>
    <xf numFmtId="165" fontId="4" fillId="6" borderId="0" xfId="2" applyNumberFormat="1" applyFont="1" applyFill="1" applyBorder="1"/>
    <xf numFmtId="164" fontId="15" fillId="6" borderId="0" xfId="1" applyNumberFormat="1" applyFont="1" applyFill="1"/>
    <xf numFmtId="17" fontId="4" fillId="6" borderId="0" xfId="1" applyNumberFormat="1" applyFont="1" applyFill="1" applyAlignment="1">
      <alignment horizontal="center"/>
    </xf>
    <xf numFmtId="0" fontId="15" fillId="6" borderId="0" xfId="1" applyFont="1" applyFill="1" applyAlignment="1">
      <alignment horizontal="center"/>
    </xf>
    <xf numFmtId="0" fontId="16" fillId="0" borderId="0" xfId="1" applyFont="1"/>
    <xf numFmtId="0" fontId="5" fillId="6" borderId="0" xfId="1" applyFont="1" applyFill="1"/>
    <xf numFmtId="165" fontId="0" fillId="0" borderId="0" xfId="2" applyNumberFormat="1" applyFont="1"/>
    <xf numFmtId="165" fontId="4" fillId="6" borderId="0" xfId="2" applyNumberFormat="1" applyFont="1" applyFill="1" applyAlignment="1">
      <alignment horizontal="center"/>
    </xf>
    <xf numFmtId="165" fontId="1" fillId="0" borderId="0" xfId="1" applyNumberFormat="1"/>
    <xf numFmtId="166" fontId="0" fillId="0" borderId="0" xfId="4" applyNumberFormat="1" applyFont="1"/>
    <xf numFmtId="3" fontId="1" fillId="0" borderId="0" xfId="1" applyNumberFormat="1" applyFont="1"/>
    <xf numFmtId="166" fontId="0" fillId="0" borderId="0" xfId="4" applyNumberFormat="1" applyFont="1" applyAlignment="1">
      <alignment horizontal="right"/>
    </xf>
    <xf numFmtId="3" fontId="17" fillId="0" borderId="0" xfId="1" applyNumberFormat="1" applyFont="1" applyBorder="1" applyAlignment="1">
      <alignment vertical="center"/>
    </xf>
    <xf numFmtId="1" fontId="1" fillId="0" borderId="13" xfId="1" applyNumberFormat="1" applyBorder="1"/>
    <xf numFmtId="166" fontId="0" fillId="0" borderId="1" xfId="4" applyNumberFormat="1" applyFont="1" applyBorder="1"/>
    <xf numFmtId="165" fontId="1" fillId="0" borderId="0" xfId="1" applyNumberFormat="1" applyFont="1"/>
    <xf numFmtId="166" fontId="0" fillId="0" borderId="0" xfId="4" applyNumberFormat="1" applyFont="1" applyBorder="1"/>
    <xf numFmtId="167" fontId="0" fillId="0" borderId="13" xfId="2" applyNumberFormat="1" applyFont="1" applyBorder="1"/>
    <xf numFmtId="165" fontId="6" fillId="3" borderId="13" xfId="2" applyNumberFormat="1" applyFont="1" applyFill="1" applyBorder="1"/>
    <xf numFmtId="166" fontId="4" fillId="0" borderId="0" xfId="4" applyNumberFormat="1" applyFont="1" applyAlignment="1">
      <alignment horizontal="right"/>
    </xf>
    <xf numFmtId="10" fontId="1" fillId="7" borderId="0" xfId="1" applyNumberFormat="1" applyFill="1"/>
    <xf numFmtId="0" fontId="6" fillId="7" borderId="0" xfId="1" applyFont="1" applyFill="1"/>
    <xf numFmtId="0" fontId="6" fillId="7" borderId="0" xfId="1" applyFont="1" applyFill="1" applyAlignment="1">
      <alignment horizontal="right"/>
    </xf>
    <xf numFmtId="0" fontId="1" fillId="7" borderId="0" xfId="1" applyFill="1"/>
    <xf numFmtId="10" fontId="6" fillId="7" borderId="0" xfId="1" applyNumberFormat="1" applyFont="1" applyFill="1"/>
    <xf numFmtId="1" fontId="1" fillId="7" borderId="0" xfId="1" applyNumberFormat="1" applyFill="1"/>
    <xf numFmtId="9" fontId="1" fillId="7" borderId="0" xfId="1" applyNumberFormat="1" applyFill="1"/>
    <xf numFmtId="0" fontId="18" fillId="0" borderId="0" xfId="1" applyFont="1"/>
    <xf numFmtId="0" fontId="1" fillId="0" borderId="0" xfId="1" applyAlignment="1">
      <alignment horizontal="center"/>
    </xf>
    <xf numFmtId="0" fontId="19" fillId="0" borderId="8" xfId="1" applyFont="1" applyBorder="1" applyAlignment="1">
      <alignment horizontal="left" vertical="center"/>
    </xf>
    <xf numFmtId="166" fontId="10" fillId="0" borderId="0" xfId="2" applyNumberFormat="1" applyFont="1"/>
    <xf numFmtId="0" fontId="1" fillId="0" borderId="0" xfId="1" applyFill="1" applyBorder="1"/>
    <xf numFmtId="168" fontId="19" fillId="4" borderId="9" xfId="2" applyNumberFormat="1" applyFont="1" applyFill="1" applyBorder="1" applyAlignment="1">
      <alignment vertical="center"/>
    </xf>
    <xf numFmtId="0" fontId="19" fillId="0" borderId="15" xfId="1" applyFont="1" applyBorder="1" applyAlignment="1">
      <alignment horizontal="center" vertical="center"/>
    </xf>
    <xf numFmtId="3" fontId="19" fillId="0" borderId="15" xfId="1" applyNumberFormat="1" applyFont="1" applyBorder="1" applyAlignment="1">
      <alignment vertical="center"/>
    </xf>
    <xf numFmtId="164" fontId="0" fillId="0" borderId="0" xfId="2" applyFont="1"/>
    <xf numFmtId="0" fontId="19" fillId="0" borderId="1" xfId="1" applyFont="1" applyBorder="1" applyAlignment="1">
      <alignment horizontal="left" vertical="center"/>
    </xf>
    <xf numFmtId="0" fontId="19" fillId="0" borderId="9" xfId="1" applyFont="1" applyBorder="1" applyAlignment="1">
      <alignment horizontal="center" vertical="center"/>
    </xf>
    <xf numFmtId="3" fontId="19" fillId="0" borderId="9" xfId="1" applyNumberFormat="1" applyFont="1" applyBorder="1" applyAlignment="1">
      <alignment vertical="center"/>
    </xf>
    <xf numFmtId="0" fontId="19" fillId="0" borderId="1" xfId="1" applyFont="1" applyBorder="1" applyAlignment="1">
      <alignment horizontal="center" vertical="center"/>
    </xf>
    <xf numFmtId="3" fontId="19" fillId="0" borderId="1" xfId="1" applyNumberFormat="1" applyFont="1" applyBorder="1" applyAlignment="1">
      <alignment vertical="center"/>
    </xf>
    <xf numFmtId="3" fontId="19" fillId="0" borderId="1" xfId="1" applyNumberFormat="1" applyFont="1" applyBorder="1" applyAlignment="1">
      <alignment horizontal="left" vertical="center"/>
    </xf>
    <xf numFmtId="3" fontId="19" fillId="0" borderId="5" xfId="1" applyNumberFormat="1" applyFont="1" applyBorder="1" applyAlignment="1">
      <alignment vertical="center"/>
    </xf>
    <xf numFmtId="0" fontId="19" fillId="0" borderId="16" xfId="1" applyFont="1" applyBorder="1" applyAlignment="1">
      <alignment horizontal="center" vertical="center"/>
    </xf>
    <xf numFmtId="3" fontId="19" fillId="0" borderId="16" xfId="1" applyNumberFormat="1" applyFont="1" applyBorder="1" applyAlignment="1">
      <alignment vertical="center"/>
    </xf>
    <xf numFmtId="169" fontId="0" fillId="0" borderId="0" xfId="3" applyNumberFormat="1" applyFont="1"/>
    <xf numFmtId="0" fontId="20" fillId="0" borderId="5" xfId="1" applyFont="1" applyBorder="1" applyAlignment="1">
      <alignment horizontal="left" vertical="center"/>
    </xf>
    <xf numFmtId="0" fontId="21" fillId="0" borderId="0" xfId="1" applyFont="1"/>
    <xf numFmtId="0" fontId="22" fillId="0" borderId="0" xfId="1" applyFont="1"/>
    <xf numFmtId="0" fontId="1" fillId="4" borderId="0" xfId="1" applyFill="1" applyBorder="1"/>
    <xf numFmtId="0" fontId="3" fillId="3" borderId="0" xfId="1" applyFont="1" applyFill="1"/>
    <xf numFmtId="0" fontId="1" fillId="3" borderId="0" xfId="1" applyFill="1"/>
    <xf numFmtId="0" fontId="6" fillId="8" borderId="2" xfId="1" applyFont="1" applyFill="1" applyBorder="1" applyAlignment="1">
      <alignment horizontal="center"/>
    </xf>
    <xf numFmtId="0" fontId="6" fillId="8" borderId="3" xfId="1" applyFont="1" applyFill="1" applyBorder="1" applyAlignment="1">
      <alignment horizontal="center"/>
    </xf>
    <xf numFmtId="0" fontId="6" fillId="8" borderId="4" xfId="1" applyFont="1" applyFill="1" applyBorder="1" applyAlignment="1">
      <alignment horizontal="center"/>
    </xf>
    <xf numFmtId="0" fontId="6" fillId="9" borderId="2" xfId="1" applyFont="1" applyFill="1" applyBorder="1" applyAlignment="1">
      <alignment horizontal="center"/>
    </xf>
    <xf numFmtId="0" fontId="6" fillId="9" borderId="3" xfId="1" applyFont="1" applyFill="1" applyBorder="1" applyAlignment="1">
      <alignment horizontal="center"/>
    </xf>
    <xf numFmtId="0" fontId="6" fillId="9" borderId="4" xfId="1" applyFont="1" applyFill="1" applyBorder="1" applyAlignment="1">
      <alignment horizontal="center"/>
    </xf>
    <xf numFmtId="0" fontId="6" fillId="10" borderId="2" xfId="1" applyFont="1" applyFill="1" applyBorder="1" applyAlignment="1">
      <alignment horizontal="center"/>
    </xf>
    <xf numFmtId="0" fontId="6" fillId="10" borderId="3" xfId="1" applyFont="1" applyFill="1" applyBorder="1" applyAlignment="1">
      <alignment horizontal="center"/>
    </xf>
    <xf numFmtId="0" fontId="6" fillId="10" borderId="4" xfId="1" applyFont="1" applyFill="1" applyBorder="1" applyAlignment="1">
      <alignment horizontal="center"/>
    </xf>
    <xf numFmtId="0" fontId="6" fillId="11" borderId="2" xfId="1" applyFont="1" applyFill="1" applyBorder="1" applyAlignment="1">
      <alignment horizontal="center"/>
    </xf>
    <xf numFmtId="0" fontId="6" fillId="11" borderId="3" xfId="1" applyFont="1" applyFill="1" applyBorder="1" applyAlignment="1">
      <alignment horizontal="center"/>
    </xf>
    <xf numFmtId="0" fontId="6" fillId="11" borderId="4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0" xfId="1" applyFont="1"/>
    <xf numFmtId="0" fontId="7" fillId="12" borderId="2" xfId="1" applyFont="1" applyFill="1" applyBorder="1" applyAlignment="1">
      <alignment horizontal="center"/>
    </xf>
    <xf numFmtId="0" fontId="7" fillId="12" borderId="3" xfId="1" applyFont="1" applyFill="1" applyBorder="1" applyAlignment="1">
      <alignment horizontal="center"/>
    </xf>
    <xf numFmtId="0" fontId="7" fillId="12" borderId="4" xfId="1" applyFont="1" applyFill="1" applyBorder="1" applyAlignment="1">
      <alignment horizontal="center"/>
    </xf>
    <xf numFmtId="0" fontId="7" fillId="11" borderId="2" xfId="1" applyFont="1" applyFill="1" applyBorder="1" applyAlignment="1">
      <alignment horizontal="center"/>
    </xf>
    <xf numFmtId="0" fontId="7" fillId="11" borderId="3" xfId="1" applyFont="1" applyFill="1" applyBorder="1" applyAlignment="1">
      <alignment horizontal="center"/>
    </xf>
    <xf numFmtId="0" fontId="7" fillId="11" borderId="4" xfId="1" applyFont="1" applyFill="1" applyBorder="1" applyAlignment="1">
      <alignment horizontal="center"/>
    </xf>
    <xf numFmtId="0" fontId="7" fillId="13" borderId="1" xfId="1" applyFont="1" applyFill="1" applyBorder="1" applyAlignment="1">
      <alignment horizontal="center"/>
    </xf>
    <xf numFmtId="0" fontId="7" fillId="13" borderId="4" xfId="1" applyFont="1" applyFill="1" applyBorder="1" applyAlignment="1">
      <alignment horizontal="center"/>
    </xf>
    <xf numFmtId="0" fontId="7" fillId="14" borderId="4" xfId="1" applyFont="1" applyFill="1" applyBorder="1" applyAlignment="1">
      <alignment horizontal="center"/>
    </xf>
    <xf numFmtId="0" fontId="7" fillId="15" borderId="1" xfId="1" applyFont="1" applyFill="1" applyBorder="1" applyAlignment="1">
      <alignment horizontal="center"/>
    </xf>
    <xf numFmtId="0" fontId="7" fillId="16" borderId="1" xfId="1" applyFont="1" applyFill="1" applyBorder="1" applyAlignment="1">
      <alignment horizontal="center"/>
    </xf>
    <xf numFmtId="0" fontId="8" fillId="6" borderId="1" xfId="1" applyFont="1" applyFill="1" applyBorder="1" applyAlignment="1">
      <alignment horizontal="center"/>
    </xf>
    <xf numFmtId="0" fontId="7" fillId="11" borderId="1" xfId="1" applyFont="1" applyFill="1" applyBorder="1" applyAlignment="1">
      <alignment horizontal="center"/>
    </xf>
    <xf numFmtId="0" fontId="7" fillId="14" borderId="1" xfId="1" applyFont="1" applyFill="1" applyBorder="1" applyAlignment="1">
      <alignment horizontal="center"/>
    </xf>
    <xf numFmtId="0" fontId="7" fillId="6" borderId="1" xfId="1" applyFont="1" applyFill="1" applyBorder="1" applyAlignment="1">
      <alignment horizontal="center"/>
    </xf>
    <xf numFmtId="0" fontId="7" fillId="16" borderId="10" xfId="1" applyFont="1" applyFill="1" applyBorder="1" applyAlignment="1"/>
    <xf numFmtId="0" fontId="7" fillId="3" borderId="1" xfId="1" applyFont="1" applyFill="1" applyBorder="1" applyAlignment="1">
      <alignment horizontal="center"/>
    </xf>
    <xf numFmtId="0" fontId="7" fillId="0" borderId="0" xfId="1" applyFont="1" applyFill="1" applyBorder="1" applyAlignment="1"/>
    <xf numFmtId="0" fontId="8" fillId="0" borderId="0" xfId="1" applyFont="1" applyFill="1" applyBorder="1" applyAlignment="1">
      <alignment horizontal="center"/>
    </xf>
    <xf numFmtId="0" fontId="23" fillId="0" borderId="0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/>
    </xf>
    <xf numFmtId="0" fontId="1" fillId="0" borderId="1" xfId="1" applyBorder="1"/>
    <xf numFmtId="0" fontId="7" fillId="4" borderId="1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1" fillId="4" borderId="14" xfId="1" applyFill="1" applyBorder="1"/>
    <xf numFmtId="0" fontId="1" fillId="4" borderId="6" xfId="1" applyFill="1" applyBorder="1"/>
    <xf numFmtId="0" fontId="1" fillId="4" borderId="5" xfId="1" applyFill="1" applyBorder="1"/>
    <xf numFmtId="0" fontId="7" fillId="4" borderId="5" xfId="1" applyFont="1" applyFill="1" applyBorder="1" applyAlignment="1">
      <alignment horizontal="center"/>
    </xf>
    <xf numFmtId="0" fontId="9" fillId="17" borderId="0" xfId="1" applyFont="1" applyFill="1" applyAlignment="1">
      <alignment horizontal="center"/>
    </xf>
    <xf numFmtId="0" fontId="4" fillId="0" borderId="14" xfId="1" applyFont="1" applyBorder="1" applyAlignment="1">
      <alignment horizontal="center"/>
    </xf>
    <xf numFmtId="164" fontId="4" fillId="0" borderId="14" xfId="2" applyFont="1" applyBorder="1" applyAlignment="1">
      <alignment horizontal="center"/>
    </xf>
    <xf numFmtId="164" fontId="4" fillId="0" borderId="14" xfId="1" applyNumberFormat="1" applyFont="1" applyBorder="1" applyAlignment="1">
      <alignment horizontal="center"/>
    </xf>
    <xf numFmtId="167" fontId="4" fillId="0" borderId="14" xfId="2" applyNumberFormat="1" applyFont="1" applyBorder="1" applyAlignment="1">
      <alignment horizontal="center"/>
    </xf>
    <xf numFmtId="169" fontId="4" fillId="4" borderId="14" xfId="3" applyNumberFormat="1" applyFont="1" applyFill="1" applyBorder="1"/>
    <xf numFmtId="169" fontId="4" fillId="4" borderId="9" xfId="3" applyNumberFormat="1" applyFont="1" applyFill="1" applyBorder="1"/>
    <xf numFmtId="0" fontId="1" fillId="0" borderId="9" xfId="1" applyBorder="1"/>
    <xf numFmtId="164" fontId="0" fillId="0" borderId="0" xfId="2" applyFont="1" applyFill="1" applyBorder="1"/>
    <xf numFmtId="164" fontId="24" fillId="0" borderId="0" xfId="2" applyFont="1" applyFill="1" applyBorder="1"/>
    <xf numFmtId="3" fontId="12" fillId="0" borderId="0" xfId="1" applyNumberFormat="1" applyFont="1" applyFill="1" applyBorder="1" applyAlignment="1">
      <alignment vertical="center"/>
    </xf>
    <xf numFmtId="167" fontId="0" fillId="0" borderId="0" xfId="2" applyNumberFormat="1" applyFont="1" applyFill="1" applyBorder="1"/>
    <xf numFmtId="3" fontId="17" fillId="0" borderId="0" xfId="1" applyNumberFormat="1" applyFont="1" applyFill="1" applyBorder="1" applyAlignment="1">
      <alignment vertical="center"/>
    </xf>
    <xf numFmtId="0" fontId="1" fillId="0" borderId="14" xfId="1" applyBorder="1" applyAlignment="1">
      <alignment horizontal="center"/>
    </xf>
    <xf numFmtId="10" fontId="4" fillId="0" borderId="14" xfId="3" applyNumberFormat="1" applyFont="1" applyBorder="1" applyAlignment="1">
      <alignment horizontal="center"/>
    </xf>
    <xf numFmtId="170" fontId="4" fillId="0" borderId="14" xfId="2" applyNumberFormat="1" applyFont="1" applyBorder="1" applyAlignment="1">
      <alignment horizontal="center"/>
    </xf>
    <xf numFmtId="164" fontId="4" fillId="0" borderId="14" xfId="2" applyNumberFormat="1" applyFont="1" applyBorder="1" applyAlignment="1">
      <alignment horizontal="center"/>
    </xf>
    <xf numFmtId="171" fontId="0" fillId="0" borderId="0" xfId="3" applyNumberFormat="1" applyFont="1"/>
    <xf numFmtId="172" fontId="0" fillId="0" borderId="0" xfId="3" applyNumberFormat="1" applyFont="1" applyFill="1" applyBorder="1"/>
    <xf numFmtId="171" fontId="0" fillId="0" borderId="0" xfId="3" applyNumberFormat="1" applyFont="1" applyFill="1" applyBorder="1"/>
    <xf numFmtId="170" fontId="4" fillId="0" borderId="14" xfId="2" applyNumberFormat="1" applyFont="1" applyFill="1" applyBorder="1" applyAlignment="1">
      <alignment horizontal="center"/>
    </xf>
    <xf numFmtId="169" fontId="0" fillId="0" borderId="0" xfId="3" applyNumberFormat="1" applyFont="1" applyFill="1" applyBorder="1"/>
    <xf numFmtId="164" fontId="4" fillId="3" borderId="14" xfId="2" applyFont="1" applyFill="1" applyBorder="1" applyAlignment="1">
      <alignment horizontal="center"/>
    </xf>
    <xf numFmtId="165" fontId="1" fillId="0" borderId="0" xfId="1" applyNumberFormat="1" applyFill="1" applyBorder="1"/>
    <xf numFmtId="9" fontId="5" fillId="4" borderId="8" xfId="1" applyNumberFormat="1" applyFont="1" applyFill="1" applyBorder="1" applyAlignment="1">
      <alignment horizontal="center"/>
    </xf>
    <xf numFmtId="164" fontId="1" fillId="0" borderId="0" xfId="1" applyNumberFormat="1"/>
    <xf numFmtId="164" fontId="5" fillId="15" borderId="14" xfId="2" applyFont="1" applyFill="1" applyBorder="1" applyAlignment="1">
      <alignment horizontal="center"/>
    </xf>
    <xf numFmtId="173" fontId="0" fillId="0" borderId="0" xfId="2" applyNumberFormat="1" applyFont="1"/>
    <xf numFmtId="164" fontId="4" fillId="0" borderId="0" xfId="2" applyFont="1" applyFill="1" applyBorder="1" applyAlignment="1">
      <alignment horizontal="center"/>
    </xf>
    <xf numFmtId="164" fontId="0" fillId="0" borderId="0" xfId="2" applyFont="1" applyAlignment="1">
      <alignment horizontal="center"/>
    </xf>
    <xf numFmtId="169" fontId="4" fillId="0" borderId="14" xfId="3" applyNumberFormat="1" applyFont="1" applyFill="1" applyBorder="1" applyAlignment="1">
      <alignment horizontal="center"/>
    </xf>
    <xf numFmtId="164" fontId="7" fillId="0" borderId="0" xfId="2" applyFont="1"/>
    <xf numFmtId="9" fontId="6" fillId="0" borderId="0" xfId="1" applyNumberFormat="1" applyFont="1" applyAlignment="1">
      <alignment horizontal="center"/>
    </xf>
    <xf numFmtId="0" fontId="6" fillId="0" borderId="0" xfId="1" applyFont="1"/>
    <xf numFmtId="167" fontId="0" fillId="0" borderId="0" xfId="2" applyNumberFormat="1" applyFont="1"/>
    <xf numFmtId="164" fontId="7" fillId="0" borderId="0" xfId="1" applyNumberFormat="1" applyFont="1"/>
    <xf numFmtId="167" fontId="1" fillId="0" borderId="0" xfId="1" applyNumberFormat="1"/>
    <xf numFmtId="0" fontId="6" fillId="6" borderId="0" xfId="1" applyFont="1" applyFill="1"/>
    <xf numFmtId="164" fontId="0" fillId="6" borderId="0" xfId="2" applyFont="1" applyFill="1"/>
    <xf numFmtId="164" fontId="6" fillId="6" borderId="0" xfId="1" applyNumberFormat="1" applyFont="1" applyFill="1"/>
    <xf numFmtId="0" fontId="1" fillId="6" borderId="0" xfId="1" applyFill="1" applyAlignment="1">
      <alignment horizontal="center"/>
    </xf>
    <xf numFmtId="164" fontId="1" fillId="6" borderId="0" xfId="1" applyNumberFormat="1" applyFill="1"/>
    <xf numFmtId="169" fontId="0" fillId="6" borderId="0" xfId="3" applyNumberFormat="1" applyFont="1" applyFill="1"/>
    <xf numFmtId="164" fontId="25" fillId="6" borderId="0" xfId="2" applyFont="1" applyFill="1"/>
    <xf numFmtId="164" fontId="25" fillId="6" borderId="0" xfId="1" applyNumberFormat="1" applyFont="1" applyFill="1"/>
    <xf numFmtId="0" fontId="9" fillId="6" borderId="17" xfId="1" applyFont="1" applyFill="1" applyBorder="1" applyAlignment="1">
      <alignment horizontal="center"/>
    </xf>
    <xf numFmtId="164" fontId="25" fillId="6" borderId="17" xfId="2" applyFont="1" applyFill="1" applyBorder="1"/>
    <xf numFmtId="164" fontId="25" fillId="6" borderId="17" xfId="1" applyNumberFormat="1" applyFont="1" applyFill="1" applyBorder="1"/>
    <xf numFmtId="164" fontId="25" fillId="6" borderId="0" xfId="1" applyNumberFormat="1" applyFont="1" applyFill="1" applyBorder="1"/>
    <xf numFmtId="0" fontId="1" fillId="3" borderId="2" xfId="1" applyFill="1" applyBorder="1"/>
    <xf numFmtId="0" fontId="1" fillId="3" borderId="3" xfId="1" applyFill="1" applyBorder="1"/>
    <xf numFmtId="169" fontId="6" fillId="3" borderId="3" xfId="1" applyNumberFormat="1" applyFont="1" applyFill="1" applyBorder="1" applyAlignment="1"/>
    <xf numFmtId="169" fontId="1" fillId="3" borderId="4" xfId="1" applyNumberFormat="1" applyFill="1" applyBorder="1" applyAlignment="1"/>
    <xf numFmtId="0" fontId="6" fillId="6" borderId="2" xfId="1" applyFont="1" applyFill="1" applyBorder="1" applyAlignment="1">
      <alignment horizontal="center"/>
    </xf>
    <xf numFmtId="0" fontId="6" fillId="6" borderId="3" xfId="1" applyFont="1" applyFill="1" applyBorder="1" applyAlignment="1">
      <alignment horizontal="center"/>
    </xf>
    <xf numFmtId="0" fontId="6" fillId="6" borderId="4" xfId="1" applyFont="1" applyFill="1" applyBorder="1" applyAlignment="1">
      <alignment horizontal="center"/>
    </xf>
    <xf numFmtId="0" fontId="1" fillId="6" borderId="6" xfId="1" applyFill="1" applyBorder="1" applyAlignment="1">
      <alignment horizontal="center"/>
    </xf>
    <xf numFmtId="0" fontId="1" fillId="6" borderId="12" xfId="1" applyFill="1" applyBorder="1" applyAlignment="1">
      <alignment horizontal="center"/>
    </xf>
    <xf numFmtId="0" fontId="1" fillId="6" borderId="11" xfId="1" applyFill="1" applyBorder="1" applyAlignment="1">
      <alignment horizontal="center"/>
    </xf>
    <xf numFmtId="0" fontId="7" fillId="6" borderId="6" xfId="1" applyFont="1" applyFill="1" applyBorder="1" applyAlignment="1">
      <alignment horizontal="center"/>
    </xf>
    <xf numFmtId="0" fontId="7" fillId="6" borderId="12" xfId="1" applyFont="1" applyFill="1" applyBorder="1" applyAlignment="1">
      <alignment horizontal="center"/>
    </xf>
    <xf numFmtId="0" fontId="1" fillId="6" borderId="14" xfId="1" applyFill="1" applyBorder="1"/>
    <xf numFmtId="0" fontId="1" fillId="6" borderId="0" xfId="1" applyFill="1" applyBorder="1"/>
    <xf numFmtId="0" fontId="1" fillId="6" borderId="13" xfId="1" applyFill="1" applyBorder="1"/>
    <xf numFmtId="0" fontId="1" fillId="6" borderId="14" xfId="1" applyFill="1" applyBorder="1" applyAlignment="1">
      <alignment horizontal="center"/>
    </xf>
    <xf numFmtId="164" fontId="0" fillId="6" borderId="0" xfId="2" applyFont="1" applyFill="1" applyBorder="1" applyAlignment="1">
      <alignment horizontal="center"/>
    </xf>
    <xf numFmtId="165" fontId="1" fillId="6" borderId="0" xfId="1" applyNumberFormat="1" applyFill="1" applyBorder="1"/>
    <xf numFmtId="169" fontId="0" fillId="6" borderId="13" xfId="3" applyNumberFormat="1" applyFont="1" applyFill="1" applyBorder="1"/>
    <xf numFmtId="164" fontId="0" fillId="6" borderId="0" xfId="2" applyFont="1" applyFill="1" applyBorder="1"/>
    <xf numFmtId="170" fontId="0" fillId="0" borderId="0" xfId="2" applyNumberFormat="1" applyFont="1"/>
    <xf numFmtId="0" fontId="1" fillId="6" borderId="10" xfId="1" applyFill="1" applyBorder="1"/>
    <xf numFmtId="164" fontId="6" fillId="6" borderId="17" xfId="1" applyNumberFormat="1" applyFont="1" applyFill="1" applyBorder="1"/>
    <xf numFmtId="165" fontId="6" fillId="6" borderId="17" xfId="1" applyNumberFormat="1" applyFont="1" applyFill="1" applyBorder="1"/>
    <xf numFmtId="169" fontId="6" fillId="6" borderId="7" xfId="3" applyNumberFormat="1" applyFont="1" applyFill="1" applyBorder="1"/>
    <xf numFmtId="0" fontId="1" fillId="6" borderId="17" xfId="1" applyFill="1" applyBorder="1"/>
    <xf numFmtId="165" fontId="1" fillId="6" borderId="17" xfId="1" applyNumberFormat="1" applyFill="1" applyBorder="1"/>
    <xf numFmtId="0" fontId="1" fillId="6" borderId="7" xfId="1" applyFill="1" applyBorder="1"/>
  </cellXfs>
  <cellStyles count="6">
    <cellStyle name="Comma 2" xfId="2"/>
    <cellStyle name="Comma 2 2" xfId="4"/>
    <cellStyle name="Normal" xfId="0" builtinId="0"/>
    <cellStyle name="Normal 2" xfId="1"/>
    <cellStyle name="Normal 5" xfId="5"/>
    <cellStyle name="Percent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Electricity Generation by PUC with HFO/LFO 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5760737207119269"/>
          <c:y val="0.15524314668999814"/>
          <c:w val="0.64247140640266764"/>
          <c:h val="0.72877697579469269"/>
        </c:manualLayout>
      </c:layout>
      <c:barChart>
        <c:barDir val="col"/>
        <c:grouping val="stacked"/>
        <c:ser>
          <c:idx val="1"/>
          <c:order val="0"/>
          <c:tx>
            <c:strRef>
              <c:f>'Generation-Summary (2)'!$F$38</c:f>
              <c:strCache>
                <c:ptCount val="1"/>
                <c:pt idx="0">
                  <c:v>Vic-C Roche Caiman</c:v>
                </c:pt>
              </c:strCache>
            </c:strRef>
          </c:tx>
          <c:dLbls>
            <c:dLblPos val="ctr"/>
            <c:showVal val="1"/>
          </c:dLbls>
          <c:cat>
            <c:numRef>
              <c:f>'Generation-Summary (2)'!$A$43:$A$51</c:f>
              <c:numCache>
                <c:formatCode>General</c:formatCod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numCache>
            </c:numRef>
          </c:cat>
          <c:val>
            <c:numRef>
              <c:f>'Generation-Summary (2)'!$H$43:$H$51</c:f>
              <c:numCache>
                <c:formatCode>_-* #,##0.00_-;\-* #,##0.00_-;_-* "-"??_-;_-@_-</c:formatCode>
                <c:ptCount val="9"/>
                <c:pt idx="0">
                  <c:v>273.04127999999997</c:v>
                </c:pt>
                <c:pt idx="1">
                  <c:v>280.16532000000001</c:v>
                </c:pt>
                <c:pt idx="2">
                  <c:v>292.15317499999998</c:v>
                </c:pt>
                <c:pt idx="3">
                  <c:v>330.00060999999999</c:v>
                </c:pt>
                <c:pt idx="4">
                  <c:v>337.02508999999998</c:v>
                </c:pt>
                <c:pt idx="5">
                  <c:v>340.29562000000004</c:v>
                </c:pt>
                <c:pt idx="6">
                  <c:v>356.10783599999996</c:v>
                </c:pt>
                <c:pt idx="7">
                  <c:v>353.01003000000003</c:v>
                </c:pt>
                <c:pt idx="8">
                  <c:v>350.93677600000001</c:v>
                </c:pt>
              </c:numCache>
            </c:numRef>
          </c:val>
        </c:ser>
        <c:ser>
          <c:idx val="0"/>
          <c:order val="1"/>
          <c:tx>
            <c:strRef>
              <c:f>'Generation-Summary (2)'!$B$38</c:f>
              <c:strCache>
                <c:ptCount val="1"/>
                <c:pt idx="0">
                  <c:v>Vic-B Newport</c:v>
                </c:pt>
              </c:strCache>
            </c:strRef>
          </c:tx>
          <c:dLbls>
            <c:dLblPos val="ctr"/>
            <c:showVal val="1"/>
          </c:dLbls>
          <c:cat>
            <c:numRef>
              <c:f>'Generation-Summary (2)'!$A$43:$A$51</c:f>
              <c:numCache>
                <c:formatCode>General</c:formatCod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numCache>
            </c:numRef>
          </c:cat>
          <c:val>
            <c:numRef>
              <c:f>'Generation-Summary (2)'!$D$43:$D$51</c:f>
              <c:numCache>
                <c:formatCode>_-* #,##0.00_-;\-* #,##0.00_-;_-* "-"??_-;_-@_-</c:formatCode>
                <c:ptCount val="9"/>
                <c:pt idx="0">
                  <c:v>34.686817999999995</c:v>
                </c:pt>
                <c:pt idx="1">
                  <c:v>33.909889999999997</c:v>
                </c:pt>
                <c:pt idx="2">
                  <c:v>32.73066</c:v>
                </c:pt>
                <c:pt idx="3">
                  <c:v>22.147205</c:v>
                </c:pt>
                <c:pt idx="4">
                  <c:v>26.301805999999999</c:v>
                </c:pt>
                <c:pt idx="5">
                  <c:v>25.862954000000002</c:v>
                </c:pt>
                <c:pt idx="6">
                  <c:v>28.640866000000003</c:v>
                </c:pt>
                <c:pt idx="7">
                  <c:v>31.422769000000002</c:v>
                </c:pt>
                <c:pt idx="8">
                  <c:v>28.392809999999997</c:v>
                </c:pt>
              </c:numCache>
            </c:numRef>
          </c:val>
        </c:ser>
        <c:ser>
          <c:idx val="2"/>
          <c:order val="2"/>
          <c:tx>
            <c:strRef>
              <c:f>'Generation-Summary (2)'!$P$38</c:f>
              <c:strCache>
                <c:ptCount val="1"/>
                <c:pt idx="0">
                  <c:v>BSA-Praslin</c:v>
                </c:pt>
              </c:strCache>
            </c:strRef>
          </c:tx>
          <c:dLbls>
            <c:dLblPos val="ctr"/>
            <c:showVal val="1"/>
          </c:dLbls>
          <c:cat>
            <c:numRef>
              <c:f>'Generation-Summary (2)'!$A$43:$A$51</c:f>
              <c:numCache>
                <c:formatCode>General</c:formatCod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numCache>
            </c:numRef>
          </c:cat>
          <c:val>
            <c:numRef>
              <c:f>'Generation-Summary (2)'!$P$43:$P$51</c:f>
              <c:numCache>
                <c:formatCode>_-* #,##0.00_-;\-* #,##0.00_-;_-* "-"??_-;_-@_-</c:formatCode>
                <c:ptCount val="9"/>
                <c:pt idx="0">
                  <c:v>39.545502999999997</c:v>
                </c:pt>
                <c:pt idx="1">
                  <c:v>40.806376</c:v>
                </c:pt>
                <c:pt idx="2">
                  <c:v>44.411392999999997</c:v>
                </c:pt>
                <c:pt idx="3">
                  <c:v>47.972177000000002</c:v>
                </c:pt>
                <c:pt idx="4">
                  <c:v>50.902991999999998</c:v>
                </c:pt>
                <c:pt idx="5">
                  <c:v>50.737907</c:v>
                </c:pt>
                <c:pt idx="6">
                  <c:v>53.075747999999997</c:v>
                </c:pt>
                <c:pt idx="7">
                  <c:v>45.586720999999997</c:v>
                </c:pt>
                <c:pt idx="8">
                  <c:v>44.679453000000002</c:v>
                </c:pt>
              </c:numCache>
            </c:numRef>
          </c:val>
        </c:ser>
        <c:gapWidth val="55"/>
        <c:overlap val="100"/>
        <c:axId val="581562368"/>
        <c:axId val="581563904"/>
      </c:barChart>
      <c:catAx>
        <c:axId val="581562368"/>
        <c:scaling>
          <c:orientation val="minMax"/>
        </c:scaling>
        <c:axPos val="b"/>
        <c:numFmt formatCode="General" sourceLinked="1"/>
        <c:majorTickMark val="none"/>
        <c:tickLblPos val="nextTo"/>
        <c:crossAx val="581563904"/>
        <c:crosses val="autoZero"/>
        <c:auto val="1"/>
        <c:lblAlgn val="ctr"/>
        <c:lblOffset val="100"/>
      </c:catAx>
      <c:valAx>
        <c:axId val="581563904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GWh</a:t>
                </a:r>
              </a:p>
            </c:rich>
          </c:tx>
          <c:layout/>
        </c:title>
        <c:numFmt formatCode="_-* #,##0.00_-;\-* #,##0.00_-;_-* &quot;-&quot;??_-;_-@_-" sourceLinked="1"/>
        <c:majorTickMark val="none"/>
        <c:tickLblPos val="nextTo"/>
        <c:crossAx val="5815623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Electricity Generation with Renewable Energy</a:t>
            </a:r>
          </a:p>
        </c:rich>
      </c:tx>
      <c:layout/>
    </c:title>
    <c:plotArea>
      <c:layout/>
      <c:barChart>
        <c:barDir val="col"/>
        <c:grouping val="stacked"/>
        <c:ser>
          <c:idx val="1"/>
          <c:order val="0"/>
          <c:tx>
            <c:strRef>
              <c:f>'Generation-Summary (2)'!$U$38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dLbls>
            <c:dLblPos val="ctr"/>
            <c:showVal val="1"/>
          </c:dLbls>
          <c:cat>
            <c:numRef>
              <c:f>'Generation-Summary (2)'!$A$43:$A$51</c:f>
              <c:numCache>
                <c:formatCode>General</c:formatCod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numCache>
            </c:numRef>
          </c:cat>
          <c:val>
            <c:numRef>
              <c:f>'Generation-Summary (2)'!$U$43:$U$51</c:f>
              <c:numCache>
                <c:formatCode>_-* #,##0.00_-;\-* #,##0.00_-;_-* "-"??_-;_-@_-</c:formatCode>
                <c:ptCount val="9"/>
                <c:pt idx="0">
                  <c:v>6.9510500000000004</c:v>
                </c:pt>
                <c:pt idx="1">
                  <c:v>7.0908100000000003</c:v>
                </c:pt>
                <c:pt idx="2">
                  <c:v>6.79542</c:v>
                </c:pt>
                <c:pt idx="3">
                  <c:v>6.8568930000000003</c:v>
                </c:pt>
                <c:pt idx="4">
                  <c:v>6.6166200000000002</c:v>
                </c:pt>
                <c:pt idx="5">
                  <c:v>7.3924099999999999</c:v>
                </c:pt>
                <c:pt idx="6">
                  <c:v>5.7088900000000002</c:v>
                </c:pt>
                <c:pt idx="7">
                  <c:v>5.9857639999999996</c:v>
                </c:pt>
                <c:pt idx="8">
                  <c:v>5.0780000000000003</c:v>
                </c:pt>
              </c:numCache>
            </c:numRef>
          </c:val>
        </c:ser>
        <c:ser>
          <c:idx val="0"/>
          <c:order val="1"/>
          <c:tx>
            <c:strRef>
              <c:f>'Generation-Summary (2)'!$T$38</c:f>
              <c:strCache>
                <c:ptCount val="1"/>
                <c:pt idx="0">
                  <c:v>Solar PV</c:v>
                </c:pt>
              </c:strCache>
            </c:strRef>
          </c:tx>
          <c:spPr>
            <a:solidFill>
              <a:srgbClr val="FFC000"/>
            </a:solidFill>
          </c:spPr>
          <c:dLbls>
            <c:dLblPos val="ctr"/>
            <c:showVal val="1"/>
          </c:dLbls>
          <c:cat>
            <c:numRef>
              <c:f>'Generation-Summary (2)'!$A$43:$A$51</c:f>
              <c:numCache>
                <c:formatCode>General</c:formatCod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numCache>
            </c:numRef>
          </c:cat>
          <c:val>
            <c:numRef>
              <c:f>'Generation-Summary (2)'!$T$43:$T$51</c:f>
              <c:numCache>
                <c:formatCode>_-* #,##0.00_-;\-* #,##0.00_-;_-* "-"??_-;_-@_-</c:formatCode>
                <c:ptCount val="9"/>
                <c:pt idx="0">
                  <c:v>0</c:v>
                </c:pt>
                <c:pt idx="1">
                  <c:v>0.47120300000000004</c:v>
                </c:pt>
                <c:pt idx="2">
                  <c:v>1.541204</c:v>
                </c:pt>
                <c:pt idx="3">
                  <c:v>2.2990400000000002</c:v>
                </c:pt>
                <c:pt idx="4">
                  <c:v>2.9817649999999998</c:v>
                </c:pt>
                <c:pt idx="5">
                  <c:v>3.5350169999999999</c:v>
                </c:pt>
                <c:pt idx="6">
                  <c:v>3.979724</c:v>
                </c:pt>
                <c:pt idx="7">
                  <c:v>5.7191960000000002</c:v>
                </c:pt>
                <c:pt idx="8">
                  <c:v>13.54</c:v>
                </c:pt>
              </c:numCache>
            </c:numRef>
          </c:val>
        </c:ser>
        <c:gapWidth val="55"/>
        <c:overlap val="100"/>
        <c:axId val="588860416"/>
        <c:axId val="588882688"/>
      </c:barChart>
      <c:catAx>
        <c:axId val="588860416"/>
        <c:scaling>
          <c:orientation val="minMax"/>
        </c:scaling>
        <c:axPos val="b"/>
        <c:numFmt formatCode="General" sourceLinked="1"/>
        <c:majorTickMark val="none"/>
        <c:tickLblPos val="nextTo"/>
        <c:crossAx val="588882688"/>
        <c:crosses val="autoZero"/>
        <c:auto val="1"/>
        <c:lblAlgn val="ctr"/>
        <c:lblOffset val="100"/>
      </c:catAx>
      <c:valAx>
        <c:axId val="588882688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GWh</a:t>
                </a:r>
              </a:p>
            </c:rich>
          </c:tx>
          <c:layout/>
        </c:title>
        <c:numFmt formatCode="_-* #,##0.00_-;\-* #,##0.00_-;_-* &quot;-&quot;??_-;_-@_-" sourceLinked="1"/>
        <c:majorTickMark val="none"/>
        <c:tickLblPos val="nextTo"/>
        <c:crossAx val="5888604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Electricity Generation Mix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/>
              <a:t>In Seychelles from 2010 to 2018</a:t>
            </a:r>
            <a:endParaRPr lang="en-US" sz="1200"/>
          </a:p>
        </c:rich>
      </c:tx>
      <c:layout/>
    </c:title>
    <c:plotArea>
      <c:layout/>
      <c:barChart>
        <c:barDir val="col"/>
        <c:grouping val="stacked"/>
        <c:ser>
          <c:idx val="2"/>
          <c:order val="0"/>
          <c:tx>
            <c:strRef>
              <c:f>'Generation-Summary (2)'!$AD$38</c:f>
              <c:strCache>
                <c:ptCount val="1"/>
                <c:pt idx="0">
                  <c:v>HFO/LFO</c:v>
                </c:pt>
              </c:strCache>
            </c:strRef>
          </c:tx>
          <c:spPr>
            <a:solidFill>
              <a:srgbClr val="FFC000"/>
            </a:solidFill>
          </c:spPr>
          <c:dLbls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Val val="1"/>
          </c:dLbls>
          <c:cat>
            <c:numRef>
              <c:f>'Generation-Summary (2)'!$A$40:$A$51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'Generation-Summary (2)'!$AD$40:$AD$51</c:f>
              <c:numCache>
                <c:formatCode>0.0%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0.98037671861521569</c:v>
                </c:pt>
                <c:pt idx="4">
                  <c:v>0.97913602827898205</c:v>
                </c:pt>
                <c:pt idx="5">
                  <c:v>0.97792393847116466</c:v>
                </c:pt>
                <c:pt idx="6">
                  <c:v>0.97762894800127809</c:v>
                </c:pt>
                <c:pt idx="7">
                  <c:v>0.97735312717091904</c:v>
                </c:pt>
                <c:pt idx="8">
                  <c:v>0.97445811981129393</c:v>
                </c:pt>
                <c:pt idx="9">
                  <c:v>0.97835009795378836</c:v>
                </c:pt>
                <c:pt idx="10">
                  <c:v>0.97350826367555865</c:v>
                </c:pt>
                <c:pt idx="11">
                  <c:v>0.95794794110958115</c:v>
                </c:pt>
              </c:numCache>
            </c:numRef>
          </c:val>
        </c:ser>
        <c:ser>
          <c:idx val="1"/>
          <c:order val="1"/>
          <c:tx>
            <c:strRef>
              <c:f>'Generation-Summary (2)'!$AB$38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showVal val="1"/>
          </c:dLbls>
          <c:cat>
            <c:numRef>
              <c:f>'Generation-Summary (2)'!$A$40:$A$51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'Generation-Summary (2)'!$AB$40:$AB$51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1.9623281384784259E-2</c:v>
                </c:pt>
                <c:pt idx="4">
                  <c:v>1.9563899099236129E-2</c:v>
                </c:pt>
                <c:pt idx="5">
                  <c:v>1.7994827406666958E-2</c:v>
                </c:pt>
                <c:pt idx="6">
                  <c:v>1.675371694535905E-2</c:v>
                </c:pt>
                <c:pt idx="7">
                  <c:v>1.5611558788103786E-2</c:v>
                </c:pt>
                <c:pt idx="8">
                  <c:v>1.7279095117797856E-2</c:v>
                </c:pt>
                <c:pt idx="9">
                  <c:v>1.2756923672735508E-2</c:v>
                </c:pt>
                <c:pt idx="10">
                  <c:v>1.3547528704782741E-2</c:v>
                </c:pt>
                <c:pt idx="11">
                  <c:v>1.1469564671046662E-2</c:v>
                </c:pt>
              </c:numCache>
            </c:numRef>
          </c:val>
        </c:ser>
        <c:ser>
          <c:idx val="0"/>
          <c:order val="2"/>
          <c:tx>
            <c:strRef>
              <c:f>'Generation-Summary (2)'!$AA$38</c:f>
              <c:strCache>
                <c:ptCount val="1"/>
                <c:pt idx="0">
                  <c:v>Solar PV</c:v>
                </c:pt>
              </c:strCache>
            </c:strRef>
          </c:tx>
          <c:spPr>
            <a:solidFill>
              <a:srgbClr val="FFFF00"/>
            </a:solidFill>
          </c:spP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showVal val="1"/>
          </c:dLbls>
          <c:cat>
            <c:numRef>
              <c:f>'Generation-Summary (2)'!$A$40:$A$51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'Generation-Summary (2)'!$AA$40:$AA$51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1.3000726217819066E-3</c:v>
                </c:pt>
                <c:pt idx="5">
                  <c:v>4.0812341221682751E-3</c:v>
                </c:pt>
                <c:pt idx="6">
                  <c:v>5.6173350533628387E-3</c:v>
                </c:pt>
                <c:pt idx="7">
                  <c:v>7.0353140409771574E-3</c:v>
                </c:pt>
                <c:pt idx="8">
                  <c:v>8.2627850709081924E-3</c:v>
                </c:pt>
                <c:pt idx="9">
                  <c:v>8.8929783734760428E-3</c:v>
                </c:pt>
                <c:pt idx="10">
                  <c:v>1.2944207619658683E-2</c:v>
                </c:pt>
                <c:pt idx="11">
                  <c:v>3.0582494219372154E-2</c:v>
                </c:pt>
              </c:numCache>
            </c:numRef>
          </c:val>
        </c:ser>
        <c:gapWidth val="55"/>
        <c:overlap val="100"/>
        <c:axId val="595223296"/>
        <c:axId val="595224832"/>
      </c:barChart>
      <c:catAx>
        <c:axId val="595223296"/>
        <c:scaling>
          <c:orientation val="minMax"/>
        </c:scaling>
        <c:axPos val="b"/>
        <c:numFmt formatCode="General" sourceLinked="1"/>
        <c:majorTickMark val="none"/>
        <c:tickLblPos val="nextTo"/>
        <c:crossAx val="595224832"/>
        <c:crosses val="autoZero"/>
        <c:auto val="1"/>
        <c:lblAlgn val="ctr"/>
        <c:lblOffset val="100"/>
      </c:catAx>
      <c:valAx>
        <c:axId val="595224832"/>
        <c:scaling>
          <c:orientation val="minMax"/>
          <c:max val="1"/>
          <c:min val="0.96000000000000063"/>
        </c:scaling>
        <c:axPos val="l"/>
        <c:majorGridlines/>
        <c:numFmt formatCode="0.0%" sourceLinked="1"/>
        <c:majorTickMark val="none"/>
        <c:tickLblPos val="nextTo"/>
        <c:crossAx val="5952232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343" l="0.70000000000000062" r="0.70000000000000062" t="0.7500000000000134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/>
    <c:plotArea>
      <c:layout/>
      <c:lineChart>
        <c:grouping val="standard"/>
        <c:ser>
          <c:idx val="0"/>
          <c:order val="0"/>
          <c:tx>
            <c:strRef>
              <c:f>'Generation-Summary (2)'!$C$131</c:f>
              <c:strCache>
                <c:ptCount val="1"/>
                <c:pt idx="0">
                  <c:v>PUC</c:v>
                </c:pt>
              </c:strCache>
            </c:strRef>
          </c:tx>
          <c:marker>
            <c:symbol val="none"/>
          </c:marker>
          <c:cat>
            <c:numRef>
              <c:f>'Generation-Summary (2)'!$B$133:$B$141</c:f>
              <c:numCache>
                <c:formatCode>General</c:formatCod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numCache>
            </c:numRef>
          </c:cat>
          <c:val>
            <c:numRef>
              <c:f>'Generation-Summary (2)'!$C$133:$C$141</c:f>
              <c:numCache>
                <c:formatCode>_-* #,##0.00_-;\-* #,##0.00_-;_-* "-"??_-;_-@_-</c:formatCode>
                <c:ptCount val="9"/>
                <c:pt idx="0">
                  <c:v>301.03899999999999</c:v>
                </c:pt>
                <c:pt idx="1">
                  <c:v>323.834</c:v>
                </c:pt>
                <c:pt idx="2">
                  <c:v>336.52</c:v>
                </c:pt>
                <c:pt idx="3">
                  <c:v>347.27360099999999</c:v>
                </c:pt>
                <c:pt idx="4">
                  <c:v>354.88158600000003</c:v>
                </c:pt>
                <c:pt idx="5">
                  <c:v>369.29522799999995</c:v>
                </c:pt>
                <c:pt idx="6">
                  <c:v>400.11999199999997</c:v>
                </c:pt>
                <c:pt idx="7">
                  <c:v>414.22988799999996</c:v>
                </c:pt>
                <c:pt idx="8">
                  <c:v>416.89648099999999</c:v>
                </c:pt>
              </c:numCache>
            </c:numRef>
          </c:val>
        </c:ser>
        <c:marker val="1"/>
        <c:axId val="595256448"/>
        <c:axId val="595257984"/>
      </c:lineChart>
      <c:catAx>
        <c:axId val="595256448"/>
        <c:scaling>
          <c:orientation val="minMax"/>
        </c:scaling>
        <c:axPos val="b"/>
        <c:numFmt formatCode="General" sourceLinked="1"/>
        <c:tickLblPos val="nextTo"/>
        <c:crossAx val="595257984"/>
        <c:crosses val="autoZero"/>
        <c:auto val="1"/>
        <c:lblAlgn val="ctr"/>
        <c:lblOffset val="100"/>
      </c:catAx>
      <c:valAx>
        <c:axId val="595257984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GWh</a:t>
                </a:r>
              </a:p>
            </c:rich>
          </c:tx>
        </c:title>
        <c:numFmt formatCode="_-* #,##0.00_-;\-* #,##0.00_-;_-* &quot;-&quot;??_-;_-@_-" sourceLinked="1"/>
        <c:tickLblPos val="nextTo"/>
        <c:crossAx val="595256448"/>
        <c:crosses val="autoZero"/>
        <c:crossBetween val="between"/>
      </c:valAx>
    </c:plotArea>
    <c:plotVisOnly val="1"/>
  </c:chart>
  <c:printSettings>
    <c:headerFooter/>
    <c:pageMargins b="0.75000000000000966" l="0.70000000000000062" r="0.70000000000000062" t="0.75000000000000966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/>
    <c:plotArea>
      <c:layout/>
      <c:lineChart>
        <c:grouping val="standard"/>
        <c:ser>
          <c:idx val="0"/>
          <c:order val="0"/>
          <c:tx>
            <c:strRef>
              <c:f>'Generation-Summary (2)'!$D$131</c:f>
              <c:strCache>
                <c:ptCount val="1"/>
                <c:pt idx="0">
                  <c:v>Wind Farm</c:v>
                </c:pt>
              </c:strCache>
            </c:strRef>
          </c:tx>
          <c:marker>
            <c:symbol val="none"/>
          </c:marker>
          <c:cat>
            <c:numRef>
              <c:f>'Generation-Summary (2)'!$B$136:$B$141</c:f>
              <c:numCache>
                <c:formatCode>General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cat>
          <c:val>
            <c:numRef>
              <c:f>'Generation-Summary (2)'!$D$136:$D$141</c:f>
              <c:numCache>
                <c:formatCode>_-* #,##0.00_-;\-* #,##0.00_-;_-* "-"??_-;_-@_-</c:formatCode>
                <c:ptCount val="6"/>
                <c:pt idx="0">
                  <c:v>6.9510500000000004</c:v>
                </c:pt>
                <c:pt idx="1">
                  <c:v>7.0908100000000003</c:v>
                </c:pt>
                <c:pt idx="2">
                  <c:v>6.79542</c:v>
                </c:pt>
                <c:pt idx="3">
                  <c:v>6.8568930000000003</c:v>
                </c:pt>
                <c:pt idx="4">
                  <c:v>6.6166200000000002</c:v>
                </c:pt>
                <c:pt idx="5">
                  <c:v>7.3920000000000003</c:v>
                </c:pt>
              </c:numCache>
            </c:numRef>
          </c:val>
        </c:ser>
        <c:marker val="1"/>
        <c:axId val="597768448"/>
        <c:axId val="274685952"/>
      </c:lineChart>
      <c:catAx>
        <c:axId val="597768448"/>
        <c:scaling>
          <c:orientation val="minMax"/>
        </c:scaling>
        <c:axPos val="b"/>
        <c:numFmt formatCode="General" sourceLinked="1"/>
        <c:tickLblPos val="nextTo"/>
        <c:crossAx val="274685952"/>
        <c:crosses val="autoZero"/>
        <c:auto val="1"/>
        <c:lblAlgn val="ctr"/>
        <c:lblOffset val="100"/>
      </c:catAx>
      <c:valAx>
        <c:axId val="274685952"/>
        <c:scaling>
          <c:orientation val="minMax"/>
          <c:min val="0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GWh</a:t>
                </a:r>
              </a:p>
            </c:rich>
          </c:tx>
        </c:title>
        <c:numFmt formatCode="_-* #,##0.00_-;\-* #,##0.00_-;_-* &quot;-&quot;??_-;_-@_-" sourceLinked="1"/>
        <c:tickLblPos val="nextTo"/>
        <c:crossAx val="597768448"/>
        <c:crosses val="autoZero"/>
        <c:crossBetween val="between"/>
      </c:valAx>
    </c:plotArea>
    <c:plotVisOnly val="1"/>
  </c:chart>
  <c:printSettings>
    <c:headerFooter/>
    <c:pageMargins b="0.75000000000000966" l="0.70000000000000062" r="0.70000000000000062" t="0.75000000000000966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/>
    <c:plotArea>
      <c:layout/>
      <c:lineChart>
        <c:grouping val="standard"/>
        <c:ser>
          <c:idx val="0"/>
          <c:order val="0"/>
          <c:tx>
            <c:strRef>
              <c:f>'Generation-Summary (2)'!$F$131</c:f>
              <c:strCache>
                <c:ptCount val="1"/>
                <c:pt idx="0">
                  <c:v>Distributed</c:v>
                </c:pt>
              </c:strCache>
            </c:strRef>
          </c:tx>
          <c:marker>
            <c:symbol val="none"/>
          </c:marker>
          <c:cat>
            <c:numRef>
              <c:f>'Generation-Summary (2)'!$B$136:$B$141</c:f>
              <c:numCache>
                <c:formatCode>General</c:formatCod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numCache>
            </c:numRef>
          </c:cat>
          <c:val>
            <c:numRef>
              <c:f>'Generation-Summary (2)'!$F$136:$F$141</c:f>
              <c:numCache>
                <c:formatCode>_-* #,##0.00_-;\-* #,##0.00_-;_-* "-"??_-;_-@_-</c:formatCode>
                <c:ptCount val="6"/>
                <c:pt idx="0">
                  <c:v>0</c:v>
                </c:pt>
                <c:pt idx="1">
                  <c:v>0.47120300000000004</c:v>
                </c:pt>
                <c:pt idx="2">
                  <c:v>1.541204</c:v>
                </c:pt>
                <c:pt idx="3">
                  <c:v>2.2990400000000002</c:v>
                </c:pt>
                <c:pt idx="4">
                  <c:v>2.9817649999999998</c:v>
                </c:pt>
                <c:pt idx="5">
                  <c:v>3.5350169999999999</c:v>
                </c:pt>
              </c:numCache>
            </c:numRef>
          </c:val>
        </c:ser>
        <c:marker val="1"/>
        <c:axId val="597773696"/>
        <c:axId val="597783680"/>
      </c:lineChart>
      <c:catAx>
        <c:axId val="597773696"/>
        <c:scaling>
          <c:orientation val="minMax"/>
        </c:scaling>
        <c:axPos val="b"/>
        <c:numFmt formatCode="General" sourceLinked="1"/>
        <c:tickLblPos val="nextTo"/>
        <c:crossAx val="597783680"/>
        <c:crosses val="autoZero"/>
        <c:auto val="1"/>
        <c:lblAlgn val="ctr"/>
        <c:lblOffset val="100"/>
      </c:catAx>
      <c:valAx>
        <c:axId val="597783680"/>
        <c:scaling>
          <c:orientation val="minMax"/>
        </c:scaling>
        <c:axPos val="l"/>
        <c:majorGridlines/>
        <c:numFmt formatCode="_-* #,##0.00_-;\-* #,##0.00_-;_-* &quot;-&quot;??_-;_-@_-" sourceLinked="1"/>
        <c:tickLblPos val="nextTo"/>
        <c:crossAx val="597773696"/>
        <c:crosses val="autoZero"/>
        <c:crossBetween val="between"/>
      </c:valAx>
    </c:plotArea>
    <c:plotVisOnly val="1"/>
  </c:chart>
  <c:printSettings>
    <c:headerFooter/>
    <c:pageMargins b="0.75000000000000966" l="0.70000000000000062" r="0.70000000000000062" t="0.75000000000000966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8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Production of the Port Victoria Wind Farm</a:t>
            </a:r>
          </a:p>
        </c:rich>
      </c:tx>
    </c:title>
    <c:plotArea>
      <c:layout/>
      <c:barChart>
        <c:barDir val="col"/>
        <c:grouping val="clustered"/>
        <c:ser>
          <c:idx val="1"/>
          <c:order val="0"/>
          <c:tx>
            <c:strRef>
              <c:f>'Generation-Summary (2)'!$U$38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dLbls>
            <c:dLblPos val="outEnd"/>
            <c:showVal val="1"/>
          </c:dLbls>
          <c:cat>
            <c:numRef>
              <c:f>'Generation-Summary (2)'!$A$43:$A$49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'Generation-Summary (2)'!$U$43:$U$49</c:f>
              <c:numCache>
                <c:formatCode>_-* #,##0.00_-;\-* #,##0.00_-;_-* "-"??_-;_-@_-</c:formatCode>
                <c:ptCount val="7"/>
                <c:pt idx="0">
                  <c:v>6.9510500000000004</c:v>
                </c:pt>
                <c:pt idx="1">
                  <c:v>7.0908100000000003</c:v>
                </c:pt>
                <c:pt idx="2">
                  <c:v>6.79542</c:v>
                </c:pt>
                <c:pt idx="3">
                  <c:v>6.8568930000000003</c:v>
                </c:pt>
                <c:pt idx="4">
                  <c:v>6.6166200000000002</c:v>
                </c:pt>
                <c:pt idx="5">
                  <c:v>7.3924099999999999</c:v>
                </c:pt>
                <c:pt idx="6">
                  <c:v>5.7088900000000002</c:v>
                </c:pt>
              </c:numCache>
            </c:numRef>
          </c:val>
        </c:ser>
        <c:gapWidth val="100"/>
        <c:overlap val="-24"/>
        <c:axId val="603260800"/>
        <c:axId val="603262336"/>
      </c:barChart>
      <c:catAx>
        <c:axId val="60326080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603262336"/>
        <c:crosses val="autoZero"/>
        <c:auto val="1"/>
        <c:lblAlgn val="ctr"/>
        <c:lblOffset val="100"/>
      </c:catAx>
      <c:valAx>
        <c:axId val="603262336"/>
        <c:scaling>
          <c:orientation val="minMax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GWh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_-* #,##0.00_-;\-* #,##0.00_-;_-* &quot;-&quot;??_-;_-@_-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603260800"/>
        <c:crosses val="autoZero"/>
        <c:crossBetween val="between"/>
      </c:valAx>
      <c:spPr>
        <a:gradFill>
          <a:gsLst>
            <a:gs pos="0">
              <a:schemeClr val="accent1">
                <a:lumMod val="40000"/>
                <a:lumOff val="60000"/>
              </a:schemeClr>
            </a:gs>
            <a:gs pos="100000">
              <a:schemeClr val="bg1"/>
            </a:gs>
          </a:gsLst>
          <a:lin ang="16200000" scaled="1"/>
        </a:gradFill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accent1">
          <a:lumMod val="20000"/>
          <a:lumOff val="80000"/>
        </a:schemeClr>
      </a:solidFill>
      <a:round/>
    </a:ln>
    <a:effectLst/>
  </c:spPr>
  <c:txPr>
    <a:bodyPr/>
    <a:lstStyle/>
    <a:p>
      <a:pPr>
        <a:defRPr>
          <a:solidFill>
            <a:schemeClr val="accent1">
              <a:lumMod val="50000"/>
            </a:schemeClr>
          </a:solidFill>
        </a:defRPr>
      </a:pPr>
      <a:endParaRPr lang="en-US"/>
    </a:p>
  </c:txPr>
  <c:printSettings>
    <c:headerFooter/>
    <c:pageMargins b="0.75000000000000655" l="0.70000000000000062" r="0.70000000000000062" t="0.7500000000000065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8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Production of  Grid-Connected</a:t>
            </a:r>
            <a:r>
              <a:rPr lang="en-US" sz="1400" baseline="0"/>
              <a:t> Solar PV</a:t>
            </a:r>
          </a:p>
        </c:rich>
      </c:tx>
    </c:title>
    <c:plotArea>
      <c:layout/>
      <c:barChart>
        <c:barDir val="col"/>
        <c:grouping val="clustered"/>
        <c:ser>
          <c:idx val="1"/>
          <c:order val="0"/>
          <c:tx>
            <c:strRef>
              <c:f>'Generation-Summary (2)'!$T$38</c:f>
              <c:strCache>
                <c:ptCount val="1"/>
                <c:pt idx="0">
                  <c:v>Solar PV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dLbls>
            <c:dLblPos val="outEnd"/>
            <c:showVal val="1"/>
          </c:dLbls>
          <c:cat>
            <c:numRef>
              <c:f>'Generation-Summary (2)'!$A$43:$A$49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'Generation-Summary (2)'!$T$43:$T$49</c:f>
              <c:numCache>
                <c:formatCode>_-* #,##0.00_-;\-* #,##0.00_-;_-* "-"??_-;_-@_-</c:formatCode>
                <c:ptCount val="7"/>
                <c:pt idx="0">
                  <c:v>0</c:v>
                </c:pt>
                <c:pt idx="1">
                  <c:v>0.47120300000000004</c:v>
                </c:pt>
                <c:pt idx="2">
                  <c:v>1.541204</c:v>
                </c:pt>
                <c:pt idx="3">
                  <c:v>2.2990400000000002</c:v>
                </c:pt>
                <c:pt idx="4">
                  <c:v>2.9817649999999998</c:v>
                </c:pt>
                <c:pt idx="5">
                  <c:v>3.5350169999999999</c:v>
                </c:pt>
                <c:pt idx="6">
                  <c:v>3.979724</c:v>
                </c:pt>
              </c:numCache>
            </c:numRef>
          </c:val>
        </c:ser>
        <c:gapWidth val="100"/>
        <c:overlap val="-24"/>
        <c:axId val="603286912"/>
        <c:axId val="603313280"/>
      </c:barChart>
      <c:catAx>
        <c:axId val="603286912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603313280"/>
        <c:crosses val="autoZero"/>
        <c:auto val="1"/>
        <c:lblAlgn val="ctr"/>
        <c:lblOffset val="100"/>
      </c:catAx>
      <c:valAx>
        <c:axId val="603313280"/>
        <c:scaling>
          <c:orientation val="minMax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GWh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_-* #,##0.00_-;\-* #,##0.00_-;_-* &quot;-&quot;??_-;_-@_-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603286912"/>
        <c:crosses val="autoZero"/>
        <c:crossBetween val="between"/>
      </c:valAx>
      <c:spPr>
        <a:gradFill>
          <a:gsLst>
            <a:gs pos="0">
              <a:schemeClr val="accent1">
                <a:lumMod val="40000"/>
                <a:lumOff val="60000"/>
              </a:schemeClr>
            </a:gs>
            <a:gs pos="100000">
              <a:schemeClr val="bg1"/>
            </a:gs>
          </a:gsLst>
          <a:lin ang="16200000" scaled="1"/>
        </a:gradFill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accent1">
          <a:lumMod val="20000"/>
          <a:lumOff val="80000"/>
        </a:schemeClr>
      </a:solidFill>
      <a:round/>
    </a:ln>
    <a:effectLst/>
  </c:spPr>
  <c:txPr>
    <a:bodyPr/>
    <a:lstStyle/>
    <a:p>
      <a:pPr>
        <a:defRPr>
          <a:solidFill>
            <a:schemeClr val="accent1">
              <a:lumMod val="50000"/>
            </a:schemeClr>
          </a:solidFill>
        </a:defRPr>
      </a:pPr>
      <a:endParaRPr lang="en-US"/>
    </a:p>
  </c:txPr>
  <c:printSettings>
    <c:headerFooter/>
    <c:pageMargins b="0.75000000000000699" l="0.70000000000000062" r="0.70000000000000062" t="0.75000000000000699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8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Electricity Generation </a:t>
            </a:r>
            <a:r>
              <a:rPr lang="en-US" sz="900" b="0"/>
              <a:t>(auto-producers not included)</a:t>
            </a:r>
            <a:r>
              <a:rPr lang="en-US" sz="1400"/>
              <a:t> 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'Generation-Summary (2)'!$Y$38</c:f>
              <c:strCache>
                <c:ptCount val="1"/>
                <c:pt idx="0">
                  <c:v>HFO &amp; LFO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dLbls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dLblPos val="ctr"/>
            <c:showVal val="1"/>
          </c:dLbls>
          <c:cat>
            <c:numRef>
              <c:f>'Generation-Summary (2)'!$A$40:$A$49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'Generation-Summary (2)'!$Y$40:$Y$49</c:f>
              <c:numCache>
                <c:formatCode>_-* #,##0.00_-;\-* #,##0.00_-;_-* "-"??_-;_-@_-</c:formatCode>
                <c:ptCount val="10"/>
                <c:pt idx="0">
                  <c:v>301.03960000000001</c:v>
                </c:pt>
                <c:pt idx="1">
                  <c:v>323.83490017713211</c:v>
                </c:pt>
                <c:pt idx="2">
                  <c:v>336.49302699999998</c:v>
                </c:pt>
                <c:pt idx="3">
                  <c:v>347.27360099999999</c:v>
                </c:pt>
                <c:pt idx="4">
                  <c:v>354.88158600000003</c:v>
                </c:pt>
                <c:pt idx="5">
                  <c:v>369.29522799999995</c:v>
                </c:pt>
                <c:pt idx="6">
                  <c:v>400.11999200000002</c:v>
                </c:pt>
                <c:pt idx="7">
                  <c:v>414.22988799999996</c:v>
                </c:pt>
                <c:pt idx="8">
                  <c:v>416.89648099999999</c:v>
                </c:pt>
                <c:pt idx="9">
                  <c:v>437.82444999999996</c:v>
                </c:pt>
              </c:numCache>
            </c:numRef>
          </c:val>
        </c:ser>
        <c:ser>
          <c:idx val="1"/>
          <c:order val="1"/>
          <c:tx>
            <c:strRef>
              <c:f>'Generation-Summary (2)'!$V$38</c:f>
              <c:strCache>
                <c:ptCount val="1"/>
                <c:pt idx="0">
                  <c:v>Renewable</c:v>
                </c:pt>
              </c:strCache>
            </c:strRef>
          </c:tx>
          <c:spPr>
            <a:solidFill>
              <a:schemeClr val="tx1"/>
            </a:solidFill>
          </c:spPr>
          <c:dLbls>
            <c:dLbl>
              <c:idx val="3"/>
              <c:layout>
                <c:manualLayout>
                  <c:x val="2.3028209556706972E-3"/>
                  <c:y val="-4.0955631399317433E-2"/>
                </c:manualLayout>
              </c:layout>
              <c:showVal val="1"/>
            </c:dLbl>
            <c:dLbl>
              <c:idx val="4"/>
              <c:layout>
                <c:manualLayout>
                  <c:x val="0"/>
                  <c:y val="-5.9158134243458504E-2"/>
                </c:manualLayout>
              </c:layout>
              <c:showVal val="1"/>
            </c:dLbl>
            <c:dLbl>
              <c:idx val="5"/>
              <c:layout>
                <c:manualLayout>
                  <c:x val="0"/>
                  <c:y val="-5.4607508532423313E-2"/>
                </c:manualLayout>
              </c:layout>
              <c:showVal val="1"/>
            </c:dLbl>
            <c:dLbl>
              <c:idx val="6"/>
              <c:layout>
                <c:manualLayout>
                  <c:x val="0"/>
                  <c:y val="-4.5506257110352694E-2"/>
                </c:manualLayout>
              </c:layout>
              <c:showVal val="1"/>
            </c:dLbl>
            <c:dLbl>
              <c:idx val="7"/>
              <c:layout>
                <c:manualLayout>
                  <c:x val="0"/>
                  <c:y val="-5.9158134243458504E-2"/>
                </c:manualLayout>
              </c:layout>
              <c:showVal val="1"/>
            </c:dLbl>
            <c:dLbl>
              <c:idx val="8"/>
              <c:layout>
                <c:manualLayout>
                  <c:x val="0"/>
                  <c:y val="-6.3708759954493904E-2"/>
                </c:manualLayout>
              </c:layout>
              <c:showVal val="1"/>
            </c:dLbl>
            <c:dLbl>
              <c:idx val="9"/>
              <c:layout>
                <c:manualLayout>
                  <c:x val="0"/>
                  <c:y val="-5.0056882821387982E-2"/>
                </c:manualLayout>
              </c:layout>
              <c:showVal val="1"/>
            </c:dLbl>
            <c:showVal val="1"/>
          </c:dLbls>
          <c:cat>
            <c:numRef>
              <c:f>'Generation-Summary (2)'!$A$40:$A$49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'Generation-Summary (2)'!$V$40:$V$49</c:f>
              <c:numCache>
                <c:formatCode>_-* #,##0.00_-;\-* #,##0.00_-;_-* "-"??_-;_-@_-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6.9510500000000004</c:v>
                </c:pt>
                <c:pt idx="4">
                  <c:v>7.5620130000000003</c:v>
                </c:pt>
                <c:pt idx="5">
                  <c:v>8.3366240000000005</c:v>
                </c:pt>
                <c:pt idx="6">
                  <c:v>9.155933000000001</c:v>
                </c:pt>
                <c:pt idx="7">
                  <c:v>9.5983850000000004</c:v>
                </c:pt>
                <c:pt idx="8">
                  <c:v>10.927427</c:v>
                </c:pt>
                <c:pt idx="9">
                  <c:v>9.6886140000000012</c:v>
                </c:pt>
              </c:numCache>
            </c:numRef>
          </c:val>
        </c:ser>
        <c:gapWidth val="55"/>
        <c:overlap val="100"/>
        <c:axId val="605649536"/>
        <c:axId val="605655424"/>
      </c:barChart>
      <c:catAx>
        <c:axId val="60564953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605655424"/>
        <c:crosses val="autoZero"/>
        <c:auto val="1"/>
        <c:lblAlgn val="ctr"/>
        <c:lblOffset val="100"/>
      </c:catAx>
      <c:valAx>
        <c:axId val="605655424"/>
        <c:scaling>
          <c:orientation val="minMax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GWh</a:t>
                </a:r>
              </a:p>
            </c:rich>
          </c:tx>
          <c:layout/>
        </c:title>
        <c:numFmt formatCode="_-* #,##0.00_-;\-* #,##0.00_-;_-* &quot;-&quot;??_-;_-@_-" sourceLinked="1"/>
        <c:majorTickMark val="none"/>
        <c:tickLblPos val="nextTo"/>
        <c:spPr>
          <a:noFill/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605649536"/>
        <c:crosses val="autoZero"/>
        <c:crossBetween val="between"/>
      </c:valAx>
      <c:spPr>
        <a:gradFill>
          <a:gsLst>
            <a:gs pos="0">
              <a:schemeClr val="accent1">
                <a:lumMod val="40000"/>
                <a:lumOff val="60000"/>
              </a:schemeClr>
            </a:gs>
            <a:gs pos="100000">
              <a:schemeClr val="bg1"/>
            </a:gs>
          </a:gsLst>
          <a:lin ang="16200000" scaled="1"/>
        </a:gradFill>
        <a:ln>
          <a:noFill/>
        </a:ln>
        <a:effectLst/>
      </c:spPr>
    </c:plotArea>
    <c:legend>
      <c:legendPos val="r"/>
      <c:layout/>
    </c:legend>
    <c:plotVisOnly val="1"/>
    <c:dispBlanksAs val="gap"/>
  </c:chart>
  <c:spPr>
    <a:solidFill>
      <a:schemeClr val="bg1"/>
    </a:solidFill>
    <a:ln w="9525" cap="flat" cmpd="sng" algn="ctr">
      <a:solidFill>
        <a:schemeClr val="accent1">
          <a:lumMod val="20000"/>
          <a:lumOff val="80000"/>
        </a:schemeClr>
      </a:solidFill>
      <a:round/>
    </a:ln>
    <a:effectLst/>
  </c:spPr>
  <c:txPr>
    <a:bodyPr/>
    <a:lstStyle/>
    <a:p>
      <a:pPr>
        <a:defRPr>
          <a:solidFill>
            <a:schemeClr val="accent1">
              <a:lumMod val="50000"/>
            </a:schemeClr>
          </a:solidFill>
        </a:defRPr>
      </a:pPr>
      <a:endParaRPr lang="en-US"/>
    </a:p>
  </c:txPr>
  <c:printSettings>
    <c:headerFooter/>
    <c:pageMargins b="0.75000000000000677" l="0.70000000000000062" r="0.70000000000000062" t="0.75000000000000677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 sz="1400"/>
              <a:t>Structure of Electricity Generation</a:t>
            </a:r>
            <a:r>
              <a:rPr lang="en-US" sz="1400" baseline="0"/>
              <a:t> </a:t>
            </a:r>
            <a:r>
              <a:rPr lang="en-US" sz="1400"/>
              <a:t>in 2019</a:t>
            </a:r>
          </a:p>
        </c:rich>
      </c:tx>
      <c:layout>
        <c:manualLayout>
          <c:xMode val="edge"/>
          <c:yMode val="edge"/>
          <c:x val="1.6280981753431161E-2"/>
          <c:y val="0.87732376248134469"/>
        </c:manualLayout>
      </c:layout>
      <c:overlay val="1"/>
    </c:title>
    <c:view3D>
      <c:rotX val="30"/>
      <c:perspective val="30"/>
    </c:view3D>
    <c:plotArea>
      <c:layout>
        <c:manualLayout>
          <c:layoutTarget val="inner"/>
          <c:xMode val="edge"/>
          <c:yMode val="edge"/>
          <c:x val="3.9900944585317052E-2"/>
          <c:y val="7.6036079246439514E-2"/>
          <c:w val="0.96009905541471197"/>
          <c:h val="0.8885369785629289"/>
        </c:manualLayout>
      </c:layout>
      <c:pie3DChart>
        <c:varyColors val="1"/>
        <c:ser>
          <c:idx val="0"/>
          <c:order val="0"/>
          <c:tx>
            <c:strRef>
              <c:f>'Generation-Summary (2)'!$T$37:$Z$37</c:f>
              <c:strCache>
                <c:ptCount val="1"/>
                <c:pt idx="0">
                  <c:v>SEYCHELLES OVERALL</c:v>
                </c:pt>
              </c:strCache>
            </c:strRef>
          </c:tx>
          <c:spPr>
            <a:effectLst>
              <a:outerShdw blurRad="50800" dist="38100" algn="tl" rotWithShape="0">
                <a:prstClr val="black">
                  <a:alpha val="40000"/>
                </a:prstClr>
              </a:out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dPt>
            <c:idx val="0"/>
            <c:spPr>
              <a:solidFill>
                <a:srgbClr val="C00000"/>
              </a:solidFill>
              <a:effectLst>
                <a:outerShdw blurRad="50800" dist="38100" algn="tl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"/>
            <c:spPr>
              <a:solidFill>
                <a:srgbClr val="1F497D">
                  <a:lumMod val="60000"/>
                  <a:lumOff val="40000"/>
                </a:srgbClr>
              </a:solidFill>
              <a:effectLst>
                <a:outerShdw blurRad="50800" dist="38100" algn="tl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2"/>
            <c:spPr>
              <a:solidFill>
                <a:srgbClr val="FFCC00"/>
              </a:solidFill>
              <a:effectLst>
                <a:outerShdw blurRad="50800" dist="38100" algn="tl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3"/>
            <c:spPr>
              <a:solidFill>
                <a:sysClr val="window" lastClr="FFFFFF">
                  <a:lumMod val="65000"/>
                </a:sysClr>
              </a:solidFill>
              <a:effectLst>
                <a:outerShdw blurRad="50800" dist="38100" algn="tl" rotWithShape="0">
                  <a:prstClr val="black">
                    <a:alpha val="4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Lbls>
            <c:dLbl>
              <c:idx val="0"/>
              <c:layout>
                <c:manualLayout>
                  <c:x val="-0.12785891711409619"/>
                  <c:y val="2.084165943336727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Solar PV
0.9%</a:t>
                    </a:r>
                  </a:p>
                </c:rich>
              </c:tx>
              <c:dLblPos val="bestFit"/>
              <c:showCatName val="1"/>
              <c:showPercent val="1"/>
            </c:dLbl>
            <c:dLbl>
              <c:idx val="1"/>
              <c:layout>
                <c:manualLayout>
                  <c:x val="6.6583049824280691E-2"/>
                  <c:y val="5.971765154022585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Wind
1.1%</a:t>
                    </a:r>
                  </a:p>
                </c:rich>
              </c:tx>
              <c:dLblPos val="bestFit"/>
              <c:showCatName val="1"/>
              <c:showPercent val="1"/>
            </c:dLbl>
            <c:dLblPos val="inEnd"/>
            <c:showCatName val="1"/>
            <c:showPercent val="1"/>
            <c:showLeaderLines val="1"/>
          </c:dLbls>
          <c:cat>
            <c:strRef>
              <c:f>('Generation-Summary (2)'!$T$38,'Generation-Summary (2)'!$U$38,'Generation-Summary (2)'!$Y$38)</c:f>
              <c:strCache>
                <c:ptCount val="3"/>
                <c:pt idx="0">
                  <c:v>Solar PV</c:v>
                </c:pt>
                <c:pt idx="1">
                  <c:v>Wind</c:v>
                </c:pt>
                <c:pt idx="2">
                  <c:v>HFO &amp; LFO</c:v>
                </c:pt>
              </c:strCache>
            </c:strRef>
          </c:cat>
          <c:val>
            <c:numRef>
              <c:f>('Generation-Summary (2)'!$T$49,'Generation-Summary (2)'!$U$49,'Generation-Summary (2)'!$Y$49)</c:f>
              <c:numCache>
                <c:formatCode>_-* #,##0.00_-;\-* #,##0.00_-;_-* "-"??_-;_-@_-</c:formatCode>
                <c:ptCount val="3"/>
                <c:pt idx="0">
                  <c:v>3.979724</c:v>
                </c:pt>
                <c:pt idx="1">
                  <c:v>5.7088900000000002</c:v>
                </c:pt>
                <c:pt idx="2">
                  <c:v>437.82444999999996</c:v>
                </c:pt>
              </c:numCache>
            </c:numRef>
          </c:val>
        </c:ser>
        <c:dLbls>
          <c:showCatName val="1"/>
          <c:showPercent val="1"/>
        </c:dLbls>
      </c:pie3DChart>
    </c:plotArea>
    <c:plotVisOnly val="1"/>
    <c:dispBlanksAs val="zero"/>
  </c:chart>
  <c:spPr>
    <a:ln>
      <a:noFill/>
    </a:ln>
  </c:spPr>
  <c:printSettings>
    <c:headerFooter/>
    <c:pageMargins b="0.75000000000000588" l="0.70000000000000062" r="0.70000000000000062" t="0.75000000000000588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8"/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SEYCHELLES  Solar + Wind uptake</a:t>
            </a:r>
          </a:p>
          <a:p>
            <a:pPr>
              <a:defRPr sz="1400"/>
            </a:pPr>
            <a:r>
              <a:rPr lang="en-US" sz="1400"/>
              <a:t> (% of electricity generation)</a:t>
            </a:r>
            <a:endParaRPr lang="en-US" sz="1400" baseline="0"/>
          </a:p>
        </c:rich>
      </c:tx>
    </c:title>
    <c:plotArea>
      <c:layout/>
      <c:lineChart>
        <c:grouping val="standard"/>
        <c:ser>
          <c:idx val="1"/>
          <c:order val="0"/>
          <c:tx>
            <c:strRef>
              <c:f>'Generation-Summary (2)'!$AC$38</c:f>
              <c:strCache>
                <c:ptCount val="1"/>
                <c:pt idx="0">
                  <c:v>Renewable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numRef>
              <c:f>'Generation-Summary (2)'!$A$43:$A$51</c:f>
              <c:numCache>
                <c:formatCode>General</c:formatCod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</c:numCache>
            </c:numRef>
          </c:cat>
          <c:val>
            <c:numRef>
              <c:f>'Generation-Summary (2)'!$AC$43:$AC$51</c:f>
              <c:numCache>
                <c:formatCode>0.0%</c:formatCode>
                <c:ptCount val="9"/>
                <c:pt idx="0">
                  <c:v>1.9623281384784259E-2</c:v>
                </c:pt>
                <c:pt idx="1">
                  <c:v>2.0863971721018035E-2</c:v>
                </c:pt>
                <c:pt idx="2">
                  <c:v>2.2076061528835234E-2</c:v>
                </c:pt>
                <c:pt idx="3">
                  <c:v>2.2371051998721889E-2</c:v>
                </c:pt>
                <c:pt idx="4">
                  <c:v>2.2646872829080945E-2</c:v>
                </c:pt>
                <c:pt idx="5">
                  <c:v>2.554188018870605E-2</c:v>
                </c:pt>
                <c:pt idx="6">
                  <c:v>2.1649902046211554E-2</c:v>
                </c:pt>
                <c:pt idx="7">
                  <c:v>2.6491736324441423E-2</c:v>
                </c:pt>
                <c:pt idx="8">
                  <c:v>4.2052058890418818E-2</c:v>
                </c:pt>
              </c:numCache>
            </c:numRef>
          </c:val>
        </c:ser>
        <c:marker val="1"/>
        <c:axId val="608944128"/>
        <c:axId val="608945664"/>
      </c:lineChart>
      <c:catAx>
        <c:axId val="60894412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608945664"/>
        <c:crosses val="autoZero"/>
        <c:auto val="1"/>
        <c:lblAlgn val="ctr"/>
        <c:lblOffset val="100"/>
      </c:catAx>
      <c:valAx>
        <c:axId val="608945664"/>
        <c:scaling>
          <c:orientation val="minMax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608944128"/>
        <c:crosses val="autoZero"/>
        <c:crossBetween val="between"/>
      </c:valAx>
      <c:spPr>
        <a:gradFill>
          <a:gsLst>
            <a:gs pos="0">
              <a:schemeClr val="accent1">
                <a:lumMod val="40000"/>
                <a:lumOff val="60000"/>
              </a:schemeClr>
            </a:gs>
            <a:gs pos="100000">
              <a:schemeClr val="bg1"/>
            </a:gs>
          </a:gsLst>
          <a:lin ang="16200000" scaled="1"/>
        </a:gradFill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accent1">
          <a:lumMod val="20000"/>
          <a:lumOff val="80000"/>
        </a:schemeClr>
      </a:solidFill>
      <a:round/>
    </a:ln>
    <a:effectLst/>
  </c:spPr>
  <c:txPr>
    <a:bodyPr/>
    <a:lstStyle/>
    <a:p>
      <a:pPr>
        <a:defRPr>
          <a:solidFill>
            <a:schemeClr val="accent1">
              <a:lumMod val="50000"/>
            </a:schemeClr>
          </a:solidFill>
        </a:defRPr>
      </a:pPr>
      <a:endParaRPr lang="en-US"/>
    </a:p>
  </c:txPr>
  <c:printSettings>
    <c:headerFooter/>
    <c:pageMargins b="0.75000000000000722" l="0.70000000000000062" r="0.70000000000000062" t="0.75000000000000722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Electricity Generation in 2021</a:t>
            </a:r>
          </a:p>
        </c:rich>
      </c:tx>
      <c:layout/>
    </c:title>
    <c:view3D>
      <c:rotX val="30"/>
      <c:perspective val="30"/>
    </c:view3D>
    <c:plotArea>
      <c:layout>
        <c:manualLayout>
          <c:layoutTarget val="inner"/>
          <c:xMode val="edge"/>
          <c:yMode val="edge"/>
          <c:x val="9.3055555555555766E-2"/>
          <c:y val="0.32194006999125202"/>
          <c:w val="0.81388888888888966"/>
          <c:h val="0.64767096821230674"/>
        </c:manualLayout>
      </c:layout>
      <c:pie3DChart>
        <c:varyColors val="1"/>
        <c:ser>
          <c:idx val="0"/>
          <c:order val="0"/>
          <c:dLbls>
            <c:showCatName val="1"/>
            <c:showPercent val="1"/>
            <c:showLeaderLines val="1"/>
          </c:dLbls>
          <c:cat>
            <c:strRef>
              <c:f>'Generation-Summary (2)'!$Z$55:$Z$56</c:f>
              <c:strCache>
                <c:ptCount val="2"/>
                <c:pt idx="0">
                  <c:v>Mahe</c:v>
                </c:pt>
                <c:pt idx="1">
                  <c:v>Praslin&amp;La Digue</c:v>
                </c:pt>
              </c:strCache>
            </c:strRef>
          </c:cat>
          <c:val>
            <c:numRef>
              <c:f>'Generation-Summary (2)'!$AA$55:$AA$56</c:f>
              <c:numCache>
                <c:formatCode>0.0%</c:formatCode>
                <c:ptCount val="2"/>
                <c:pt idx="0">
                  <c:v>0.89664937899704478</c:v>
                </c:pt>
                <c:pt idx="1">
                  <c:v>0.10335721634144274</c:v>
                </c:pt>
              </c:numCache>
            </c:numRef>
          </c:val>
        </c:ser>
        <c:dLbls>
          <c:showCatName val="1"/>
          <c:showPercent val="1"/>
        </c:dLbls>
      </c:pie3DChart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61</xdr:row>
      <xdr:rowOff>104775</xdr:rowOff>
    </xdr:from>
    <xdr:to>
      <xdr:col>11</xdr:col>
      <xdr:colOff>561975</xdr:colOff>
      <xdr:row>75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171449</xdr:colOff>
      <xdr:row>61</xdr:row>
      <xdr:rowOff>123825</xdr:rowOff>
    </xdr:from>
    <xdr:to>
      <xdr:col>21</xdr:col>
      <xdr:colOff>171449</xdr:colOff>
      <xdr:row>76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19048</xdr:colOff>
      <xdr:row>79</xdr:row>
      <xdr:rowOff>19049</xdr:rowOff>
    </xdr:from>
    <xdr:to>
      <xdr:col>30</xdr:col>
      <xdr:colOff>571500</xdr:colOff>
      <xdr:row>94</xdr:row>
      <xdr:rowOff>180974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38100</xdr:colOff>
      <xdr:row>109</xdr:row>
      <xdr:rowOff>171450</xdr:rowOff>
    </xdr:from>
    <xdr:to>
      <xdr:col>22</xdr:col>
      <xdr:colOff>381000</xdr:colOff>
      <xdr:row>124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400050</xdr:colOff>
      <xdr:row>110</xdr:row>
      <xdr:rowOff>19050</xdr:rowOff>
    </xdr:from>
    <xdr:to>
      <xdr:col>30</xdr:col>
      <xdr:colOff>0</xdr:colOff>
      <xdr:row>124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47625</xdr:colOff>
      <xdr:row>110</xdr:row>
      <xdr:rowOff>19050</xdr:rowOff>
    </xdr:from>
    <xdr:to>
      <xdr:col>37</xdr:col>
      <xdr:colOff>257175</xdr:colOff>
      <xdr:row>124</xdr:row>
      <xdr:rowOff>95250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304800</xdr:colOff>
      <xdr:row>94</xdr:row>
      <xdr:rowOff>180974</xdr:rowOff>
    </xdr:from>
    <xdr:to>
      <xdr:col>21</xdr:col>
      <xdr:colOff>323850</xdr:colOff>
      <xdr:row>109</xdr:row>
      <xdr:rowOff>114299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57150</xdr:colOff>
      <xdr:row>95</xdr:row>
      <xdr:rowOff>38100</xdr:rowOff>
    </xdr:from>
    <xdr:to>
      <xdr:col>29</xdr:col>
      <xdr:colOff>238125</xdr:colOff>
      <xdr:row>109</xdr:row>
      <xdr:rowOff>161925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571499</xdr:colOff>
      <xdr:row>61</xdr:row>
      <xdr:rowOff>76200</xdr:rowOff>
    </xdr:from>
    <xdr:to>
      <xdr:col>30</xdr:col>
      <xdr:colOff>104774</xdr:colOff>
      <xdr:row>76</xdr:row>
      <xdr:rowOff>9525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33</xdr:col>
      <xdr:colOff>257175</xdr:colOff>
      <xdr:row>72</xdr:row>
      <xdr:rowOff>38100</xdr:rowOff>
    </xdr:from>
    <xdr:to>
      <xdr:col>33</xdr:col>
      <xdr:colOff>523875</xdr:colOff>
      <xdr:row>73</xdr:row>
      <xdr:rowOff>47625</xdr:rowOff>
    </xdr:to>
    <xdr:cxnSp macro="">
      <xdr:nvCxnSpPr>
        <xdr:cNvPr id="11" name="Straight Arrow Connector 10"/>
        <xdr:cNvCxnSpPr/>
      </xdr:nvCxnSpPr>
      <xdr:spPr>
        <a:xfrm>
          <a:off x="20764500" y="14497050"/>
          <a:ext cx="266700" cy="200025"/>
        </a:xfrm>
        <a:prstGeom prst="straightConnector1">
          <a:avLst/>
        </a:prstGeom>
        <a:ln>
          <a:solidFill>
            <a:srgbClr val="FF0000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</xdr:row>
      <xdr:rowOff>0</xdr:rowOff>
    </xdr:from>
    <xdr:to>
      <xdr:col>7</xdr:col>
      <xdr:colOff>638176</xdr:colOff>
      <xdr:row>32</xdr:row>
      <xdr:rowOff>28574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31</xdr:col>
      <xdr:colOff>0</xdr:colOff>
      <xdr:row>95</xdr:row>
      <xdr:rowOff>0</xdr:rowOff>
    </xdr:from>
    <xdr:to>
      <xdr:col>37</xdr:col>
      <xdr:colOff>447675</xdr:colOff>
      <xdr:row>109</xdr:row>
      <xdr:rowOff>123825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30</xdr:col>
      <xdr:colOff>257175</xdr:colOff>
      <xdr:row>51</xdr:row>
      <xdr:rowOff>180975</xdr:rowOff>
    </xdr:from>
    <xdr:to>
      <xdr:col>36</xdr:col>
      <xdr:colOff>619125</xdr:colOff>
      <xdr:row>66</xdr:row>
      <xdr:rowOff>66675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明朝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66"/>
  <sheetViews>
    <sheetView tabSelected="1" workbookViewId="0">
      <selection activeCell="I80" sqref="I80"/>
    </sheetView>
  </sheetViews>
  <sheetFormatPr defaultRowHeight="15"/>
  <cols>
    <col min="1" max="1" width="9.140625" style="1"/>
    <col min="2" max="2" width="7.7109375" style="1" customWidth="1"/>
    <col min="3" max="3" width="10.42578125" style="1" customWidth="1"/>
    <col min="4" max="5" width="8.140625" style="1" customWidth="1"/>
    <col min="6" max="6" width="6.7109375" style="1" customWidth="1"/>
    <col min="7" max="7" width="7" style="1" customWidth="1"/>
    <col min="8" max="9" width="7.7109375" style="1" customWidth="1"/>
    <col min="10" max="11" width="9.140625" style="1" customWidth="1"/>
    <col min="12" max="12" width="8.7109375" style="1" customWidth="1"/>
    <col min="13" max="13" width="10.42578125" style="1" customWidth="1"/>
    <col min="14" max="14" width="11.7109375" style="1" customWidth="1"/>
    <col min="15" max="15" width="8.7109375" style="1" customWidth="1"/>
    <col min="16" max="16" width="8.140625" style="1" customWidth="1"/>
    <col min="17" max="17" width="9.140625" style="1" customWidth="1"/>
    <col min="18" max="18" width="8.7109375" style="1" customWidth="1"/>
    <col min="19" max="19" width="8.5703125" style="1" customWidth="1"/>
    <col min="20" max="20" width="8.85546875" style="1" customWidth="1"/>
    <col min="21" max="21" width="9.85546875" style="1" customWidth="1"/>
    <col min="22" max="22" width="8.85546875" style="1" customWidth="1"/>
    <col min="23" max="23" width="7" style="1" customWidth="1"/>
    <col min="24" max="24" width="8.42578125" style="1" customWidth="1"/>
    <col min="25" max="25" width="8.85546875" style="1" customWidth="1"/>
    <col min="26" max="26" width="8.5703125" style="1" customWidth="1"/>
    <col min="27" max="27" width="10.85546875" style="1" customWidth="1"/>
    <col min="28" max="28" width="12" style="1" customWidth="1"/>
    <col min="29" max="29" width="9.140625" style="1"/>
    <col min="30" max="30" width="14.28515625" style="1" customWidth="1"/>
    <col min="31" max="31" width="13.28515625" style="1" bestFit="1" customWidth="1"/>
    <col min="32" max="32" width="10.5703125" style="1" customWidth="1"/>
    <col min="33" max="33" width="11.85546875" style="1" customWidth="1"/>
    <col min="34" max="36" width="9.140625" style="1"/>
    <col min="37" max="37" width="10.28515625" style="1" customWidth="1"/>
    <col min="38" max="38" width="11.5703125" style="1" customWidth="1"/>
    <col min="39" max="45" width="9.140625" style="1"/>
    <col min="46" max="46" width="13.28515625" style="1" bestFit="1" customWidth="1"/>
    <col min="47" max="16384" width="9.140625" style="1"/>
  </cols>
  <sheetData>
    <row r="1" spans="1:53" ht="21">
      <c r="L1" s="2" t="s">
        <v>0</v>
      </c>
      <c r="R1" s="3"/>
      <c r="S1" s="3"/>
      <c r="T1" s="4"/>
      <c r="U1" s="3"/>
      <c r="V1" s="3"/>
      <c r="W1" s="3"/>
    </row>
    <row r="2" spans="1:53">
      <c r="R2" s="3"/>
      <c r="S2" s="3"/>
      <c r="T2" s="3"/>
      <c r="U2" s="3"/>
      <c r="V2" s="3"/>
      <c r="W2" s="3"/>
    </row>
    <row r="4" spans="1:53">
      <c r="A4" s="5"/>
      <c r="B4" s="6" t="s">
        <v>1</v>
      </c>
      <c r="C4" s="6"/>
      <c r="D4" s="6"/>
      <c r="E4" s="6"/>
      <c r="F4" s="6"/>
      <c r="H4" s="7" t="s">
        <v>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  <c r="AD4" s="7" t="s">
        <v>3</v>
      </c>
      <c r="AE4" s="8"/>
      <c r="AF4" s="8"/>
      <c r="AG4" s="9"/>
      <c r="AN4" s="10" t="s">
        <v>4</v>
      </c>
      <c r="AO4" s="11"/>
      <c r="AP4" s="11"/>
      <c r="AQ4" s="11"/>
      <c r="AR4" s="11"/>
      <c r="AS4" s="11"/>
      <c r="AT4" s="12"/>
      <c r="AW4" s="13" t="s">
        <v>5</v>
      </c>
      <c r="AX4" s="14"/>
      <c r="AZ4" s="1" t="s">
        <v>6</v>
      </c>
    </row>
    <row r="5" spans="1:53">
      <c r="A5" s="5"/>
      <c r="B5" s="5"/>
      <c r="C5" s="5"/>
      <c r="D5" s="5"/>
      <c r="E5" s="5"/>
      <c r="F5" s="5"/>
      <c r="H5" s="15"/>
      <c r="I5" s="15"/>
      <c r="J5" s="16" t="s">
        <v>7</v>
      </c>
      <c r="K5" s="17"/>
      <c r="L5" s="17"/>
      <c r="M5" s="17"/>
      <c r="N5" s="17"/>
      <c r="O5" s="18"/>
      <c r="P5" s="19" t="s">
        <v>8</v>
      </c>
      <c r="Q5" s="20"/>
      <c r="R5" s="20"/>
      <c r="S5" s="21"/>
      <c r="T5" s="19" t="s">
        <v>9</v>
      </c>
      <c r="U5" s="20"/>
      <c r="V5" s="20"/>
      <c r="W5" s="21"/>
      <c r="X5" s="22" t="s">
        <v>10</v>
      </c>
      <c r="Y5" s="23"/>
      <c r="Z5" s="23"/>
      <c r="AA5" s="24"/>
      <c r="AD5" s="25"/>
      <c r="AH5" s="26" t="s">
        <v>11</v>
      </c>
      <c r="AI5" s="27" t="s">
        <v>12</v>
      </c>
      <c r="AJ5" s="26" t="s">
        <v>13</v>
      </c>
      <c r="AN5" s="5"/>
      <c r="AO5" s="5"/>
      <c r="AP5" s="5"/>
      <c r="AQ5" s="5"/>
      <c r="AR5" s="5"/>
      <c r="AS5" s="5"/>
      <c r="AT5" s="5"/>
      <c r="AW5" s="5"/>
      <c r="AX5" s="5"/>
      <c r="AZ5" s="1" t="s">
        <v>14</v>
      </c>
    </row>
    <row r="6" spans="1:53" ht="45">
      <c r="A6" s="28" t="s">
        <v>15</v>
      </c>
      <c r="B6" s="29" t="s">
        <v>16</v>
      </c>
      <c r="C6" s="29" t="s">
        <v>17</v>
      </c>
      <c r="D6" s="29" t="s">
        <v>18</v>
      </c>
      <c r="E6" s="29"/>
      <c r="F6" s="29" t="s">
        <v>19</v>
      </c>
      <c r="H6" s="30" t="s">
        <v>15</v>
      </c>
      <c r="I6" s="30"/>
      <c r="J6" s="31" t="s">
        <v>20</v>
      </c>
      <c r="K6" s="31" t="s">
        <v>21</v>
      </c>
      <c r="L6" s="31" t="s">
        <v>22</v>
      </c>
      <c r="M6" s="31" t="s">
        <v>23</v>
      </c>
      <c r="N6" s="31" t="s">
        <v>24</v>
      </c>
      <c r="O6" s="32" t="s">
        <v>25</v>
      </c>
      <c r="P6" s="32" t="s">
        <v>20</v>
      </c>
      <c r="Q6" s="31" t="s">
        <v>26</v>
      </c>
      <c r="R6" s="31" t="s">
        <v>17</v>
      </c>
      <c r="S6" s="32" t="s">
        <v>25</v>
      </c>
      <c r="T6" s="33" t="s">
        <v>20</v>
      </c>
      <c r="U6" s="34" t="s">
        <v>26</v>
      </c>
      <c r="V6" s="34" t="s">
        <v>17</v>
      </c>
      <c r="W6" s="35" t="s">
        <v>25</v>
      </c>
      <c r="X6" s="36" t="s">
        <v>20</v>
      </c>
      <c r="Y6" s="37" t="s">
        <v>26</v>
      </c>
      <c r="Z6" s="38" t="s">
        <v>17</v>
      </c>
      <c r="AA6" s="39" t="s">
        <v>25</v>
      </c>
      <c r="AB6" s="39" t="s">
        <v>19</v>
      </c>
      <c r="AD6" s="38" t="s">
        <v>26</v>
      </c>
      <c r="AE6" s="38" t="s">
        <v>17</v>
      </c>
      <c r="AF6" s="38" t="s">
        <v>25</v>
      </c>
      <c r="AG6" s="38" t="s">
        <v>19</v>
      </c>
      <c r="AH6" s="40" t="s">
        <v>16</v>
      </c>
      <c r="AI6" s="41" t="s">
        <v>16</v>
      </c>
      <c r="AJ6" s="40" t="s">
        <v>17</v>
      </c>
      <c r="AK6" s="42" t="s">
        <v>18</v>
      </c>
      <c r="AL6" s="29" t="s">
        <v>19</v>
      </c>
      <c r="AN6" s="29" t="s">
        <v>27</v>
      </c>
      <c r="AO6" s="43" t="s">
        <v>28</v>
      </c>
      <c r="AP6" s="43" t="s">
        <v>29</v>
      </c>
      <c r="AQ6" s="29" t="s">
        <v>16</v>
      </c>
      <c r="AR6" s="29" t="s">
        <v>17</v>
      </c>
      <c r="AS6" s="29" t="s">
        <v>18</v>
      </c>
      <c r="AT6" s="29" t="s">
        <v>19</v>
      </c>
      <c r="AW6" s="29" t="s">
        <v>30</v>
      </c>
      <c r="AX6" s="29" t="s">
        <v>31</v>
      </c>
      <c r="AZ6" s="1" t="s">
        <v>32</v>
      </c>
    </row>
    <row r="7" spans="1:53">
      <c r="A7" s="44"/>
      <c r="B7" s="45" t="s">
        <v>33</v>
      </c>
      <c r="C7" s="45" t="s">
        <v>34</v>
      </c>
      <c r="D7" s="45" t="s">
        <v>35</v>
      </c>
      <c r="E7" s="45"/>
      <c r="F7" s="44"/>
      <c r="G7" s="46"/>
      <c r="H7" s="44"/>
      <c r="I7" s="44"/>
      <c r="J7" s="47" t="s">
        <v>33</v>
      </c>
      <c r="K7" s="47"/>
      <c r="L7" s="47" t="s">
        <v>33</v>
      </c>
      <c r="M7" s="47"/>
      <c r="N7" s="47" t="s">
        <v>34</v>
      </c>
      <c r="O7" s="48" t="s">
        <v>35</v>
      </c>
      <c r="P7" s="49" t="s">
        <v>33</v>
      </c>
      <c r="Q7" s="47" t="s">
        <v>33</v>
      </c>
      <c r="R7" s="47" t="s">
        <v>34</v>
      </c>
      <c r="S7" s="48" t="s">
        <v>35</v>
      </c>
      <c r="T7" s="49" t="s">
        <v>33</v>
      </c>
      <c r="U7" s="47" t="s">
        <v>33</v>
      </c>
      <c r="V7" s="47" t="s">
        <v>34</v>
      </c>
      <c r="W7" s="48" t="s">
        <v>35</v>
      </c>
      <c r="X7" s="50" t="s">
        <v>33</v>
      </c>
      <c r="Y7" s="47" t="s">
        <v>33</v>
      </c>
      <c r="Z7" s="51" t="s">
        <v>34</v>
      </c>
      <c r="AA7" s="48" t="s">
        <v>35</v>
      </c>
      <c r="AH7" s="47" t="s">
        <v>33</v>
      </c>
      <c r="AI7" s="47" t="s">
        <v>33</v>
      </c>
      <c r="AJ7" s="47" t="s">
        <v>34</v>
      </c>
      <c r="AK7" s="47" t="s">
        <v>35</v>
      </c>
      <c r="AL7" s="52"/>
      <c r="AN7" s="53"/>
      <c r="AO7" s="53"/>
      <c r="AP7" s="53"/>
      <c r="AQ7" s="47" t="s">
        <v>33</v>
      </c>
      <c r="AR7" s="47" t="s">
        <v>34</v>
      </c>
      <c r="AS7" s="53"/>
      <c r="AT7" s="53"/>
      <c r="AW7" s="52"/>
      <c r="AX7" s="52"/>
      <c r="AZ7" s="1" t="s">
        <v>36</v>
      </c>
    </row>
    <row r="8" spans="1:53">
      <c r="A8" s="54">
        <v>2013</v>
      </c>
      <c r="B8" s="55">
        <v>6000</v>
      </c>
      <c r="C8" s="56">
        <v>6951050</v>
      </c>
      <c r="D8" s="56">
        <f>C8/B8</f>
        <v>1158.5083333333334</v>
      </c>
      <c r="E8" s="56"/>
      <c r="F8" s="57">
        <f>D8/8760</f>
        <v>0.13224980974124811</v>
      </c>
      <c r="G8" s="46"/>
      <c r="H8" s="54">
        <v>2013</v>
      </c>
      <c r="I8" s="54"/>
      <c r="J8" s="58">
        <v>0</v>
      </c>
      <c r="K8" s="59"/>
      <c r="L8" s="60">
        <v>0</v>
      </c>
      <c r="M8" s="60"/>
      <c r="N8" s="60">
        <v>0</v>
      </c>
      <c r="O8" s="61"/>
      <c r="P8" s="60">
        <v>0</v>
      </c>
      <c r="Q8" s="60">
        <v>0</v>
      </c>
      <c r="R8" s="60">
        <v>0</v>
      </c>
      <c r="S8" s="61"/>
      <c r="T8" s="60">
        <v>0</v>
      </c>
      <c r="U8" s="60">
        <v>0</v>
      </c>
      <c r="V8" s="60">
        <v>0</v>
      </c>
      <c r="W8" s="62"/>
      <c r="X8" s="63">
        <f t="shared" ref="X8:X16" si="0">J8+P8+T8</f>
        <v>0</v>
      </c>
      <c r="Y8" s="59">
        <v>210.101</v>
      </c>
      <c r="Z8" s="64"/>
      <c r="AA8" s="65"/>
      <c r="AH8" s="53"/>
      <c r="AI8" s="66">
        <v>210.101</v>
      </c>
      <c r="AJ8" s="66"/>
      <c r="AK8" s="66">
        <f t="shared" ref="AK8:AK14" si="1">AJ8/AI8</f>
        <v>0</v>
      </c>
      <c r="AL8" s="67">
        <f>AK8/8760</f>
        <v>0</v>
      </c>
      <c r="AN8" s="68" t="s">
        <v>37</v>
      </c>
      <c r="AO8" s="47">
        <v>2011</v>
      </c>
      <c r="AP8" s="53" t="s">
        <v>38</v>
      </c>
      <c r="AQ8" s="47">
        <v>25.38</v>
      </c>
      <c r="AR8" s="53"/>
      <c r="AS8" s="53"/>
      <c r="AT8" s="53"/>
      <c r="AW8" s="69">
        <v>2013</v>
      </c>
      <c r="AX8" s="70">
        <f t="shared" ref="AX8:AX14" si="2">(C8+Z8)/1000000</f>
        <v>6.9510500000000004</v>
      </c>
    </row>
    <row r="9" spans="1:53">
      <c r="A9" s="54">
        <v>2014</v>
      </c>
      <c r="B9" s="55">
        <v>6000</v>
      </c>
      <c r="C9" s="56">
        <v>7090810</v>
      </c>
      <c r="D9" s="56">
        <f t="shared" ref="D9:D16" si="3">C9/B9</f>
        <v>1181.8016666666667</v>
      </c>
      <c r="E9" s="56"/>
      <c r="F9" s="57">
        <f t="shared" ref="F9:F16" si="4">D9/8760</f>
        <v>0.13490886605783867</v>
      </c>
      <c r="G9" s="46"/>
      <c r="H9" s="54">
        <v>2014</v>
      </c>
      <c r="I9" s="54"/>
      <c r="J9" s="58">
        <v>645</v>
      </c>
      <c r="K9" s="59"/>
      <c r="L9" s="60">
        <f>L8+J9</f>
        <v>645</v>
      </c>
      <c r="M9" s="60"/>
      <c r="N9" s="71">
        <v>393398</v>
      </c>
      <c r="O9" s="72">
        <f t="shared" ref="O9:O16" si="5">N9/L9</f>
        <v>609.91937984496121</v>
      </c>
      <c r="P9" s="60">
        <v>120</v>
      </c>
      <c r="Q9" s="60">
        <f>Q8+P9</f>
        <v>120</v>
      </c>
      <c r="R9" s="73">
        <v>77805</v>
      </c>
      <c r="S9" s="74">
        <f>R9/Q9</f>
        <v>648.375</v>
      </c>
      <c r="T9" s="60">
        <v>0</v>
      </c>
      <c r="U9" s="60">
        <v>0</v>
      </c>
      <c r="V9" s="60">
        <v>0</v>
      </c>
      <c r="W9" s="62"/>
      <c r="X9" s="63">
        <f t="shared" si="0"/>
        <v>765</v>
      </c>
      <c r="Y9" s="59">
        <v>891.24699999999996</v>
      </c>
      <c r="Z9" s="64">
        <f>N9+R9+V9</f>
        <v>471203</v>
      </c>
      <c r="AA9" s="75">
        <f t="shared" ref="AA9:AA14" si="6">Z9/Y9</f>
        <v>528.70079787084842</v>
      </c>
      <c r="AB9" s="76">
        <f>AA9/8760</f>
        <v>6.0353972359685891E-2</v>
      </c>
      <c r="AE9" s="58"/>
      <c r="AH9" s="53"/>
      <c r="AI9" s="66">
        <v>891.24699999999996</v>
      </c>
      <c r="AJ9" s="77">
        <v>471203.00000000006</v>
      </c>
      <c r="AK9" s="66">
        <f t="shared" si="1"/>
        <v>528.70079787084842</v>
      </c>
      <c r="AL9" s="67">
        <f t="shared" ref="AL9:AL14" si="7">AK9/8760</f>
        <v>6.0353972359685891E-2</v>
      </c>
      <c r="AN9" s="68" t="s">
        <v>39</v>
      </c>
      <c r="AO9" s="47"/>
      <c r="AP9" s="53"/>
      <c r="AQ9" s="53"/>
      <c r="AR9" s="53"/>
      <c r="AS9" s="53"/>
      <c r="AT9" s="53"/>
      <c r="AW9" s="69">
        <v>2014</v>
      </c>
      <c r="AX9" s="70">
        <f t="shared" si="2"/>
        <v>7.5620130000000003</v>
      </c>
    </row>
    <row r="10" spans="1:53" ht="15.75">
      <c r="A10" s="54">
        <v>2015</v>
      </c>
      <c r="B10" s="55">
        <v>6000</v>
      </c>
      <c r="C10" s="56">
        <v>6795420</v>
      </c>
      <c r="D10" s="56">
        <f t="shared" si="3"/>
        <v>1132.57</v>
      </c>
      <c r="E10" s="56"/>
      <c r="F10" s="57">
        <f t="shared" si="4"/>
        <v>0.12928881278538812</v>
      </c>
      <c r="G10" s="46"/>
      <c r="H10" s="54">
        <v>2015</v>
      </c>
      <c r="I10" s="54"/>
      <c r="J10" s="58">
        <v>470</v>
      </c>
      <c r="K10" s="59"/>
      <c r="L10" s="60">
        <f>L9+J10</f>
        <v>1115</v>
      </c>
      <c r="M10" s="60"/>
      <c r="N10" s="71">
        <v>1295909</v>
      </c>
      <c r="O10" s="72">
        <f t="shared" si="5"/>
        <v>1162.2502242152466</v>
      </c>
      <c r="P10" s="60">
        <v>119</v>
      </c>
      <c r="Q10" s="60">
        <f t="shared" ref="Q10:Q13" si="8">Q9+P10</f>
        <v>239</v>
      </c>
      <c r="R10" s="73">
        <v>245295</v>
      </c>
      <c r="S10" s="74">
        <f t="shared" ref="S10:S16" si="9">R10/Q10</f>
        <v>1026.3389121338912</v>
      </c>
      <c r="T10" s="60">
        <v>0</v>
      </c>
      <c r="U10" s="60">
        <v>0</v>
      </c>
      <c r="V10" s="60">
        <v>0</v>
      </c>
      <c r="W10" s="62"/>
      <c r="X10" s="63">
        <f t="shared" si="0"/>
        <v>589</v>
      </c>
      <c r="Y10" s="59">
        <v>1336.2670000000001</v>
      </c>
      <c r="Z10" s="64">
        <f>N10+R10+V10</f>
        <v>1541204</v>
      </c>
      <c r="AA10" s="75">
        <f t="shared" si="6"/>
        <v>1153.3653079811145</v>
      </c>
      <c r="AB10" s="76">
        <f t="shared" ref="AB10:AB16" si="10">AA10/8760</f>
        <v>0.13166270639053818</v>
      </c>
      <c r="AE10" s="58"/>
      <c r="AH10" s="53"/>
      <c r="AI10" s="66">
        <v>1336.2670000000001</v>
      </c>
      <c r="AJ10" s="77">
        <v>1541204</v>
      </c>
      <c r="AK10" s="66">
        <f t="shared" si="1"/>
        <v>1153.3653079811145</v>
      </c>
      <c r="AL10" s="67">
        <f t="shared" si="7"/>
        <v>0.13166270639053818</v>
      </c>
      <c r="AN10" s="78" t="s">
        <v>40</v>
      </c>
      <c r="AO10" s="79">
        <v>43405</v>
      </c>
      <c r="AP10" s="53" t="s">
        <v>41</v>
      </c>
      <c r="AQ10" s="80">
        <v>752</v>
      </c>
      <c r="AR10" s="53"/>
      <c r="AS10" s="53"/>
      <c r="AT10" s="53"/>
      <c r="AU10" s="81" t="s">
        <v>42</v>
      </c>
      <c r="AW10" s="69">
        <v>2015</v>
      </c>
      <c r="AX10" s="70">
        <f t="shared" si="2"/>
        <v>8.3366240000000005</v>
      </c>
    </row>
    <row r="11" spans="1:53" ht="15.75">
      <c r="A11" s="54">
        <v>2016</v>
      </c>
      <c r="B11" s="55">
        <v>6000</v>
      </c>
      <c r="C11" s="56">
        <v>6856893</v>
      </c>
      <c r="D11" s="56">
        <f t="shared" si="3"/>
        <v>1142.8154999999999</v>
      </c>
      <c r="E11" s="56"/>
      <c r="F11" s="57">
        <f t="shared" si="4"/>
        <v>0.13045839041095889</v>
      </c>
      <c r="G11" s="46"/>
      <c r="H11" s="54">
        <v>2016</v>
      </c>
      <c r="I11" s="54"/>
      <c r="J11" s="58">
        <v>595</v>
      </c>
      <c r="K11" s="59"/>
      <c r="L11" s="60">
        <f t="shared" ref="L11:L14" si="11">L10+J11</f>
        <v>1710</v>
      </c>
      <c r="M11" s="60"/>
      <c r="N11" s="71">
        <v>1904530</v>
      </c>
      <c r="O11" s="72">
        <f t="shared" si="5"/>
        <v>1113.7602339181287</v>
      </c>
      <c r="P11" s="60">
        <v>108</v>
      </c>
      <c r="Q11" s="60">
        <f t="shared" si="8"/>
        <v>347</v>
      </c>
      <c r="R11" s="73">
        <v>394510</v>
      </c>
      <c r="S11" s="74">
        <f t="shared" si="9"/>
        <v>1136.9164265129682</v>
      </c>
      <c r="T11" s="60">
        <v>0</v>
      </c>
      <c r="U11" s="60">
        <v>0</v>
      </c>
      <c r="V11" s="60">
        <v>0</v>
      </c>
      <c r="W11" s="62"/>
      <c r="X11" s="63">
        <f t="shared" si="0"/>
        <v>703</v>
      </c>
      <c r="Y11" s="59">
        <v>1888.9570000000001</v>
      </c>
      <c r="Z11" s="64">
        <f>N11+R11+V11</f>
        <v>2299040</v>
      </c>
      <c r="AA11" s="75">
        <f t="shared" si="6"/>
        <v>1217.0949365178772</v>
      </c>
      <c r="AB11" s="76">
        <f t="shared" si="10"/>
        <v>0.13893777814131017</v>
      </c>
      <c r="AE11" s="58"/>
      <c r="AH11" s="53"/>
      <c r="AI11" s="66">
        <v>1888.9570000000001</v>
      </c>
      <c r="AJ11" s="77">
        <v>2299040</v>
      </c>
      <c r="AK11" s="66">
        <f t="shared" si="1"/>
        <v>1217.0949365178772</v>
      </c>
      <c r="AL11" s="67">
        <f t="shared" si="7"/>
        <v>0.13893777814131017</v>
      </c>
      <c r="AN11" s="78" t="s">
        <v>43</v>
      </c>
      <c r="AO11" s="79">
        <v>44287</v>
      </c>
      <c r="AP11" s="53" t="s">
        <v>41</v>
      </c>
      <c r="AQ11" s="80">
        <v>150</v>
      </c>
      <c r="AR11" s="53"/>
      <c r="AS11" s="53"/>
      <c r="AT11" s="53"/>
      <c r="AU11" s="81" t="s">
        <v>42</v>
      </c>
      <c r="AW11" s="69">
        <v>2016</v>
      </c>
      <c r="AX11" s="70">
        <f t="shared" si="2"/>
        <v>9.1559329999999992</v>
      </c>
    </row>
    <row r="12" spans="1:53" ht="15.75">
      <c r="A12" s="54">
        <v>2017</v>
      </c>
      <c r="B12" s="55">
        <v>6000</v>
      </c>
      <c r="C12" s="56">
        <v>6616620</v>
      </c>
      <c r="D12" s="56">
        <f t="shared" si="3"/>
        <v>1102.77</v>
      </c>
      <c r="E12" s="56"/>
      <c r="F12" s="57">
        <f t="shared" si="4"/>
        <v>0.12588698630136985</v>
      </c>
      <c r="G12" s="46"/>
      <c r="H12" s="54">
        <v>2017</v>
      </c>
      <c r="I12" s="54"/>
      <c r="J12" s="58">
        <v>396</v>
      </c>
      <c r="K12" s="59"/>
      <c r="L12" s="60">
        <f t="shared" si="11"/>
        <v>2106</v>
      </c>
      <c r="M12" s="60"/>
      <c r="N12" s="71">
        <v>2378554</v>
      </c>
      <c r="O12" s="72">
        <f t="shared" si="5"/>
        <v>1129.4178537511871</v>
      </c>
      <c r="P12" s="60">
        <v>176</v>
      </c>
      <c r="Q12" s="60">
        <f t="shared" si="8"/>
        <v>523</v>
      </c>
      <c r="R12" s="73">
        <v>603211</v>
      </c>
      <c r="S12" s="74">
        <f t="shared" si="9"/>
        <v>1153.3671128107076</v>
      </c>
      <c r="T12" s="60">
        <v>0</v>
      </c>
      <c r="U12" s="60">
        <v>0</v>
      </c>
      <c r="V12" s="60">
        <v>0</v>
      </c>
      <c r="W12" s="62"/>
      <c r="X12" s="63">
        <f t="shared" si="0"/>
        <v>572</v>
      </c>
      <c r="Y12" s="59">
        <v>2363.4569999999999</v>
      </c>
      <c r="Z12" s="64">
        <f>N12+R12+V12</f>
        <v>2981765</v>
      </c>
      <c r="AA12" s="75">
        <f t="shared" si="6"/>
        <v>1261.6116984569637</v>
      </c>
      <c r="AB12" s="76">
        <f t="shared" si="10"/>
        <v>0.14401960028047531</v>
      </c>
      <c r="AE12" s="58"/>
      <c r="AH12" s="53"/>
      <c r="AI12" s="66">
        <v>2363.4569999999999</v>
      </c>
      <c r="AJ12" s="77">
        <v>2981765</v>
      </c>
      <c r="AK12" s="66">
        <f t="shared" si="1"/>
        <v>1261.6116984569637</v>
      </c>
      <c r="AL12" s="67">
        <f t="shared" si="7"/>
        <v>0.14401960028047531</v>
      </c>
      <c r="AN12" s="78" t="s">
        <v>44</v>
      </c>
      <c r="AO12" s="79">
        <v>44287</v>
      </c>
      <c r="AP12" s="53" t="s">
        <v>41</v>
      </c>
      <c r="AQ12" s="80">
        <v>250</v>
      </c>
      <c r="AR12" s="53"/>
      <c r="AS12" s="53"/>
      <c r="AT12" s="82"/>
      <c r="AU12" s="81" t="s">
        <v>42</v>
      </c>
      <c r="AW12" s="69">
        <v>2017</v>
      </c>
      <c r="AX12" s="70">
        <f t="shared" si="2"/>
        <v>9.5983850000000004</v>
      </c>
      <c r="AZ12" s="1">
        <v>1.48</v>
      </c>
      <c r="BA12" s="83">
        <f>AZ12*AJ12</f>
        <v>4413012.2</v>
      </c>
    </row>
    <row r="13" spans="1:53" ht="15.75">
      <c r="A13" s="54">
        <v>2018</v>
      </c>
      <c r="B13" s="55">
        <v>6000</v>
      </c>
      <c r="C13" s="56">
        <v>7392410</v>
      </c>
      <c r="D13" s="56">
        <f t="shared" si="3"/>
        <v>1232.0683333333334</v>
      </c>
      <c r="E13" s="56"/>
      <c r="F13" s="57">
        <f t="shared" si="4"/>
        <v>0.1406470700152207</v>
      </c>
      <c r="G13" s="46"/>
      <c r="H13" s="54">
        <v>2018</v>
      </c>
      <c r="I13" s="54"/>
      <c r="J13" s="58">
        <v>1184</v>
      </c>
      <c r="K13" s="59"/>
      <c r="L13" s="60">
        <f t="shared" si="11"/>
        <v>3290</v>
      </c>
      <c r="M13" s="60"/>
      <c r="N13" s="71">
        <v>2919796</v>
      </c>
      <c r="O13" s="72">
        <f t="shared" si="5"/>
        <v>887.47598784194531</v>
      </c>
      <c r="P13" s="60">
        <v>-19</v>
      </c>
      <c r="Q13" s="60">
        <f t="shared" si="8"/>
        <v>504</v>
      </c>
      <c r="R13" s="73">
        <v>615017</v>
      </c>
      <c r="S13" s="74">
        <f t="shared" si="9"/>
        <v>1220.2718253968253</v>
      </c>
      <c r="T13" s="60">
        <v>0</v>
      </c>
      <c r="U13" s="60">
        <v>0</v>
      </c>
      <c r="V13" s="60">
        <v>0</v>
      </c>
      <c r="W13" s="62"/>
      <c r="X13" s="63">
        <f t="shared" si="0"/>
        <v>1165</v>
      </c>
      <c r="Y13" s="59">
        <v>3037.337</v>
      </c>
      <c r="Z13" s="64">
        <f>N13+R13+V13</f>
        <v>3534813</v>
      </c>
      <c r="AA13" s="75">
        <f t="shared" si="6"/>
        <v>1163.7868962186283</v>
      </c>
      <c r="AB13" s="76">
        <f t="shared" si="10"/>
        <v>0.13285238541308542</v>
      </c>
      <c r="AE13" s="58"/>
      <c r="AH13" s="53"/>
      <c r="AI13" s="66">
        <v>3037.337</v>
      </c>
      <c r="AJ13" s="77">
        <v>3535017</v>
      </c>
      <c r="AK13" s="66">
        <f t="shared" si="1"/>
        <v>1163.8540603166523</v>
      </c>
      <c r="AL13" s="67">
        <f t="shared" si="7"/>
        <v>0.13286005254756306</v>
      </c>
      <c r="AN13" s="78" t="s">
        <v>45</v>
      </c>
      <c r="AO13" s="47">
        <v>2021</v>
      </c>
      <c r="AP13" s="53" t="s">
        <v>41</v>
      </c>
      <c r="AQ13" s="80">
        <v>2500</v>
      </c>
      <c r="AR13" s="53"/>
      <c r="AS13" s="53"/>
      <c r="AT13" s="53"/>
      <c r="AU13" s="81" t="s">
        <v>46</v>
      </c>
      <c r="AW13" s="69">
        <v>2018</v>
      </c>
      <c r="AX13" s="70">
        <f t="shared" si="2"/>
        <v>10.927223</v>
      </c>
      <c r="AZ13" s="1">
        <v>1.71</v>
      </c>
      <c r="BA13" s="83">
        <f>AZ13*AJ13</f>
        <v>6044879.0700000003</v>
      </c>
    </row>
    <row r="14" spans="1:53">
      <c r="A14" s="54">
        <v>2019</v>
      </c>
      <c r="B14" s="55">
        <v>6000</v>
      </c>
      <c r="C14" s="56">
        <v>5708890</v>
      </c>
      <c r="D14" s="56">
        <f t="shared" si="3"/>
        <v>951.48166666666668</v>
      </c>
      <c r="E14" s="56"/>
      <c r="F14" s="57">
        <f t="shared" si="4"/>
        <v>0.10861662861491629</v>
      </c>
      <c r="G14" s="46"/>
      <c r="H14" s="54">
        <v>2019</v>
      </c>
      <c r="I14" s="54"/>
      <c r="J14" s="58">
        <v>350</v>
      </c>
      <c r="K14" s="59"/>
      <c r="L14" s="60">
        <f t="shared" si="11"/>
        <v>3640</v>
      </c>
      <c r="M14" s="60"/>
      <c r="N14" s="71">
        <v>3409690</v>
      </c>
      <c r="O14" s="72">
        <f t="shared" si="5"/>
        <v>936.72802197802196</v>
      </c>
      <c r="P14" s="60">
        <v>152</v>
      </c>
      <c r="Q14" s="60">
        <v>738</v>
      </c>
      <c r="R14" s="73">
        <v>623149</v>
      </c>
      <c r="S14" s="74">
        <f t="shared" si="9"/>
        <v>844.3753387533875</v>
      </c>
      <c r="T14" s="60">
        <v>0</v>
      </c>
      <c r="U14" s="60">
        <v>0</v>
      </c>
      <c r="V14" s="60">
        <v>0</v>
      </c>
      <c r="W14" s="62"/>
      <c r="X14" s="63">
        <f t="shared" si="0"/>
        <v>502</v>
      </c>
      <c r="Y14" s="59">
        <v>4400</v>
      </c>
      <c r="Z14" s="64">
        <v>4024124</v>
      </c>
      <c r="AA14" s="75">
        <f t="shared" si="6"/>
        <v>914.57363636363641</v>
      </c>
      <c r="AB14" s="76">
        <f t="shared" si="10"/>
        <v>0.10440338314653384</v>
      </c>
      <c r="AE14" s="58"/>
      <c r="AH14" s="84"/>
      <c r="AI14" s="66">
        <v>4400</v>
      </c>
      <c r="AJ14" s="77">
        <v>4024124</v>
      </c>
      <c r="AK14" s="66">
        <f t="shared" si="1"/>
        <v>914.57363636363641</v>
      </c>
      <c r="AL14" s="67">
        <f t="shared" si="7"/>
        <v>0.10440338314653384</v>
      </c>
      <c r="AM14" s="85">
        <f>AJ14+C14</f>
        <v>9733014</v>
      </c>
      <c r="AN14" s="53"/>
      <c r="AO14" s="53"/>
      <c r="AP14" s="53"/>
      <c r="AQ14" s="53"/>
      <c r="AR14" s="53"/>
      <c r="AS14" s="53"/>
      <c r="AT14" s="53"/>
      <c r="AW14" s="69">
        <v>2019</v>
      </c>
      <c r="AX14" s="70">
        <f t="shared" si="2"/>
        <v>9.7330140000000007</v>
      </c>
      <c r="AZ14" s="1">
        <v>1.71</v>
      </c>
      <c r="BA14" s="83">
        <f>AZ14*AJ14</f>
        <v>6881252.04</v>
      </c>
    </row>
    <row r="15" spans="1:53">
      <c r="A15" s="54">
        <v>2020</v>
      </c>
      <c r="B15" s="55">
        <v>6000</v>
      </c>
      <c r="C15" s="56">
        <v>5985764.444444444</v>
      </c>
      <c r="D15" s="56">
        <f t="shared" si="3"/>
        <v>997.6274074074073</v>
      </c>
      <c r="E15" s="44"/>
      <c r="F15" s="57">
        <f t="shared" si="4"/>
        <v>0.11388440723828851</v>
      </c>
      <c r="G15" s="46"/>
      <c r="H15" s="54">
        <v>2020</v>
      </c>
      <c r="I15" s="54"/>
      <c r="J15" s="58">
        <f>L15-L14</f>
        <v>1220</v>
      </c>
      <c r="L15" s="60">
        <v>4860</v>
      </c>
      <c r="M15" s="60"/>
      <c r="N15" s="86">
        <v>4992858</v>
      </c>
      <c r="O15" s="72">
        <f t="shared" si="5"/>
        <v>1027.3370370370371</v>
      </c>
      <c r="P15" s="87">
        <f>Q15-Q14</f>
        <v>56</v>
      </c>
      <c r="Q15" s="60">
        <v>794</v>
      </c>
      <c r="R15" s="88">
        <v>602803</v>
      </c>
      <c r="S15" s="74">
        <f t="shared" si="9"/>
        <v>759.19773299748113</v>
      </c>
      <c r="T15" s="60">
        <v>0</v>
      </c>
      <c r="U15" s="60">
        <v>0</v>
      </c>
      <c r="V15" s="60">
        <v>0</v>
      </c>
      <c r="W15" s="62"/>
      <c r="X15" s="63">
        <f t="shared" si="0"/>
        <v>1276</v>
      </c>
      <c r="Y15" s="58">
        <f>L15+Q15+U15</f>
        <v>5654</v>
      </c>
      <c r="Z15" s="89">
        <f>N15+R15+V15</f>
        <v>5595661</v>
      </c>
      <c r="AA15" s="90">
        <f>Z15/Y15</f>
        <v>989.68181818181813</v>
      </c>
      <c r="AB15" s="76">
        <f t="shared" si="10"/>
        <v>0.11297737650477375</v>
      </c>
      <c r="AD15" s="85">
        <f>B15+Y15</f>
        <v>11654</v>
      </c>
      <c r="AE15" s="83">
        <f>C15+Z15</f>
        <v>11581425.444444444</v>
      </c>
      <c r="AF15" s="83">
        <f>AE15/AD15</f>
        <v>993.77256259176625</v>
      </c>
      <c r="AG15" s="76">
        <f>AF15/8760</f>
        <v>0.11344435646024729</v>
      </c>
      <c r="AH15" s="84"/>
      <c r="AI15" s="53"/>
      <c r="AJ15" s="53"/>
      <c r="AK15" s="53"/>
      <c r="AL15" s="53"/>
      <c r="AN15" s="53"/>
      <c r="AO15" s="53"/>
      <c r="AP15" s="53"/>
      <c r="AQ15" s="53"/>
      <c r="AR15" s="53"/>
      <c r="AS15" s="53"/>
      <c r="AT15" s="53"/>
      <c r="AW15" s="69">
        <v>2020</v>
      </c>
      <c r="AX15" s="53"/>
    </row>
    <row r="16" spans="1:53">
      <c r="A16" s="54">
        <v>2021</v>
      </c>
      <c r="B16" s="55">
        <v>6000</v>
      </c>
      <c r="C16" s="56">
        <v>5078618</v>
      </c>
      <c r="D16" s="56">
        <f t="shared" si="3"/>
        <v>846.43633333333332</v>
      </c>
      <c r="E16" s="56"/>
      <c r="F16" s="57">
        <f t="shared" si="4"/>
        <v>9.6625152207001519E-2</v>
      </c>
      <c r="G16" s="46"/>
      <c r="H16" s="54">
        <v>2021</v>
      </c>
      <c r="I16" s="46"/>
      <c r="J16" s="58">
        <f>L16-L15</f>
        <v>540</v>
      </c>
      <c r="K16" s="60">
        <v>6000</v>
      </c>
      <c r="L16" s="60">
        <v>5400</v>
      </c>
      <c r="M16" s="91">
        <v>6403205</v>
      </c>
      <c r="N16" s="91">
        <v>6169014</v>
      </c>
      <c r="O16" s="72">
        <f t="shared" si="5"/>
        <v>1142.4100000000001</v>
      </c>
      <c r="P16" s="87">
        <f>Q16-Q15</f>
        <v>28</v>
      </c>
      <c r="Q16" s="60">
        <v>822</v>
      </c>
      <c r="R16" s="88">
        <v>790850</v>
      </c>
      <c r="S16" s="74">
        <f t="shared" si="9"/>
        <v>962.10462287104622</v>
      </c>
      <c r="T16" s="92">
        <f>U16-U15</f>
        <v>191</v>
      </c>
      <c r="U16" s="92">
        <v>191</v>
      </c>
      <c r="V16" s="93">
        <v>179851</v>
      </c>
      <c r="W16" s="94">
        <f>V16/U16</f>
        <v>941.62827225130889</v>
      </c>
      <c r="X16" s="63">
        <f t="shared" si="0"/>
        <v>759</v>
      </c>
      <c r="Y16" s="58">
        <f>L16+Q16+U16</f>
        <v>6413</v>
      </c>
      <c r="Z16" s="89">
        <f>N16+R16+V16</f>
        <v>7139715</v>
      </c>
      <c r="AA16" s="95">
        <f>Z16/Y16</f>
        <v>1113.319039451115</v>
      </c>
      <c r="AB16" s="76">
        <f t="shared" si="10"/>
        <v>0.12709121454921404</v>
      </c>
      <c r="AD16" s="85">
        <f>B16+Y16</f>
        <v>12413</v>
      </c>
      <c r="AE16" s="83">
        <f>C16+Z16</f>
        <v>12218333</v>
      </c>
      <c r="AF16" s="83">
        <f>AE16/AD16</f>
        <v>984.3174897285104</v>
      </c>
      <c r="AG16" s="76">
        <f>AF16/8760</f>
        <v>0.11236501024298064</v>
      </c>
    </row>
    <row r="17" spans="1:43">
      <c r="Q17" s="96"/>
    </row>
    <row r="18" spans="1:43">
      <c r="A18" s="5" t="s">
        <v>47</v>
      </c>
      <c r="B18" s="5" t="s">
        <v>48</v>
      </c>
      <c r="Q18" s="1">
        <v>6403205</v>
      </c>
    </row>
    <row r="19" spans="1:43">
      <c r="A19" s="5" t="s">
        <v>49</v>
      </c>
      <c r="B19" s="5" t="s">
        <v>50</v>
      </c>
      <c r="AG19" s="97"/>
      <c r="AH19" s="98" t="s">
        <v>51</v>
      </c>
      <c r="AI19" s="99" t="s">
        <v>52</v>
      </c>
      <c r="AJ19" s="98"/>
      <c r="AK19" s="99" t="s">
        <v>33</v>
      </c>
      <c r="AL19" s="98"/>
      <c r="AM19" s="98" t="s">
        <v>53</v>
      </c>
      <c r="AN19" s="100"/>
      <c r="AO19" s="100"/>
      <c r="AP19" s="100"/>
      <c r="AQ19" s="100"/>
    </row>
    <row r="20" spans="1:43">
      <c r="Q20" s="1">
        <v>6169014</v>
      </c>
      <c r="AG20" s="101" t="s">
        <v>43</v>
      </c>
      <c r="AH20" s="100">
        <v>342</v>
      </c>
      <c r="AI20" s="102">
        <f>AK20*1000/AH20</f>
        <v>438.59649122807019</v>
      </c>
      <c r="AJ20" s="100"/>
      <c r="AK20" s="100">
        <v>150</v>
      </c>
      <c r="AL20" s="100"/>
      <c r="AM20" s="103">
        <v>0.93</v>
      </c>
      <c r="AN20" s="100" t="s">
        <v>54</v>
      </c>
      <c r="AO20" s="100"/>
      <c r="AP20" s="100"/>
      <c r="AQ20" s="100"/>
    </row>
    <row r="21" spans="1:43">
      <c r="AG21" s="101" t="s">
        <v>44</v>
      </c>
      <c r="AH21" s="100">
        <v>510</v>
      </c>
      <c r="AI21" s="102">
        <f>AK21*1000/AH21</f>
        <v>490.19607843137254</v>
      </c>
      <c r="AJ21" s="100"/>
      <c r="AK21" s="100">
        <v>250</v>
      </c>
      <c r="AL21" s="100"/>
      <c r="AM21" s="103">
        <v>0.94</v>
      </c>
      <c r="AN21" s="100"/>
      <c r="AO21" s="100"/>
      <c r="AP21" s="100"/>
      <c r="AQ21" s="100"/>
    </row>
    <row r="22" spans="1:43">
      <c r="R22" s="104"/>
      <c r="S22" s="104" t="s">
        <v>55</v>
      </c>
      <c r="T22" s="104"/>
      <c r="U22" s="105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</row>
    <row r="23" spans="1:43">
      <c r="O23" s="1">
        <v>2020</v>
      </c>
      <c r="R23" s="104"/>
      <c r="S23" s="104" t="s">
        <v>56</v>
      </c>
      <c r="T23" s="104" t="s">
        <v>57</v>
      </c>
      <c r="U23" s="58"/>
      <c r="AG23" s="100"/>
      <c r="AH23" s="100" t="s">
        <v>58</v>
      </c>
      <c r="AI23" s="100"/>
      <c r="AJ23" s="100"/>
      <c r="AK23" s="100"/>
      <c r="AL23" s="100"/>
      <c r="AM23" s="100"/>
      <c r="AN23" s="100"/>
      <c r="AO23" s="100"/>
      <c r="AP23" s="100"/>
      <c r="AQ23" s="100"/>
    </row>
    <row r="24" spans="1:43" ht="15.75" thickBot="1">
      <c r="R24" s="104"/>
      <c r="S24" s="104"/>
      <c r="T24" s="104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</row>
    <row r="25" spans="1:43" ht="15.75" thickTop="1">
      <c r="N25" s="106" t="s">
        <v>59</v>
      </c>
      <c r="O25" s="107">
        <v>31422769</v>
      </c>
      <c r="P25" s="108">
        <f>O25/1000000</f>
        <v>31.422768999999999</v>
      </c>
      <c r="Q25" s="108"/>
      <c r="R25" s="106" t="s">
        <v>59</v>
      </c>
      <c r="S25" s="109">
        <v>0.198519</v>
      </c>
      <c r="T25" s="109">
        <v>31.224250000000001</v>
      </c>
      <c r="V25" s="110" t="s">
        <v>60</v>
      </c>
      <c r="X25" s="111">
        <f>45596721-10000</f>
        <v>45586721</v>
      </c>
      <c r="Y25" s="112">
        <f>X25/1000000</f>
        <v>45.586720999999997</v>
      </c>
      <c r="AG25" s="100"/>
      <c r="AH25" s="100" t="s">
        <v>61</v>
      </c>
      <c r="AI25" s="100"/>
      <c r="AJ25" s="100"/>
      <c r="AK25" s="100"/>
      <c r="AL25" s="100"/>
      <c r="AM25" s="100"/>
      <c r="AN25" s="100"/>
      <c r="AO25" s="100"/>
      <c r="AP25" s="100"/>
      <c r="AQ25" s="100"/>
    </row>
    <row r="26" spans="1:43">
      <c r="N26" s="113" t="s">
        <v>62</v>
      </c>
      <c r="O26" s="107">
        <v>353010030</v>
      </c>
      <c r="P26" s="108">
        <f t="shared" ref="P26:P32" si="12">O26/1000000</f>
        <v>353.01002999999997</v>
      </c>
      <c r="Q26" s="108"/>
      <c r="R26" s="113" t="s">
        <v>62</v>
      </c>
      <c r="S26" s="109">
        <v>0.19808000000000001</v>
      </c>
      <c r="T26" s="109">
        <v>352.81195000000002</v>
      </c>
      <c r="V26" s="114" t="s">
        <v>63</v>
      </c>
      <c r="X26" s="115">
        <v>109904</v>
      </c>
      <c r="Y26" s="112">
        <f t="shared" ref="Y26:Y29" si="13">X26/1000000</f>
        <v>0.109904</v>
      </c>
      <c r="AG26" s="100"/>
      <c r="AH26" s="100"/>
      <c r="AI26" s="100"/>
      <c r="AJ26" s="100"/>
      <c r="AK26" s="100"/>
      <c r="AL26" s="100" t="s">
        <v>64</v>
      </c>
      <c r="AM26" s="100"/>
      <c r="AN26" s="100"/>
      <c r="AO26" s="100"/>
      <c r="AP26" s="100"/>
      <c r="AQ26" s="100"/>
    </row>
    <row r="27" spans="1:43">
      <c r="N27" s="113" t="s">
        <v>65</v>
      </c>
      <c r="O27" s="107">
        <v>384432799</v>
      </c>
      <c r="P27" s="108">
        <f t="shared" si="12"/>
        <v>384.43279899999999</v>
      </c>
      <c r="V27" s="116" t="s">
        <v>65</v>
      </c>
      <c r="X27" s="117">
        <f t="shared" ref="X27" si="14">SUM(X25:X26)</f>
        <v>45696625</v>
      </c>
      <c r="Y27" s="112">
        <f t="shared" si="13"/>
        <v>45.696624999999997</v>
      </c>
    </row>
    <row r="28" spans="1:43">
      <c r="N28" s="118" t="s">
        <v>66</v>
      </c>
      <c r="O28" s="107">
        <v>5985764</v>
      </c>
      <c r="P28" s="108">
        <f t="shared" si="12"/>
        <v>5.9857639999999996</v>
      </c>
      <c r="V28" s="116" t="s">
        <v>67</v>
      </c>
      <c r="X28" s="119">
        <v>726338</v>
      </c>
      <c r="Y28" s="112">
        <f t="shared" si="13"/>
        <v>0.72633800000000004</v>
      </c>
    </row>
    <row r="29" spans="1:43" ht="15.75" thickBot="1">
      <c r="N29" s="118" t="s">
        <v>68</v>
      </c>
      <c r="O29" s="107">
        <v>390418563</v>
      </c>
      <c r="P29" s="108">
        <f t="shared" si="12"/>
        <v>390.41856300000001</v>
      </c>
      <c r="V29" s="120" t="s">
        <v>65</v>
      </c>
      <c r="X29" s="121">
        <f>X27+X28</f>
        <v>46422963</v>
      </c>
      <c r="Y29" s="112">
        <f t="shared" si="13"/>
        <v>46.422963000000003</v>
      </c>
    </row>
    <row r="30" spans="1:43" ht="15.75" customHeight="1" thickTop="1">
      <c r="N30" s="113" t="s">
        <v>69</v>
      </c>
      <c r="O30" s="107">
        <v>4992858</v>
      </c>
      <c r="P30" s="108">
        <f t="shared" si="12"/>
        <v>4.992858</v>
      </c>
      <c r="S30" s="122"/>
    </row>
    <row r="31" spans="1:43">
      <c r="N31" s="123" t="s">
        <v>70</v>
      </c>
      <c r="O31" s="107">
        <v>10978622</v>
      </c>
      <c r="P31" s="108">
        <f t="shared" si="12"/>
        <v>10.978622</v>
      </c>
    </row>
    <row r="32" spans="1:43">
      <c r="N32" s="104" t="s">
        <v>65</v>
      </c>
      <c r="O32" s="107">
        <v>395411421</v>
      </c>
      <c r="P32" s="108">
        <f t="shared" si="12"/>
        <v>395.41142100000002</v>
      </c>
    </row>
    <row r="33" spans="1:37" ht="23.25">
      <c r="A33" s="124"/>
    </row>
    <row r="34" spans="1:37">
      <c r="D34" s="125"/>
      <c r="E34" s="125"/>
      <c r="J34" s="126"/>
      <c r="K34" s="126"/>
      <c r="O34" s="112"/>
      <c r="P34" s="112"/>
      <c r="Q34" s="126"/>
    </row>
    <row r="35" spans="1:37" ht="21">
      <c r="J35" s="2" t="s">
        <v>71</v>
      </c>
      <c r="K35" s="2"/>
      <c r="O35" s="127" t="s">
        <v>72</v>
      </c>
      <c r="P35" s="128"/>
    </row>
    <row r="36" spans="1:37">
      <c r="AB36" s="1" t="s">
        <v>73</v>
      </c>
    </row>
    <row r="37" spans="1:37">
      <c r="B37" s="129" t="s">
        <v>7</v>
      </c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1"/>
      <c r="P37" s="132" t="s">
        <v>74</v>
      </c>
      <c r="Q37" s="133"/>
      <c r="R37" s="133"/>
      <c r="S37" s="134"/>
      <c r="T37" s="135" t="s">
        <v>10</v>
      </c>
      <c r="U37" s="136"/>
      <c r="V37" s="136"/>
      <c r="W37" s="136"/>
      <c r="X37" s="136"/>
      <c r="Y37" s="136"/>
      <c r="Z37" s="137"/>
      <c r="AA37" s="138" t="s">
        <v>75</v>
      </c>
      <c r="AB37" s="139"/>
      <c r="AC37" s="139"/>
      <c r="AD37" s="140"/>
      <c r="AE37" s="141" t="s">
        <v>76</v>
      </c>
      <c r="AF37" s="142" t="s">
        <v>77</v>
      </c>
    </row>
    <row r="38" spans="1:37">
      <c r="A38" s="1" t="s">
        <v>15</v>
      </c>
      <c r="B38" s="143" t="s">
        <v>78</v>
      </c>
      <c r="C38" s="144"/>
      <c r="D38" s="144"/>
      <c r="E38" s="145"/>
      <c r="F38" s="146" t="s">
        <v>79</v>
      </c>
      <c r="G38" s="147"/>
      <c r="H38" s="147"/>
      <c r="I38" s="148"/>
      <c r="J38" s="149" t="s">
        <v>80</v>
      </c>
      <c r="K38" s="150" t="s">
        <v>81</v>
      </c>
      <c r="L38" s="151" t="s">
        <v>82</v>
      </c>
      <c r="M38" s="152" t="s">
        <v>67</v>
      </c>
      <c r="N38" s="153" t="s">
        <v>83</v>
      </c>
      <c r="O38" s="154" t="s">
        <v>55</v>
      </c>
      <c r="P38" s="155" t="s">
        <v>84</v>
      </c>
      <c r="Q38" s="155" t="s">
        <v>9</v>
      </c>
      <c r="R38" s="152" t="s">
        <v>67</v>
      </c>
      <c r="S38" s="154" t="s">
        <v>85</v>
      </c>
      <c r="T38" s="152" t="s">
        <v>67</v>
      </c>
      <c r="U38" s="156" t="s">
        <v>82</v>
      </c>
      <c r="V38" s="153" t="s">
        <v>83</v>
      </c>
      <c r="W38" s="149" t="s">
        <v>56</v>
      </c>
      <c r="X38" s="149" t="s">
        <v>57</v>
      </c>
      <c r="Y38" s="149" t="s">
        <v>86</v>
      </c>
      <c r="Z38" s="157" t="s">
        <v>87</v>
      </c>
      <c r="AA38" s="152" t="s">
        <v>67</v>
      </c>
      <c r="AB38" s="156" t="s">
        <v>82</v>
      </c>
      <c r="AC38" s="158" t="s">
        <v>83</v>
      </c>
      <c r="AD38" s="149" t="s">
        <v>88</v>
      </c>
      <c r="AE38" s="159" t="s">
        <v>89</v>
      </c>
      <c r="AF38" s="160"/>
      <c r="AG38" s="160"/>
      <c r="AH38" s="161"/>
      <c r="AI38" s="108"/>
      <c r="AJ38" s="108"/>
      <c r="AK38" s="162"/>
    </row>
    <row r="39" spans="1:37">
      <c r="B39" s="163" t="s">
        <v>56</v>
      </c>
      <c r="C39" s="163" t="s">
        <v>57</v>
      </c>
      <c r="D39" s="163" t="s">
        <v>90</v>
      </c>
      <c r="E39" s="163" t="s">
        <v>91</v>
      </c>
      <c r="F39" s="163" t="s">
        <v>56</v>
      </c>
      <c r="G39" s="163" t="s">
        <v>57</v>
      </c>
      <c r="H39" s="163" t="s">
        <v>90</v>
      </c>
      <c r="I39" s="163" t="s">
        <v>91</v>
      </c>
      <c r="J39" s="163" t="s">
        <v>65</v>
      </c>
      <c r="K39" s="163" t="s">
        <v>91</v>
      </c>
      <c r="L39" s="164"/>
      <c r="M39" s="141"/>
      <c r="N39" s="163" t="s">
        <v>90</v>
      </c>
      <c r="O39" s="163" t="s">
        <v>92</v>
      </c>
      <c r="P39" s="163" t="s">
        <v>56</v>
      </c>
      <c r="Q39" s="163" t="s">
        <v>56</v>
      </c>
      <c r="R39" s="163"/>
      <c r="S39" s="163" t="s">
        <v>92</v>
      </c>
      <c r="T39" s="165"/>
      <c r="U39" s="165"/>
      <c r="V39" s="165" t="s">
        <v>93</v>
      </c>
      <c r="W39" s="165" t="s">
        <v>93</v>
      </c>
      <c r="X39" s="165" t="s">
        <v>93</v>
      </c>
      <c r="Y39" s="166"/>
      <c r="Z39" s="167" t="s">
        <v>92</v>
      </c>
      <c r="AA39" s="168"/>
      <c r="AB39" s="169"/>
      <c r="AC39" s="170"/>
      <c r="AE39" s="171"/>
      <c r="AF39" s="166"/>
      <c r="AG39" s="166"/>
      <c r="AI39" s="108"/>
      <c r="AJ39" s="108"/>
      <c r="AK39" s="162"/>
    </row>
    <row r="40" spans="1:37" ht="17.25">
      <c r="A40" s="172">
        <v>2010</v>
      </c>
      <c r="B40" s="173"/>
      <c r="C40" s="173"/>
      <c r="D40" s="174">
        <f>B40+C40</f>
        <v>0</v>
      </c>
      <c r="E40" s="174"/>
      <c r="F40" s="173"/>
      <c r="G40" s="173"/>
      <c r="H40" s="174">
        <f>F40+G40</f>
        <v>0</v>
      </c>
      <c r="I40" s="174"/>
      <c r="J40" s="175">
        <v>266.52460000000002</v>
      </c>
      <c r="K40" s="175"/>
      <c r="L40" s="176">
        <v>0</v>
      </c>
      <c r="M40" s="176">
        <v>0</v>
      </c>
      <c r="N40" s="176">
        <f>L40+M40</f>
        <v>0</v>
      </c>
      <c r="O40" s="176">
        <v>266.524</v>
      </c>
      <c r="P40" s="174">
        <v>34.515000000000001</v>
      </c>
      <c r="Q40" s="174"/>
      <c r="R40" s="174">
        <v>0</v>
      </c>
      <c r="S40" s="176">
        <f t="shared" ref="S40:S48" si="15">P40+R40</f>
        <v>34.515000000000001</v>
      </c>
      <c r="T40" s="174">
        <f t="shared" ref="T40:T50" si="16">$M40+$R40</f>
        <v>0</v>
      </c>
      <c r="U40" s="174">
        <f t="shared" ref="U40:U50" si="17">L40</f>
        <v>0</v>
      </c>
      <c r="V40" s="174">
        <f>T40+U40</f>
        <v>0</v>
      </c>
      <c r="W40" s="174">
        <f t="shared" ref="W40:W47" si="18">B40+F40+P40</f>
        <v>34.515000000000001</v>
      </c>
      <c r="X40" s="174">
        <f t="shared" ref="X40:X51" si="19">C40+G40</f>
        <v>0</v>
      </c>
      <c r="Y40" s="174">
        <f>J40+P40</f>
        <v>301.03960000000001</v>
      </c>
      <c r="Z40" s="174">
        <f>V40+Y40</f>
        <v>301.03960000000001</v>
      </c>
      <c r="AA40" s="177">
        <f>$T40/$Z40</f>
        <v>0</v>
      </c>
      <c r="AB40" s="177">
        <f>$U40/$Z40</f>
        <v>0</v>
      </c>
      <c r="AC40" s="177">
        <f>$V40/$Z40</f>
        <v>0</v>
      </c>
      <c r="AD40" s="178">
        <f>$Y40/$Z40</f>
        <v>1</v>
      </c>
      <c r="AE40" s="179"/>
      <c r="AF40" s="108"/>
      <c r="AG40" s="180"/>
      <c r="AH40" s="181" t="s">
        <v>94</v>
      </c>
      <c r="AI40" s="182"/>
      <c r="AJ40" s="183"/>
      <c r="AK40" s="184"/>
    </row>
    <row r="41" spans="1:37">
      <c r="A41" s="172">
        <v>2011</v>
      </c>
      <c r="B41" s="173"/>
      <c r="C41" s="173"/>
      <c r="D41" s="174">
        <f t="shared" ref="D41:D51" si="20">B41+C41</f>
        <v>0</v>
      </c>
      <c r="E41" s="174"/>
      <c r="F41" s="173"/>
      <c r="G41" s="173"/>
      <c r="H41" s="174">
        <f t="shared" ref="H41:H51" si="21">F41+G41</f>
        <v>0</v>
      </c>
      <c r="I41" s="174"/>
      <c r="J41" s="175">
        <v>286.43090017713212</v>
      </c>
      <c r="K41" s="175"/>
      <c r="L41" s="176">
        <v>0</v>
      </c>
      <c r="M41" s="176">
        <v>0</v>
      </c>
      <c r="N41" s="176">
        <f t="shared" ref="N41:N51" si="22">L41+M41</f>
        <v>0</v>
      </c>
      <c r="O41" s="176">
        <v>286.43</v>
      </c>
      <c r="P41" s="174">
        <v>37.404000000000003</v>
      </c>
      <c r="Q41" s="174"/>
      <c r="R41" s="174">
        <v>0</v>
      </c>
      <c r="S41" s="176">
        <f t="shared" si="15"/>
        <v>37.404000000000003</v>
      </c>
      <c r="T41" s="174">
        <f t="shared" si="16"/>
        <v>0</v>
      </c>
      <c r="U41" s="174">
        <f t="shared" si="17"/>
        <v>0</v>
      </c>
      <c r="V41" s="174">
        <f t="shared" ref="V41:V51" si="23">T41+U41</f>
        <v>0</v>
      </c>
      <c r="W41" s="174">
        <f t="shared" si="18"/>
        <v>37.404000000000003</v>
      </c>
      <c r="X41" s="174">
        <f t="shared" si="19"/>
        <v>0</v>
      </c>
      <c r="Y41" s="174">
        <f t="shared" ref="Y41:Y42" si="24">J41+P41</f>
        <v>323.83490017713211</v>
      </c>
      <c r="Z41" s="174">
        <f t="shared" ref="Z41:Z51" si="25">V41+Y41</f>
        <v>323.83490017713211</v>
      </c>
      <c r="AA41" s="177">
        <f t="shared" ref="AA41:AA51" si="26">$T41/$Z41</f>
        <v>0</v>
      </c>
      <c r="AB41" s="177">
        <f t="shared" ref="AB41:AB51" si="27">$U41/$Z41</f>
        <v>0</v>
      </c>
      <c r="AC41" s="177">
        <f t="shared" ref="AC41:AC51" si="28">$V41/$Z41</f>
        <v>0</v>
      </c>
      <c r="AD41" s="178">
        <f t="shared" ref="AD41:AD51" si="29">$Y41/$Z41</f>
        <v>1</v>
      </c>
      <c r="AE41" s="179"/>
      <c r="AF41" s="108"/>
      <c r="AI41" s="182"/>
      <c r="AJ41" s="183"/>
      <c r="AK41" s="184"/>
    </row>
    <row r="42" spans="1:37">
      <c r="A42" s="172">
        <v>2012</v>
      </c>
      <c r="B42" s="185"/>
      <c r="C42" s="176"/>
      <c r="D42" s="174">
        <f t="shared" si="20"/>
        <v>0</v>
      </c>
      <c r="E42" s="174"/>
      <c r="F42" s="173"/>
      <c r="G42" s="173"/>
      <c r="H42" s="174">
        <f t="shared" si="21"/>
        <v>0</v>
      </c>
      <c r="I42" s="174"/>
      <c r="J42" s="175">
        <v>296.74802699999998</v>
      </c>
      <c r="K42" s="175"/>
      <c r="L42" s="176">
        <v>0</v>
      </c>
      <c r="M42" s="176">
        <v>0</v>
      </c>
      <c r="N42" s="176">
        <f t="shared" si="22"/>
        <v>0</v>
      </c>
      <c r="O42" s="176">
        <v>296.77499999999998</v>
      </c>
      <c r="P42" s="174">
        <v>39.744999999999997</v>
      </c>
      <c r="Q42" s="174"/>
      <c r="R42" s="174">
        <v>0</v>
      </c>
      <c r="S42" s="176">
        <f t="shared" si="15"/>
        <v>39.744999999999997</v>
      </c>
      <c r="T42" s="174">
        <f t="shared" si="16"/>
        <v>0</v>
      </c>
      <c r="U42" s="174">
        <f t="shared" si="17"/>
        <v>0</v>
      </c>
      <c r="V42" s="174">
        <f t="shared" si="23"/>
        <v>0</v>
      </c>
      <c r="W42" s="174">
        <f t="shared" si="18"/>
        <v>39.744999999999997</v>
      </c>
      <c r="X42" s="174">
        <f t="shared" si="19"/>
        <v>0</v>
      </c>
      <c r="Y42" s="174">
        <f t="shared" si="24"/>
        <v>336.49302699999998</v>
      </c>
      <c r="Z42" s="174">
        <f t="shared" si="25"/>
        <v>336.49302699999998</v>
      </c>
      <c r="AA42" s="177">
        <f t="shared" si="26"/>
        <v>0</v>
      </c>
      <c r="AB42" s="177">
        <f t="shared" si="27"/>
        <v>0</v>
      </c>
      <c r="AC42" s="177">
        <f t="shared" si="28"/>
        <v>0</v>
      </c>
      <c r="AD42" s="178">
        <f t="shared" si="29"/>
        <v>1</v>
      </c>
      <c r="AE42" s="179"/>
      <c r="AF42" s="108"/>
      <c r="AG42" s="1" t="s">
        <v>95</v>
      </c>
      <c r="AI42" s="1" t="s">
        <v>96</v>
      </c>
      <c r="AJ42" s="183"/>
      <c r="AK42" s="1" t="s">
        <v>97</v>
      </c>
    </row>
    <row r="43" spans="1:37">
      <c r="A43" s="172">
        <v>2013</v>
      </c>
      <c r="B43" s="174">
        <v>1.1313979999999999</v>
      </c>
      <c r="C43" s="174">
        <v>33.555419999999998</v>
      </c>
      <c r="D43" s="174">
        <f t="shared" si="20"/>
        <v>34.686817999999995</v>
      </c>
      <c r="E43" s="186">
        <f>C43/D43</f>
        <v>0.96738247941912692</v>
      </c>
      <c r="F43" s="187">
        <v>0.25169599999999998</v>
      </c>
      <c r="G43" s="176">
        <v>272.78958399999999</v>
      </c>
      <c r="H43" s="174">
        <f t="shared" si="21"/>
        <v>273.04127999999997</v>
      </c>
      <c r="I43" s="186">
        <f>G43/H43</f>
        <v>0.9990781760179267</v>
      </c>
      <c r="J43" s="175">
        <f t="shared" ref="J43:J51" si="30">D43+H43</f>
        <v>307.72809799999999</v>
      </c>
      <c r="K43" s="186">
        <f>(C43+G43)/J43</f>
        <v>0.99550546729730227</v>
      </c>
      <c r="L43" s="188">
        <f>$C8/1000000</f>
        <v>6.9510500000000004</v>
      </c>
      <c r="M43" s="176">
        <v>0</v>
      </c>
      <c r="N43" s="188">
        <f t="shared" si="22"/>
        <v>6.9510500000000004</v>
      </c>
      <c r="O43" s="176">
        <f>J43+N43</f>
        <v>314.679148</v>
      </c>
      <c r="P43" s="174">
        <v>39.545502999999997</v>
      </c>
      <c r="Q43" s="174"/>
      <c r="R43" s="174">
        <v>0</v>
      </c>
      <c r="S43" s="176">
        <f t="shared" si="15"/>
        <v>39.545502999999997</v>
      </c>
      <c r="T43" s="174">
        <f t="shared" si="16"/>
        <v>0</v>
      </c>
      <c r="U43" s="174">
        <f t="shared" si="17"/>
        <v>6.9510500000000004</v>
      </c>
      <c r="V43" s="174">
        <f t="shared" si="23"/>
        <v>6.9510500000000004</v>
      </c>
      <c r="W43" s="174">
        <f t="shared" si="18"/>
        <v>40.928596999999996</v>
      </c>
      <c r="X43" s="174">
        <f t="shared" si="19"/>
        <v>306.34500400000002</v>
      </c>
      <c r="Y43" s="174">
        <f t="shared" ref="Y43:Y51" si="31">W43+X43</f>
        <v>347.27360099999999</v>
      </c>
      <c r="Z43" s="174">
        <f t="shared" si="25"/>
        <v>354.22465099999999</v>
      </c>
      <c r="AA43" s="177">
        <f t="shared" si="26"/>
        <v>0</v>
      </c>
      <c r="AB43" s="177">
        <f t="shared" si="27"/>
        <v>1.9623281384784259E-2</v>
      </c>
      <c r="AC43" s="177">
        <f t="shared" si="28"/>
        <v>1.9623281384784259E-2</v>
      </c>
      <c r="AD43" s="178">
        <f t="shared" si="29"/>
        <v>0.98037671861521569</v>
      </c>
      <c r="AE43" s="179"/>
      <c r="AF43" s="183"/>
      <c r="AG43" s="189">
        <f>B43/D43</f>
        <v>3.2617520580873118E-2</v>
      </c>
      <c r="AI43" s="190">
        <f t="shared" ref="AI43:AI49" si="32">F43/H43</f>
        <v>9.2182398207333335E-4</v>
      </c>
      <c r="AJ43" s="183"/>
      <c r="AK43" s="191">
        <f>(B43+F43)/J43</f>
        <v>4.4945327026978208E-3</v>
      </c>
    </row>
    <row r="44" spans="1:37">
      <c r="A44" s="172">
        <v>2014</v>
      </c>
      <c r="B44" s="174">
        <v>0.25846000000000002</v>
      </c>
      <c r="C44" s="174">
        <v>33.651429999999998</v>
      </c>
      <c r="D44" s="174">
        <f t="shared" si="20"/>
        <v>33.909889999999997</v>
      </c>
      <c r="E44" s="186">
        <f t="shared" ref="E44:E51" si="33">C44/D44</f>
        <v>0.99237803484470166</v>
      </c>
      <c r="F44" s="187">
        <v>0.35203800000000002</v>
      </c>
      <c r="G44" s="176">
        <v>279.81328200000002</v>
      </c>
      <c r="H44" s="174">
        <f t="shared" si="21"/>
        <v>280.16532000000001</v>
      </c>
      <c r="I44" s="186">
        <f t="shared" ref="I44:I51" si="34">G44/H44</f>
        <v>0.99874346332372621</v>
      </c>
      <c r="J44" s="175">
        <f t="shared" si="30"/>
        <v>314.07521000000003</v>
      </c>
      <c r="K44" s="186">
        <f t="shared" ref="K44:K51" si="35">(C44+G44)/J44</f>
        <v>0.99805620443587384</v>
      </c>
      <c r="L44" s="188">
        <f t="shared" ref="L44:L49" si="36">$C9/1000000</f>
        <v>7.0908100000000003</v>
      </c>
      <c r="M44" s="188">
        <v>0.39339800000000003</v>
      </c>
      <c r="N44" s="188">
        <f t="shared" si="22"/>
        <v>7.4842080000000006</v>
      </c>
      <c r="O44" s="176">
        <f t="shared" ref="O44:O51" si="37">J44+N44</f>
        <v>321.55941800000005</v>
      </c>
      <c r="P44" s="174">
        <v>40.806376</v>
      </c>
      <c r="Q44" s="174"/>
      <c r="R44" s="187">
        <v>7.7804999999999999E-2</v>
      </c>
      <c r="S44" s="176">
        <f t="shared" si="15"/>
        <v>40.884180999999998</v>
      </c>
      <c r="T44" s="174">
        <f t="shared" si="16"/>
        <v>0.47120300000000004</v>
      </c>
      <c r="U44" s="174">
        <f t="shared" si="17"/>
        <v>7.0908100000000003</v>
      </c>
      <c r="V44" s="174">
        <f t="shared" si="23"/>
        <v>7.5620130000000003</v>
      </c>
      <c r="W44" s="174">
        <f t="shared" si="18"/>
        <v>41.416874</v>
      </c>
      <c r="X44" s="174">
        <f t="shared" si="19"/>
        <v>313.46471200000002</v>
      </c>
      <c r="Y44" s="174">
        <f t="shared" si="31"/>
        <v>354.88158600000003</v>
      </c>
      <c r="Z44" s="174">
        <f t="shared" si="25"/>
        <v>362.44359900000001</v>
      </c>
      <c r="AA44" s="177">
        <f t="shared" si="26"/>
        <v>1.3000726217819066E-3</v>
      </c>
      <c r="AB44" s="177">
        <f t="shared" si="27"/>
        <v>1.9563899099236129E-2</v>
      </c>
      <c r="AC44" s="177">
        <f t="shared" si="28"/>
        <v>2.0863971721018035E-2</v>
      </c>
      <c r="AD44" s="178">
        <f t="shared" si="29"/>
        <v>0.97913602827898205</v>
      </c>
      <c r="AE44" s="179"/>
      <c r="AF44" s="183"/>
      <c r="AG44" s="189">
        <f t="shared" ref="AG44:AG49" si="38">B44/D44</f>
        <v>7.6219651552983519E-3</v>
      </c>
      <c r="AI44" s="190">
        <f t="shared" si="32"/>
        <v>1.2565366762738515E-3</v>
      </c>
      <c r="AJ44" s="183"/>
      <c r="AK44" s="191">
        <f t="shared" ref="AK44:AK49" si="39">(B44+F44)/J44</f>
        <v>1.9437955641261847E-3</v>
      </c>
    </row>
    <row r="45" spans="1:37">
      <c r="A45" s="172">
        <v>2015</v>
      </c>
      <c r="B45" s="174">
        <v>0.42315000000000003</v>
      </c>
      <c r="C45" s="174">
        <v>32.307510000000001</v>
      </c>
      <c r="D45" s="174">
        <f t="shared" si="20"/>
        <v>32.73066</v>
      </c>
      <c r="E45" s="186">
        <f t="shared" si="33"/>
        <v>0.98707175474005104</v>
      </c>
      <c r="F45" s="187">
        <v>0.58930000000000005</v>
      </c>
      <c r="G45" s="176">
        <v>291.563875</v>
      </c>
      <c r="H45" s="174">
        <f t="shared" si="21"/>
        <v>292.15317499999998</v>
      </c>
      <c r="I45" s="186">
        <f t="shared" si="34"/>
        <v>0.99798290742518891</v>
      </c>
      <c r="J45" s="175">
        <f t="shared" si="30"/>
        <v>324.88383499999998</v>
      </c>
      <c r="K45" s="186">
        <f t="shared" si="35"/>
        <v>0.99688365535330492</v>
      </c>
      <c r="L45" s="188">
        <f t="shared" si="36"/>
        <v>6.79542</v>
      </c>
      <c r="M45" s="188">
        <v>1.295909</v>
      </c>
      <c r="N45" s="188">
        <f t="shared" si="22"/>
        <v>8.091329</v>
      </c>
      <c r="O45" s="176">
        <f t="shared" si="37"/>
        <v>332.97516399999995</v>
      </c>
      <c r="P45" s="174">
        <v>44.411392999999997</v>
      </c>
      <c r="Q45" s="174"/>
      <c r="R45" s="187">
        <v>0.24529500000000001</v>
      </c>
      <c r="S45" s="176">
        <f t="shared" si="15"/>
        <v>44.656687999999995</v>
      </c>
      <c r="T45" s="174">
        <f t="shared" si="16"/>
        <v>1.541204</v>
      </c>
      <c r="U45" s="174">
        <f t="shared" si="17"/>
        <v>6.79542</v>
      </c>
      <c r="V45" s="174">
        <f t="shared" si="23"/>
        <v>8.3366240000000005</v>
      </c>
      <c r="W45" s="174">
        <f t="shared" si="18"/>
        <v>45.423842999999998</v>
      </c>
      <c r="X45" s="174">
        <f t="shared" si="19"/>
        <v>323.87138499999998</v>
      </c>
      <c r="Y45" s="174">
        <f t="shared" si="31"/>
        <v>369.29522799999995</v>
      </c>
      <c r="Z45" s="174">
        <f t="shared" si="25"/>
        <v>377.63185199999998</v>
      </c>
      <c r="AA45" s="177">
        <f t="shared" si="26"/>
        <v>4.0812341221682751E-3</v>
      </c>
      <c r="AB45" s="177">
        <f t="shared" si="27"/>
        <v>1.7994827406666958E-2</v>
      </c>
      <c r="AC45" s="177">
        <f t="shared" si="28"/>
        <v>2.2076061528835234E-2</v>
      </c>
      <c r="AD45" s="178">
        <f t="shared" si="29"/>
        <v>0.97792393847116466</v>
      </c>
      <c r="AE45" s="179"/>
      <c r="AF45" s="183"/>
      <c r="AG45" s="189">
        <f t="shared" si="38"/>
        <v>1.292824525994893E-2</v>
      </c>
      <c r="AI45" s="190">
        <f t="shared" si="32"/>
        <v>2.0170925748111417E-3</v>
      </c>
      <c r="AJ45" s="183"/>
      <c r="AK45" s="191">
        <f t="shared" si="39"/>
        <v>3.1163446466950261E-3</v>
      </c>
    </row>
    <row r="46" spans="1:37">
      <c r="A46" s="172">
        <v>2016</v>
      </c>
      <c r="B46" s="174">
        <v>0.41919000000000001</v>
      </c>
      <c r="C46" s="174">
        <v>21.728014999999999</v>
      </c>
      <c r="D46" s="174">
        <f t="shared" si="20"/>
        <v>22.147205</v>
      </c>
      <c r="E46" s="186">
        <f t="shared" si="33"/>
        <v>0.98107255520504733</v>
      </c>
      <c r="F46" s="187">
        <v>0.14241000000000001</v>
      </c>
      <c r="G46" s="176">
        <v>329.85820000000001</v>
      </c>
      <c r="H46" s="174">
        <f t="shared" si="21"/>
        <v>330.00060999999999</v>
      </c>
      <c r="I46" s="186">
        <f t="shared" si="34"/>
        <v>0.9995684553431583</v>
      </c>
      <c r="J46" s="175">
        <f t="shared" si="30"/>
        <v>352.14781499999998</v>
      </c>
      <c r="K46" s="186">
        <f t="shared" si="35"/>
        <v>0.99840521515091629</v>
      </c>
      <c r="L46" s="188">
        <f t="shared" si="36"/>
        <v>6.8568930000000003</v>
      </c>
      <c r="M46" s="188">
        <v>1.9045300000000001</v>
      </c>
      <c r="N46" s="188">
        <f t="shared" si="22"/>
        <v>8.7614230000000006</v>
      </c>
      <c r="O46" s="176">
        <f t="shared" si="37"/>
        <v>360.90923799999996</v>
      </c>
      <c r="P46" s="174">
        <v>47.972177000000002</v>
      </c>
      <c r="Q46" s="174"/>
      <c r="R46" s="187">
        <v>0.39451000000000003</v>
      </c>
      <c r="S46" s="176">
        <f t="shared" si="15"/>
        <v>48.366686999999999</v>
      </c>
      <c r="T46" s="174">
        <f t="shared" si="16"/>
        <v>2.2990400000000002</v>
      </c>
      <c r="U46" s="174">
        <f t="shared" si="17"/>
        <v>6.8568930000000003</v>
      </c>
      <c r="V46" s="174">
        <f t="shared" si="23"/>
        <v>9.155933000000001</v>
      </c>
      <c r="W46" s="174">
        <f t="shared" si="18"/>
        <v>48.533777000000001</v>
      </c>
      <c r="X46" s="174">
        <f t="shared" si="19"/>
        <v>351.58621500000004</v>
      </c>
      <c r="Y46" s="174">
        <f t="shared" si="31"/>
        <v>400.11999200000002</v>
      </c>
      <c r="Z46" s="174">
        <f t="shared" si="25"/>
        <v>409.27592500000003</v>
      </c>
      <c r="AA46" s="177">
        <f t="shared" si="26"/>
        <v>5.6173350533628387E-3</v>
      </c>
      <c r="AB46" s="177">
        <f t="shared" si="27"/>
        <v>1.675371694535905E-2</v>
      </c>
      <c r="AC46" s="177">
        <f t="shared" si="28"/>
        <v>2.2371051998721889E-2</v>
      </c>
      <c r="AD46" s="178">
        <f t="shared" si="29"/>
        <v>0.97762894800127809</v>
      </c>
      <c r="AE46" s="179"/>
      <c r="AF46" s="183"/>
      <c r="AG46" s="189">
        <f t="shared" si="38"/>
        <v>1.8927444794952682E-2</v>
      </c>
      <c r="AI46" s="190">
        <f t="shared" si="32"/>
        <v>4.3154465684169498E-4</v>
      </c>
      <c r="AJ46" s="183"/>
      <c r="AK46" s="191">
        <f t="shared" si="39"/>
        <v>1.5947848490838997E-3</v>
      </c>
    </row>
    <row r="47" spans="1:37">
      <c r="A47" s="172">
        <v>2017</v>
      </c>
      <c r="B47" s="174">
        <v>0.225327</v>
      </c>
      <c r="C47" s="174">
        <v>26.076478999999999</v>
      </c>
      <c r="D47" s="174">
        <f t="shared" si="20"/>
        <v>26.301805999999999</v>
      </c>
      <c r="E47" s="186">
        <f t="shared" si="33"/>
        <v>0.99143302174763204</v>
      </c>
      <c r="F47" s="187">
        <v>0.1583</v>
      </c>
      <c r="G47" s="176">
        <v>336.86678999999998</v>
      </c>
      <c r="H47" s="174">
        <f t="shared" si="21"/>
        <v>337.02508999999998</v>
      </c>
      <c r="I47" s="186">
        <f t="shared" si="34"/>
        <v>0.99953030203181614</v>
      </c>
      <c r="J47" s="175">
        <f t="shared" si="30"/>
        <v>363.32689599999998</v>
      </c>
      <c r="K47" s="186">
        <f t="shared" si="35"/>
        <v>0.99894412716420533</v>
      </c>
      <c r="L47" s="188">
        <f t="shared" si="36"/>
        <v>6.6166200000000002</v>
      </c>
      <c r="M47" s="188">
        <v>2.3785539999999998</v>
      </c>
      <c r="N47" s="188">
        <f t="shared" si="22"/>
        <v>8.9951740000000004</v>
      </c>
      <c r="O47" s="176">
        <f t="shared" si="37"/>
        <v>372.32207</v>
      </c>
      <c r="P47" s="174">
        <v>50.902991999999998</v>
      </c>
      <c r="Q47" s="174"/>
      <c r="R47" s="187">
        <v>0.60321100000000005</v>
      </c>
      <c r="S47" s="176">
        <f t="shared" si="15"/>
        <v>51.506202999999999</v>
      </c>
      <c r="T47" s="174">
        <f t="shared" si="16"/>
        <v>2.9817649999999998</v>
      </c>
      <c r="U47" s="174">
        <f t="shared" si="17"/>
        <v>6.6166200000000002</v>
      </c>
      <c r="V47" s="174">
        <f t="shared" si="23"/>
        <v>9.5983850000000004</v>
      </c>
      <c r="W47" s="174">
        <f t="shared" si="18"/>
        <v>51.286618999999995</v>
      </c>
      <c r="X47" s="174">
        <f t="shared" si="19"/>
        <v>362.94326899999999</v>
      </c>
      <c r="Y47" s="174">
        <f t="shared" si="31"/>
        <v>414.22988799999996</v>
      </c>
      <c r="Z47" s="174">
        <f t="shared" si="25"/>
        <v>423.82827299999997</v>
      </c>
      <c r="AA47" s="177">
        <f t="shared" si="26"/>
        <v>7.0353140409771574E-3</v>
      </c>
      <c r="AB47" s="177">
        <f t="shared" si="27"/>
        <v>1.5611558788103786E-2</v>
      </c>
      <c r="AC47" s="177">
        <f t="shared" si="28"/>
        <v>2.2646872829080945E-2</v>
      </c>
      <c r="AD47" s="178">
        <f t="shared" si="29"/>
        <v>0.97735312717091904</v>
      </c>
      <c r="AE47" s="179"/>
      <c r="AF47" s="108"/>
      <c r="AG47" s="189">
        <f t="shared" si="38"/>
        <v>8.5669782523679176E-3</v>
      </c>
      <c r="AI47" s="190">
        <f t="shared" si="32"/>
        <v>4.6969796818391177E-4</v>
      </c>
      <c r="AJ47" s="183"/>
      <c r="AK47" s="191">
        <f t="shared" si="39"/>
        <v>1.0558728357946835E-3</v>
      </c>
    </row>
    <row r="48" spans="1:37">
      <c r="A48" s="172">
        <v>2018</v>
      </c>
      <c r="B48" s="174">
        <v>0.31267400000000001</v>
      </c>
      <c r="C48" s="174">
        <v>25.550280000000001</v>
      </c>
      <c r="D48" s="174">
        <f t="shared" si="20"/>
        <v>25.862954000000002</v>
      </c>
      <c r="E48" s="186">
        <f t="shared" si="33"/>
        <v>0.98791035239052738</v>
      </c>
      <c r="F48" s="192">
        <v>0.23930000000000001</v>
      </c>
      <c r="G48" s="176">
        <v>340.05632000000003</v>
      </c>
      <c r="H48" s="174">
        <f t="shared" si="21"/>
        <v>340.29562000000004</v>
      </c>
      <c r="I48" s="186">
        <f t="shared" si="34"/>
        <v>0.99929678789283272</v>
      </c>
      <c r="J48" s="175">
        <f t="shared" si="30"/>
        <v>366.15857400000004</v>
      </c>
      <c r="K48" s="186">
        <f t="shared" si="35"/>
        <v>0.99849252744795747</v>
      </c>
      <c r="L48" s="188">
        <f t="shared" si="36"/>
        <v>7.3924099999999999</v>
      </c>
      <c r="M48" s="188">
        <v>2.92</v>
      </c>
      <c r="N48" s="188">
        <f t="shared" si="22"/>
        <v>10.31241</v>
      </c>
      <c r="O48" s="176">
        <f t="shared" si="37"/>
        <v>376.47098400000004</v>
      </c>
      <c r="P48" s="174">
        <v>50.737907</v>
      </c>
      <c r="Q48" s="174"/>
      <c r="R48" s="187">
        <v>0.61501700000000004</v>
      </c>
      <c r="S48" s="176">
        <f t="shared" si="15"/>
        <v>51.352924000000002</v>
      </c>
      <c r="T48" s="174">
        <f t="shared" si="16"/>
        <v>3.5350169999999999</v>
      </c>
      <c r="U48" s="174">
        <f t="shared" si="17"/>
        <v>7.3924099999999999</v>
      </c>
      <c r="V48" s="174">
        <f t="shared" si="23"/>
        <v>10.927427</v>
      </c>
      <c r="W48" s="174">
        <f>B48+F48+P48+Q48</f>
        <v>51.289881000000001</v>
      </c>
      <c r="X48" s="174">
        <f t="shared" si="19"/>
        <v>365.60660000000001</v>
      </c>
      <c r="Y48" s="174">
        <f t="shared" si="31"/>
        <v>416.89648099999999</v>
      </c>
      <c r="Z48" s="174">
        <f t="shared" si="25"/>
        <v>427.82390800000002</v>
      </c>
      <c r="AA48" s="177">
        <f t="shared" si="26"/>
        <v>8.2627850709081924E-3</v>
      </c>
      <c r="AB48" s="177">
        <f t="shared" si="27"/>
        <v>1.7279095117797856E-2</v>
      </c>
      <c r="AC48" s="177">
        <f t="shared" si="28"/>
        <v>2.554188018870605E-2</v>
      </c>
      <c r="AD48" s="178">
        <f t="shared" si="29"/>
        <v>0.97445811981129393</v>
      </c>
      <c r="AE48" s="179"/>
      <c r="AF48" s="193"/>
      <c r="AG48" s="189">
        <f t="shared" si="38"/>
        <v>1.2089647609472606E-2</v>
      </c>
      <c r="AI48" s="190">
        <f t="shared" si="32"/>
        <v>7.0321210716729169E-4</v>
      </c>
      <c r="AJ48" s="183"/>
      <c r="AK48" s="191">
        <f t="shared" si="39"/>
        <v>1.507472552042438E-3</v>
      </c>
    </row>
    <row r="49" spans="1:40">
      <c r="A49" s="172">
        <v>2019</v>
      </c>
      <c r="B49" s="174">
        <v>0.38473400000000002</v>
      </c>
      <c r="C49" s="174">
        <v>28.256132000000001</v>
      </c>
      <c r="D49" s="174">
        <f t="shared" si="20"/>
        <v>28.640866000000003</v>
      </c>
      <c r="E49" s="186">
        <f t="shared" si="33"/>
        <v>0.98656695646004555</v>
      </c>
      <c r="F49" s="187">
        <v>0.14801600000000001</v>
      </c>
      <c r="G49" s="176">
        <v>355.95981999999998</v>
      </c>
      <c r="H49" s="174">
        <f t="shared" si="21"/>
        <v>356.10783599999996</v>
      </c>
      <c r="I49" s="186">
        <f t="shared" si="34"/>
        <v>0.99958435062350048</v>
      </c>
      <c r="J49" s="175">
        <f t="shared" si="30"/>
        <v>384.74870199999998</v>
      </c>
      <c r="K49" s="186">
        <f t="shared" si="35"/>
        <v>0.99861532996152891</v>
      </c>
      <c r="L49" s="188">
        <f t="shared" si="36"/>
        <v>5.7088900000000002</v>
      </c>
      <c r="M49" s="188">
        <v>3.4096899999999999</v>
      </c>
      <c r="N49" s="188">
        <f t="shared" si="22"/>
        <v>9.1185799999999997</v>
      </c>
      <c r="O49" s="176">
        <f t="shared" si="37"/>
        <v>393.86728199999999</v>
      </c>
      <c r="P49" s="174">
        <v>53.075747999999997</v>
      </c>
      <c r="Q49" s="174"/>
      <c r="R49" s="187">
        <v>0.57003400000000004</v>
      </c>
      <c r="S49" s="176">
        <f>SUM(P49:R49)</f>
        <v>53.645781999999997</v>
      </c>
      <c r="T49" s="174">
        <f t="shared" si="16"/>
        <v>3.979724</v>
      </c>
      <c r="U49" s="194">
        <f t="shared" si="17"/>
        <v>5.7088900000000002</v>
      </c>
      <c r="V49" s="174">
        <f t="shared" si="23"/>
        <v>9.6886140000000012</v>
      </c>
      <c r="W49" s="174">
        <f t="shared" ref="W49:W51" si="40">B49+F49+P49+Q49</f>
        <v>53.608497999999997</v>
      </c>
      <c r="X49" s="174">
        <f t="shared" si="19"/>
        <v>384.21595199999996</v>
      </c>
      <c r="Y49" s="174">
        <f t="shared" si="31"/>
        <v>437.82444999999996</v>
      </c>
      <c r="Z49" s="174">
        <f t="shared" si="25"/>
        <v>447.51306399999999</v>
      </c>
      <c r="AA49" s="177">
        <f t="shared" si="26"/>
        <v>8.8929783734760428E-3</v>
      </c>
      <c r="AB49" s="177">
        <f t="shared" si="27"/>
        <v>1.2756923672735508E-2</v>
      </c>
      <c r="AC49" s="177">
        <f t="shared" si="28"/>
        <v>2.1649902046211554E-2</v>
      </c>
      <c r="AD49" s="178">
        <f t="shared" si="29"/>
        <v>0.97835009795378836</v>
      </c>
      <c r="AE49" s="179"/>
      <c r="AF49" s="195">
        <f>0.232*V49*1000000</f>
        <v>2247758.4480000003</v>
      </c>
      <c r="AG49" s="189">
        <f t="shared" si="38"/>
        <v>1.3433043539954413E-2</v>
      </c>
      <c r="AI49" s="190">
        <f t="shared" si="32"/>
        <v>4.1564937649953883E-4</v>
      </c>
      <c r="AJ49" s="183"/>
      <c r="AK49" s="191">
        <f t="shared" si="39"/>
        <v>1.3846700384709811E-3</v>
      </c>
    </row>
    <row r="50" spans="1:40">
      <c r="A50" s="172">
        <v>2020</v>
      </c>
      <c r="B50" s="174">
        <v>0.198519</v>
      </c>
      <c r="C50" s="174">
        <v>31.224250000000001</v>
      </c>
      <c r="D50" s="174">
        <f t="shared" si="20"/>
        <v>31.422769000000002</v>
      </c>
      <c r="E50" s="186">
        <f t="shared" si="33"/>
        <v>0.99368231997632028</v>
      </c>
      <c r="F50" s="187">
        <v>0.19808000000000001</v>
      </c>
      <c r="G50" s="176">
        <v>352.81195000000002</v>
      </c>
      <c r="H50" s="174">
        <f t="shared" si="21"/>
        <v>353.01003000000003</v>
      </c>
      <c r="I50" s="186">
        <f t="shared" si="34"/>
        <v>0.99943888279888249</v>
      </c>
      <c r="J50" s="175">
        <f t="shared" si="30"/>
        <v>384.43279900000005</v>
      </c>
      <c r="K50" s="186">
        <f t="shared" si="35"/>
        <v>0.99896835285378438</v>
      </c>
      <c r="L50" s="188">
        <v>5.9857639999999996</v>
      </c>
      <c r="M50" s="174">
        <v>4.992858</v>
      </c>
      <c r="N50" s="188">
        <f t="shared" si="22"/>
        <v>10.978622</v>
      </c>
      <c r="O50" s="176">
        <f t="shared" si="37"/>
        <v>395.41142100000002</v>
      </c>
      <c r="P50" s="174">
        <v>45.586720999999997</v>
      </c>
      <c r="Q50" s="174">
        <v>0.109904</v>
      </c>
      <c r="R50" s="187">
        <v>0.72633800000000004</v>
      </c>
      <c r="S50" s="176">
        <f>SUM(P50:R50)</f>
        <v>46.422962999999996</v>
      </c>
      <c r="T50" s="174">
        <f t="shared" si="16"/>
        <v>5.7191960000000002</v>
      </c>
      <c r="U50" s="194">
        <f t="shared" si="17"/>
        <v>5.9857639999999996</v>
      </c>
      <c r="V50" s="174">
        <f t="shared" si="23"/>
        <v>11.70496</v>
      </c>
      <c r="W50" s="174">
        <f t="shared" si="40"/>
        <v>46.093223999999999</v>
      </c>
      <c r="X50" s="174">
        <f t="shared" si="19"/>
        <v>384.03620000000001</v>
      </c>
      <c r="Y50" s="174">
        <f t="shared" si="31"/>
        <v>430.12942400000003</v>
      </c>
      <c r="Z50" s="174">
        <f t="shared" si="25"/>
        <v>441.834384</v>
      </c>
      <c r="AA50" s="177">
        <f t="shared" si="26"/>
        <v>1.2944207619658683E-2</v>
      </c>
      <c r="AB50" s="177">
        <f t="shared" si="27"/>
        <v>1.3547528704782741E-2</v>
      </c>
      <c r="AC50" s="177">
        <f t="shared" si="28"/>
        <v>2.6491736324441423E-2</v>
      </c>
      <c r="AD50" s="178">
        <f t="shared" si="29"/>
        <v>0.97350826367555865</v>
      </c>
      <c r="AE50" s="196">
        <v>0.05</v>
      </c>
      <c r="AF50" s="195">
        <f>0.232*V50*1000000</f>
        <v>2715550.72</v>
      </c>
      <c r="AG50" s="1" t="s">
        <v>98</v>
      </c>
      <c r="AI50" s="180" t="s">
        <v>99</v>
      </c>
      <c r="AJ50" s="183"/>
      <c r="AK50" s="180" t="s">
        <v>100</v>
      </c>
      <c r="AL50" s="108"/>
      <c r="AM50" s="197"/>
      <c r="AN50" s="76"/>
    </row>
    <row r="51" spans="1:40">
      <c r="A51" s="172">
        <v>2021</v>
      </c>
      <c r="B51" s="174">
        <v>0.25556299999999998</v>
      </c>
      <c r="C51" s="174">
        <v>28.137246999999999</v>
      </c>
      <c r="D51" s="174">
        <f t="shared" si="20"/>
        <v>28.392809999999997</v>
      </c>
      <c r="E51" s="186">
        <f t="shared" si="33"/>
        <v>0.99099902404869411</v>
      </c>
      <c r="F51" s="187">
        <v>0.18617</v>
      </c>
      <c r="G51" s="176">
        <v>350.750606</v>
      </c>
      <c r="H51" s="174">
        <f t="shared" si="21"/>
        <v>350.93677600000001</v>
      </c>
      <c r="I51" s="186">
        <f t="shared" si="34"/>
        <v>0.99946950558410552</v>
      </c>
      <c r="J51" s="175">
        <f t="shared" si="30"/>
        <v>379.32958600000001</v>
      </c>
      <c r="K51" s="186">
        <f t="shared" si="35"/>
        <v>0.99883549025358653</v>
      </c>
      <c r="L51" s="174">
        <v>5.0780000000000003</v>
      </c>
      <c r="M51" s="198">
        <v>12.572219</v>
      </c>
      <c r="N51" s="188">
        <f t="shared" si="22"/>
        <v>17.650219</v>
      </c>
      <c r="O51" s="176">
        <f t="shared" si="37"/>
        <v>396.979805</v>
      </c>
      <c r="P51" s="174">
        <v>44.679453000000002</v>
      </c>
      <c r="Q51" s="174">
        <v>0.109904</v>
      </c>
      <c r="R51" s="198">
        <f>0.79085+0.179851</f>
        <v>0.97070100000000004</v>
      </c>
      <c r="S51" s="176">
        <f>SUM(P51:R51)</f>
        <v>45.760058000000001</v>
      </c>
      <c r="T51" s="174">
        <v>13.54</v>
      </c>
      <c r="U51" s="174">
        <v>5.0780000000000003</v>
      </c>
      <c r="V51" s="174">
        <f t="shared" si="23"/>
        <v>18.617999999999999</v>
      </c>
      <c r="W51" s="174">
        <f t="shared" si="40"/>
        <v>45.231090000000002</v>
      </c>
      <c r="X51" s="174">
        <f t="shared" si="19"/>
        <v>378.88785300000001</v>
      </c>
      <c r="Y51" s="174">
        <f t="shared" si="31"/>
        <v>424.118943</v>
      </c>
      <c r="Z51" s="174">
        <f t="shared" si="25"/>
        <v>442.736943</v>
      </c>
      <c r="AA51" s="177">
        <f t="shared" si="26"/>
        <v>3.0582494219372154E-2</v>
      </c>
      <c r="AB51" s="177">
        <f t="shared" si="27"/>
        <v>1.1469564671046662E-2</v>
      </c>
      <c r="AC51" s="177">
        <f t="shared" si="28"/>
        <v>4.2052058890418818E-2</v>
      </c>
      <c r="AD51" s="178">
        <f t="shared" si="29"/>
        <v>0.95794794110958115</v>
      </c>
      <c r="AF51" s="180"/>
    </row>
    <row r="52" spans="1:40">
      <c r="A52" s="172">
        <v>2022</v>
      </c>
      <c r="B52" s="185"/>
      <c r="C52" s="185"/>
      <c r="D52" s="174"/>
      <c r="E52" s="174"/>
      <c r="F52" s="185"/>
      <c r="G52" s="185"/>
      <c r="H52" s="174"/>
      <c r="I52" s="174"/>
      <c r="J52" s="175"/>
      <c r="K52" s="175"/>
      <c r="L52" s="185"/>
      <c r="M52" s="185"/>
      <c r="N52" s="185"/>
      <c r="O52" s="176"/>
      <c r="P52" s="112"/>
      <c r="Q52" s="199"/>
      <c r="S52" s="200"/>
      <c r="U52" s="112"/>
      <c r="V52" s="112"/>
      <c r="W52" s="112"/>
      <c r="X52" s="112"/>
      <c r="Y52" s="112"/>
      <c r="Z52" s="112"/>
    </row>
    <row r="53" spans="1:40">
      <c r="A53" s="112"/>
      <c r="C53" s="112"/>
      <c r="D53" s="112"/>
      <c r="E53" s="112"/>
      <c r="F53" s="112"/>
      <c r="G53" s="112"/>
      <c r="H53" s="112"/>
      <c r="I53" s="112"/>
      <c r="J53" s="112"/>
      <c r="K53" s="112"/>
      <c r="M53" s="112"/>
      <c r="P53" s="112"/>
      <c r="Q53" s="199"/>
      <c r="T53" s="122"/>
      <c r="U53" s="122"/>
      <c r="V53" s="122"/>
      <c r="W53" s="122"/>
      <c r="X53" s="122"/>
      <c r="Y53" s="122"/>
      <c r="Z53" s="112">
        <f>O51+S51</f>
        <v>442.73986300000001</v>
      </c>
      <c r="AA53" s="122"/>
    </row>
    <row r="54" spans="1:40">
      <c r="A54" s="112"/>
      <c r="C54" s="112"/>
      <c r="D54" s="112"/>
      <c r="E54" s="112"/>
      <c r="F54" s="112"/>
      <c r="G54" s="112"/>
      <c r="H54" s="112"/>
      <c r="I54" s="112"/>
      <c r="J54" s="112"/>
      <c r="K54" s="112"/>
      <c r="L54" s="105" t="s">
        <v>82</v>
      </c>
      <c r="M54" s="201" t="s">
        <v>67</v>
      </c>
      <c r="P54" s="112"/>
      <c r="Q54" s="199"/>
      <c r="R54" s="187"/>
      <c r="S54" s="200"/>
    </row>
    <row r="55" spans="1:40">
      <c r="A55" s="112"/>
      <c r="G55" s="58"/>
      <c r="H55" s="112"/>
      <c r="I55" s="112"/>
      <c r="J55" s="112"/>
      <c r="K55" s="112"/>
      <c r="L55" s="105" t="s">
        <v>25</v>
      </c>
      <c r="M55" s="105" t="s">
        <v>25</v>
      </c>
      <c r="P55" s="112"/>
      <c r="Q55" s="199"/>
      <c r="Z55" s="1" t="s">
        <v>55</v>
      </c>
      <c r="AA55" s="202">
        <f>O$51/$Z$51</f>
        <v>0.89664937899704478</v>
      </c>
    </row>
    <row r="56" spans="1:40">
      <c r="A56" s="112"/>
      <c r="H56" s="112"/>
      <c r="I56" s="112"/>
      <c r="J56" s="112"/>
      <c r="K56" s="112"/>
      <c r="M56" s="112"/>
      <c r="P56" s="112"/>
      <c r="Q56" s="199"/>
      <c r="S56" s="200"/>
      <c r="Z56" s="1" t="s">
        <v>101</v>
      </c>
      <c r="AA56" s="202">
        <f>S$51/$Z$51</f>
        <v>0.10335721634144274</v>
      </c>
    </row>
    <row r="57" spans="1:40">
      <c r="A57" s="112"/>
      <c r="H57" s="112"/>
      <c r="I57" s="112"/>
      <c r="J57" s="112"/>
      <c r="K57" s="112"/>
      <c r="M57" s="112"/>
      <c r="P57" s="112"/>
    </row>
    <row r="58" spans="1:40">
      <c r="A58" s="112"/>
      <c r="M58" s="112"/>
    </row>
    <row r="59" spans="1:40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203"/>
      <c r="M59" s="112">
        <v>12.572219</v>
      </c>
    </row>
    <row r="60" spans="1:40">
      <c r="A60" s="112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W60" s="204"/>
    </row>
    <row r="61" spans="1:40">
      <c r="C61" s="112"/>
      <c r="D61" s="112"/>
      <c r="E61" s="112"/>
      <c r="F61" s="112"/>
      <c r="G61" s="112"/>
      <c r="H61" s="112"/>
      <c r="I61" s="112"/>
      <c r="J61" s="112"/>
      <c r="K61" s="112"/>
      <c r="L61" s="203"/>
      <c r="M61" s="112"/>
    </row>
    <row r="62" spans="1:40"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</row>
    <row r="76" spans="8:9">
      <c r="H76" s="205"/>
      <c r="I76" s="205"/>
    </row>
    <row r="90" spans="2:16">
      <c r="B90" s="205" t="s">
        <v>102</v>
      </c>
      <c r="M90" s="1" t="s">
        <v>103</v>
      </c>
      <c r="N90" s="1" t="s">
        <v>104</v>
      </c>
    </row>
    <row r="91" spans="2:16">
      <c r="C91" s="142" t="s">
        <v>105</v>
      </c>
      <c r="D91" s="142" t="s">
        <v>106</v>
      </c>
      <c r="E91" s="142"/>
      <c r="F91" s="142"/>
      <c r="G91" s="142" t="s">
        <v>107</v>
      </c>
      <c r="L91" s="1">
        <v>2013</v>
      </c>
      <c r="M91" s="206">
        <v>6.9510500000000004</v>
      </c>
      <c r="N91" s="206">
        <v>0</v>
      </c>
      <c r="O91" s="112"/>
      <c r="P91" s="112"/>
    </row>
    <row r="92" spans="2:16">
      <c r="B92" s="172">
        <v>2000</v>
      </c>
      <c r="C92" s="203">
        <v>189.05987099999999</v>
      </c>
      <c r="D92" s="203">
        <v>41.049228944246742</v>
      </c>
      <c r="E92" s="203"/>
      <c r="F92" s="142"/>
      <c r="G92" s="207">
        <f t="shared" ref="G92:G110" si="41">C92+D92</f>
        <v>230.10909994424674</v>
      </c>
      <c r="L92" s="1">
        <v>2014</v>
      </c>
      <c r="M92" s="206">
        <v>7.0908100000000003</v>
      </c>
      <c r="N92" s="206">
        <v>0.47120299999999998</v>
      </c>
      <c r="O92" s="112"/>
      <c r="P92" s="112"/>
    </row>
    <row r="93" spans="2:16">
      <c r="B93" s="172">
        <v>2001</v>
      </c>
      <c r="C93" s="203">
        <v>201.16943799999999</v>
      </c>
      <c r="D93" s="203">
        <v>37.677935943060497</v>
      </c>
      <c r="E93" s="203"/>
      <c r="F93" s="142"/>
      <c r="G93" s="207">
        <f t="shared" si="41"/>
        <v>238.84737394306049</v>
      </c>
      <c r="L93" s="1">
        <v>2015</v>
      </c>
      <c r="M93" s="206">
        <v>6.79542</v>
      </c>
      <c r="N93" s="206">
        <v>1.541204</v>
      </c>
      <c r="O93" s="112"/>
      <c r="P93" s="112"/>
    </row>
    <row r="94" spans="2:16">
      <c r="B94" s="172">
        <v>2002</v>
      </c>
      <c r="C94" s="203">
        <v>218.78521799999999</v>
      </c>
      <c r="D94" s="203">
        <v>40.422301304863581</v>
      </c>
      <c r="E94" s="203"/>
      <c r="F94" s="142"/>
      <c r="G94" s="207">
        <f t="shared" si="41"/>
        <v>259.20751930486358</v>
      </c>
      <c r="L94" s="1">
        <v>2016</v>
      </c>
      <c r="M94" s="206">
        <v>6.8568930000000003</v>
      </c>
      <c r="N94" s="206">
        <v>2.2990400000000002</v>
      </c>
      <c r="O94" s="112"/>
      <c r="P94" s="112"/>
    </row>
    <row r="95" spans="2:16">
      <c r="B95" s="172">
        <v>2003</v>
      </c>
      <c r="C95" s="203">
        <v>223.731315</v>
      </c>
      <c r="D95" s="203">
        <v>44.522435447805442</v>
      </c>
      <c r="E95" s="203"/>
      <c r="F95" s="142"/>
      <c r="G95" s="207">
        <f t="shared" si="41"/>
        <v>268.25375044780543</v>
      </c>
      <c r="L95" s="1">
        <v>2017</v>
      </c>
      <c r="M95" s="206">
        <v>6.6166200000000002</v>
      </c>
      <c r="N95" s="206">
        <v>2.9817650000000002</v>
      </c>
      <c r="O95" s="112"/>
      <c r="P95" s="112"/>
    </row>
    <row r="96" spans="2:16">
      <c r="B96" s="172">
        <v>2004</v>
      </c>
      <c r="C96" s="203">
        <v>225.9862</v>
      </c>
      <c r="D96" s="203">
        <v>37.203086209964425</v>
      </c>
      <c r="E96" s="203"/>
      <c r="F96" s="142"/>
      <c r="G96" s="207">
        <f t="shared" si="41"/>
        <v>263.18928620996439</v>
      </c>
      <c r="L96" s="1">
        <v>2018</v>
      </c>
      <c r="M96" s="206">
        <v>7.3924099999999999</v>
      </c>
      <c r="N96" s="206">
        <v>3.5348130000000002</v>
      </c>
      <c r="O96" s="112"/>
      <c r="P96" s="112"/>
    </row>
    <row r="97" spans="2:16">
      <c r="B97" s="172">
        <v>2005</v>
      </c>
      <c r="C97" s="203">
        <v>232.98523500000002</v>
      </c>
      <c r="D97" s="203">
        <v>38.177774272342518</v>
      </c>
      <c r="E97" s="203"/>
      <c r="F97" s="142"/>
      <c r="G97" s="207">
        <f t="shared" si="41"/>
        <v>271.16300927234255</v>
      </c>
      <c r="L97" s="1">
        <v>2019</v>
      </c>
      <c r="M97" s="206">
        <v>4.8844279999999998</v>
      </c>
      <c r="N97" s="206">
        <v>4.0328390000000001</v>
      </c>
      <c r="O97" s="112"/>
      <c r="P97" s="112"/>
    </row>
    <row r="98" spans="2:16">
      <c r="B98" s="172">
        <v>2006</v>
      </c>
      <c r="C98" s="203">
        <v>251.93817999999999</v>
      </c>
      <c r="D98" s="203">
        <v>44.493464536461872</v>
      </c>
      <c r="E98" s="203"/>
      <c r="F98" s="142"/>
      <c r="G98" s="207">
        <f t="shared" si="41"/>
        <v>296.43164453646187</v>
      </c>
      <c r="M98" s="208">
        <f>SUM(M91:M97)</f>
        <v>46.587630999999995</v>
      </c>
    </row>
    <row r="99" spans="2:16">
      <c r="B99" s="172">
        <v>2007</v>
      </c>
      <c r="C99" s="203">
        <v>270.58331900000002</v>
      </c>
      <c r="D99" s="203">
        <v>47.896918716548996</v>
      </c>
      <c r="E99" s="203"/>
      <c r="F99" s="142"/>
      <c r="G99" s="207">
        <f t="shared" si="41"/>
        <v>318.48023771654903</v>
      </c>
      <c r="M99" s="197">
        <f>M98/7</f>
        <v>6.6553758571428565</v>
      </c>
    </row>
    <row r="100" spans="2:16">
      <c r="B100" s="172">
        <v>2008</v>
      </c>
      <c r="C100" s="203">
        <v>267.74261999999999</v>
      </c>
      <c r="D100" s="203">
        <v>41.344410129119197</v>
      </c>
      <c r="E100" s="203"/>
      <c r="F100" s="142"/>
      <c r="G100" s="207">
        <f t="shared" si="41"/>
        <v>309.08703012911917</v>
      </c>
    </row>
    <row r="101" spans="2:16">
      <c r="B101" s="172">
        <v>2009</v>
      </c>
      <c r="C101" s="203">
        <v>275.49997400000001</v>
      </c>
      <c r="D101" s="203">
        <v>48.152898596618286</v>
      </c>
      <c r="E101" s="203"/>
      <c r="F101" s="142"/>
      <c r="G101" s="207">
        <f t="shared" si="41"/>
        <v>323.65287259661829</v>
      </c>
    </row>
    <row r="102" spans="2:16">
      <c r="B102" s="172">
        <v>2010</v>
      </c>
      <c r="C102" s="203">
        <v>301.03960000000001</v>
      </c>
      <c r="D102" s="203">
        <v>54.064500000000002</v>
      </c>
      <c r="E102" s="203"/>
      <c r="F102" s="142"/>
      <c r="G102" s="207">
        <f t="shared" si="41"/>
        <v>355.10410000000002</v>
      </c>
    </row>
    <row r="103" spans="2:16">
      <c r="B103" s="172">
        <v>2011</v>
      </c>
      <c r="C103" s="203">
        <v>323.83490017713211</v>
      </c>
      <c r="D103" s="203">
        <v>60.026924999999999</v>
      </c>
      <c r="E103" s="203"/>
      <c r="F103" s="142"/>
      <c r="G103" s="207">
        <f t="shared" si="41"/>
        <v>383.86182517713212</v>
      </c>
      <c r="J103" s="183"/>
      <c r="K103" s="183"/>
    </row>
    <row r="104" spans="2:16">
      <c r="B104" s="172">
        <v>2012</v>
      </c>
      <c r="C104" s="203">
        <v>336.49302699999998</v>
      </c>
      <c r="D104" s="203">
        <v>61.429340000000003</v>
      </c>
      <c r="E104" s="203"/>
      <c r="F104" s="142"/>
      <c r="G104" s="207">
        <f t="shared" si="41"/>
        <v>397.92236700000001</v>
      </c>
      <c r="J104" s="183"/>
      <c r="K104" s="183"/>
    </row>
    <row r="105" spans="2:16">
      <c r="B105" s="172">
        <v>2013</v>
      </c>
      <c r="C105" s="203">
        <v>347.27360099999999</v>
      </c>
      <c r="D105" s="203">
        <v>60.120830000000005</v>
      </c>
      <c r="E105" s="203"/>
      <c r="F105" s="142"/>
      <c r="G105" s="207">
        <f t="shared" si="41"/>
        <v>407.394431</v>
      </c>
      <c r="J105" s="183"/>
      <c r="K105" s="183"/>
    </row>
    <row r="106" spans="2:16">
      <c r="B106" s="172">
        <v>2014</v>
      </c>
      <c r="C106" s="203">
        <v>354.95939100000004</v>
      </c>
      <c r="D106" s="203">
        <v>58.237760000000002</v>
      </c>
      <c r="E106" s="203"/>
      <c r="F106" s="142"/>
      <c r="G106" s="207">
        <f t="shared" si="41"/>
        <v>413.19715100000002</v>
      </c>
      <c r="J106" s="183"/>
      <c r="K106" s="183"/>
    </row>
    <row r="107" spans="2:16">
      <c r="B107" s="172">
        <v>2015</v>
      </c>
      <c r="C107" s="203">
        <v>369.54052299999995</v>
      </c>
      <c r="D107" s="203">
        <v>83.616752142348759</v>
      </c>
      <c r="E107" s="203"/>
      <c r="F107" s="142"/>
      <c r="G107" s="207">
        <f t="shared" si="41"/>
        <v>453.15727514234868</v>
      </c>
      <c r="J107" s="183"/>
      <c r="K107" s="183"/>
    </row>
    <row r="108" spans="2:16">
      <c r="B108" s="172">
        <v>2016</v>
      </c>
      <c r="C108" s="203">
        <v>400.90901199999996</v>
      </c>
      <c r="D108" s="203">
        <v>87.713972997323836</v>
      </c>
      <c r="E108" s="203"/>
      <c r="F108" s="142"/>
      <c r="G108" s="207">
        <f t="shared" si="41"/>
        <v>488.62298499732378</v>
      </c>
    </row>
    <row r="109" spans="2:16">
      <c r="B109" s="172">
        <v>2017</v>
      </c>
      <c r="C109" s="203">
        <v>414.833099</v>
      </c>
      <c r="D109" s="203">
        <v>92.011957674192701</v>
      </c>
      <c r="E109" s="203"/>
      <c r="F109" s="142"/>
      <c r="G109" s="207">
        <f t="shared" si="41"/>
        <v>506.84505667419273</v>
      </c>
    </row>
    <row r="110" spans="2:16">
      <c r="B110" s="172">
        <v>2018</v>
      </c>
      <c r="C110" s="203">
        <v>417.51149800000002</v>
      </c>
      <c r="D110" s="203">
        <v>96.520543600228137</v>
      </c>
      <c r="E110" s="203"/>
      <c r="F110" s="142"/>
      <c r="G110" s="207">
        <f t="shared" si="41"/>
        <v>514.03204160022813</v>
      </c>
    </row>
    <row r="121" spans="2:12">
      <c r="B121" s="209" t="s">
        <v>108</v>
      </c>
      <c r="C121" s="52"/>
      <c r="D121" s="52"/>
      <c r="E121" s="52"/>
      <c r="F121" s="52"/>
      <c r="G121" s="52"/>
      <c r="H121" s="52"/>
      <c r="I121" s="52"/>
      <c r="J121" s="52"/>
      <c r="K121" s="52"/>
      <c r="L121" s="52"/>
    </row>
    <row r="122" spans="2:12"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</row>
    <row r="123" spans="2:12">
      <c r="B123" s="52" t="s">
        <v>109</v>
      </c>
      <c r="C123" s="52"/>
      <c r="D123" s="52"/>
      <c r="E123" s="52"/>
      <c r="F123" s="52"/>
      <c r="G123" s="52" t="s">
        <v>110</v>
      </c>
      <c r="H123" s="52"/>
      <c r="I123" s="52"/>
      <c r="J123" s="52"/>
      <c r="K123" s="52"/>
      <c r="L123" s="52"/>
    </row>
    <row r="124" spans="2:12">
      <c r="B124" s="52" t="s">
        <v>16</v>
      </c>
      <c r="C124" s="52"/>
      <c r="D124" s="52"/>
      <c r="E124" s="52"/>
      <c r="F124" s="52"/>
      <c r="G124" s="52" t="s">
        <v>111</v>
      </c>
      <c r="H124" s="52"/>
      <c r="I124" s="52"/>
      <c r="J124" s="52"/>
      <c r="K124" s="52"/>
      <c r="L124" s="52"/>
    </row>
    <row r="125" spans="2:12">
      <c r="B125" s="52" t="s">
        <v>112</v>
      </c>
      <c r="C125" s="52"/>
      <c r="D125" s="52"/>
      <c r="E125" s="52"/>
      <c r="F125" s="52"/>
      <c r="G125" s="52" t="s">
        <v>113</v>
      </c>
      <c r="H125" s="52"/>
      <c r="I125" s="52"/>
      <c r="J125" s="210">
        <f>5*1300</f>
        <v>6500</v>
      </c>
      <c r="K125" s="210"/>
      <c r="L125" s="52" t="s">
        <v>114</v>
      </c>
    </row>
    <row r="126" spans="2:12">
      <c r="B126" s="52"/>
      <c r="C126" s="52"/>
      <c r="D126" s="52"/>
      <c r="E126" s="52"/>
      <c r="F126" s="52"/>
      <c r="G126" s="52"/>
      <c r="H126" s="52" t="s">
        <v>115</v>
      </c>
      <c r="I126" s="52"/>
      <c r="J126" s="211">
        <f>J125/1000</f>
        <v>6.5</v>
      </c>
      <c r="K126" s="211"/>
      <c r="L126" s="209" t="s">
        <v>31</v>
      </c>
    </row>
    <row r="129" spans="2:17">
      <c r="B129" s="209" t="s">
        <v>116</v>
      </c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209" t="s">
        <v>117</v>
      </c>
      <c r="O129" s="52"/>
      <c r="P129" s="52"/>
      <c r="Q129" s="52"/>
    </row>
    <row r="130" spans="2:17">
      <c r="B130" s="52"/>
      <c r="C130" s="52"/>
      <c r="D130" s="52"/>
      <c r="E130" s="52"/>
      <c r="F130" s="47" t="s">
        <v>118</v>
      </c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</row>
    <row r="131" spans="2:17">
      <c r="B131" s="52" t="s">
        <v>15</v>
      </c>
      <c r="C131" s="212" t="s">
        <v>119</v>
      </c>
      <c r="D131" s="212" t="s">
        <v>66</v>
      </c>
      <c r="E131" s="212"/>
      <c r="F131" s="47" t="s">
        <v>120</v>
      </c>
      <c r="G131" s="212" t="s">
        <v>121</v>
      </c>
      <c r="H131" s="212" t="s">
        <v>65</v>
      </c>
      <c r="I131" s="212"/>
      <c r="J131" s="52"/>
      <c r="K131" s="52"/>
      <c r="L131" s="52"/>
      <c r="M131" s="212" t="s">
        <v>119</v>
      </c>
      <c r="N131" s="212" t="s">
        <v>66</v>
      </c>
      <c r="O131" s="212" t="s">
        <v>122</v>
      </c>
      <c r="P131" s="52"/>
      <c r="Q131" s="212" t="s">
        <v>65</v>
      </c>
    </row>
    <row r="132" spans="2:17">
      <c r="B132" s="52"/>
      <c r="C132" s="52"/>
      <c r="D132" s="52"/>
      <c r="E132" s="52"/>
      <c r="F132" s="47" t="s">
        <v>67</v>
      </c>
      <c r="G132" s="52" t="s">
        <v>123</v>
      </c>
      <c r="H132" s="52"/>
      <c r="I132" s="52"/>
      <c r="J132" s="52"/>
      <c r="K132" s="52"/>
      <c r="L132" s="52"/>
      <c r="M132" s="52"/>
      <c r="N132" s="52"/>
      <c r="O132" s="212" t="s">
        <v>67</v>
      </c>
      <c r="P132" s="52" t="s">
        <v>123</v>
      </c>
      <c r="Q132" s="52"/>
    </row>
    <row r="133" spans="2:17">
      <c r="B133" s="54">
        <v>2010</v>
      </c>
      <c r="C133" s="210">
        <v>301.03899999999999</v>
      </c>
      <c r="D133" s="210">
        <v>0</v>
      </c>
      <c r="E133" s="210"/>
      <c r="F133" s="210">
        <v>0</v>
      </c>
      <c r="G133" s="52"/>
      <c r="H133" s="213">
        <f>SUM(C133:G133)</f>
        <v>301.03899999999999</v>
      </c>
      <c r="I133" s="213"/>
      <c r="J133" s="52"/>
      <c r="K133" s="52"/>
      <c r="L133" s="54">
        <v>2010</v>
      </c>
      <c r="M133" s="57">
        <f t="shared" ref="M133:N143" si="42">C133/$H133</f>
        <v>1</v>
      </c>
      <c r="N133" s="57">
        <f t="shared" si="42"/>
        <v>0</v>
      </c>
      <c r="O133" s="57">
        <f t="shared" ref="O133:O143" si="43">F133/$H133</f>
        <v>0</v>
      </c>
      <c r="P133" s="52"/>
      <c r="Q133" s="57">
        <f t="shared" ref="Q133:Q143" si="44">H133/$H133</f>
        <v>1</v>
      </c>
    </row>
    <row r="134" spans="2:17">
      <c r="B134" s="54">
        <v>2011</v>
      </c>
      <c r="C134" s="210">
        <v>323.834</v>
      </c>
      <c r="D134" s="210">
        <v>0</v>
      </c>
      <c r="E134" s="210"/>
      <c r="F134" s="210">
        <v>0</v>
      </c>
      <c r="G134" s="52"/>
      <c r="H134" s="213">
        <f t="shared" ref="H134:H141" si="45">SUM(C134:G134)</f>
        <v>323.834</v>
      </c>
      <c r="I134" s="213"/>
      <c r="J134" s="52"/>
      <c r="K134" s="52"/>
      <c r="L134" s="54">
        <v>2011</v>
      </c>
      <c r="M134" s="57">
        <f t="shared" si="42"/>
        <v>1</v>
      </c>
      <c r="N134" s="57">
        <f t="shared" si="42"/>
        <v>0</v>
      </c>
      <c r="O134" s="57">
        <f t="shared" si="43"/>
        <v>0</v>
      </c>
      <c r="P134" s="52"/>
      <c r="Q134" s="57">
        <f t="shared" si="44"/>
        <v>1</v>
      </c>
    </row>
    <row r="135" spans="2:17">
      <c r="B135" s="54">
        <v>2012</v>
      </c>
      <c r="C135" s="210">
        <v>336.52</v>
      </c>
      <c r="D135" s="210">
        <v>0</v>
      </c>
      <c r="E135" s="210"/>
      <c r="F135" s="210">
        <v>0</v>
      </c>
      <c r="G135" s="52"/>
      <c r="H135" s="213">
        <f t="shared" si="45"/>
        <v>336.52</v>
      </c>
      <c r="I135" s="213"/>
      <c r="J135" s="52"/>
      <c r="K135" s="52"/>
      <c r="L135" s="54">
        <v>2012</v>
      </c>
      <c r="M135" s="57">
        <f t="shared" si="42"/>
        <v>1</v>
      </c>
      <c r="N135" s="57">
        <f t="shared" si="42"/>
        <v>0</v>
      </c>
      <c r="O135" s="57">
        <f t="shared" si="43"/>
        <v>0</v>
      </c>
      <c r="P135" s="52"/>
      <c r="Q135" s="57">
        <f t="shared" si="44"/>
        <v>1</v>
      </c>
    </row>
    <row r="136" spans="2:17">
      <c r="B136" s="54">
        <v>2013</v>
      </c>
      <c r="C136" s="210">
        <v>347.27360099999999</v>
      </c>
      <c r="D136" s="210">
        <v>6.9510500000000004</v>
      </c>
      <c r="E136" s="210"/>
      <c r="F136" s="210">
        <v>0</v>
      </c>
      <c r="G136" s="52"/>
      <c r="H136" s="213">
        <f t="shared" si="45"/>
        <v>354.22465099999999</v>
      </c>
      <c r="I136" s="213"/>
      <c r="J136" s="52"/>
      <c r="K136" s="52"/>
      <c r="L136" s="54">
        <v>2013</v>
      </c>
      <c r="M136" s="214">
        <f t="shared" si="42"/>
        <v>0.98037671861521569</v>
      </c>
      <c r="N136" s="214">
        <f t="shared" si="42"/>
        <v>1.9623281384784259E-2</v>
      </c>
      <c r="O136" s="57">
        <f t="shared" si="43"/>
        <v>0</v>
      </c>
      <c r="P136" s="52"/>
      <c r="Q136" s="57">
        <f t="shared" si="44"/>
        <v>1</v>
      </c>
    </row>
    <row r="137" spans="2:17">
      <c r="B137" s="54">
        <v>2014</v>
      </c>
      <c r="C137" s="210">
        <v>354.88158600000003</v>
      </c>
      <c r="D137" s="210">
        <v>7.0908100000000003</v>
      </c>
      <c r="E137" s="210"/>
      <c r="F137" s="210">
        <v>0.47120300000000004</v>
      </c>
      <c r="G137" s="52"/>
      <c r="H137" s="213">
        <f t="shared" si="45"/>
        <v>362.44359900000001</v>
      </c>
      <c r="I137" s="213"/>
      <c r="J137" s="52"/>
      <c r="K137" s="52"/>
      <c r="L137" s="54">
        <v>2014</v>
      </c>
      <c r="M137" s="214">
        <f t="shared" si="42"/>
        <v>0.97913602827898205</v>
      </c>
      <c r="N137" s="214">
        <f t="shared" si="42"/>
        <v>1.9563899099236129E-2</v>
      </c>
      <c r="O137" s="214">
        <f t="shared" si="43"/>
        <v>1.3000726217819066E-3</v>
      </c>
      <c r="P137" s="52"/>
      <c r="Q137" s="57">
        <f t="shared" si="44"/>
        <v>1</v>
      </c>
    </row>
    <row r="138" spans="2:17">
      <c r="B138" s="54">
        <v>2015</v>
      </c>
      <c r="C138" s="210">
        <v>369.29522799999995</v>
      </c>
      <c r="D138" s="210">
        <v>6.79542</v>
      </c>
      <c r="E138" s="210"/>
      <c r="F138" s="210">
        <v>1.541204</v>
      </c>
      <c r="G138" s="52"/>
      <c r="H138" s="213">
        <f t="shared" si="45"/>
        <v>377.63185199999992</v>
      </c>
      <c r="I138" s="213"/>
      <c r="J138" s="52"/>
      <c r="K138" s="52"/>
      <c r="L138" s="54">
        <v>2015</v>
      </c>
      <c r="M138" s="214">
        <f t="shared" si="42"/>
        <v>0.97792393847116488</v>
      </c>
      <c r="N138" s="214">
        <f t="shared" si="42"/>
        <v>1.7994827406666962E-2</v>
      </c>
      <c r="O138" s="214">
        <f t="shared" si="43"/>
        <v>4.0812341221682759E-3</v>
      </c>
      <c r="P138" s="52"/>
      <c r="Q138" s="57">
        <f t="shared" si="44"/>
        <v>1</v>
      </c>
    </row>
    <row r="139" spans="2:17">
      <c r="B139" s="54">
        <v>2016</v>
      </c>
      <c r="C139" s="210">
        <v>400.11999199999997</v>
      </c>
      <c r="D139" s="210">
        <v>6.8568930000000003</v>
      </c>
      <c r="E139" s="210"/>
      <c r="F139" s="210">
        <v>2.2990400000000002</v>
      </c>
      <c r="G139" s="52"/>
      <c r="H139" s="213">
        <f t="shared" si="45"/>
        <v>409.27592499999997</v>
      </c>
      <c r="I139" s="213"/>
      <c r="J139" s="52"/>
      <c r="K139" s="52"/>
      <c r="L139" s="54">
        <v>2016</v>
      </c>
      <c r="M139" s="214">
        <f t="shared" si="42"/>
        <v>0.97762894800127809</v>
      </c>
      <c r="N139" s="214">
        <f t="shared" si="42"/>
        <v>1.6753716945359053E-2</v>
      </c>
      <c r="O139" s="214">
        <f t="shared" si="43"/>
        <v>5.6173350533628395E-3</v>
      </c>
      <c r="P139" s="52"/>
      <c r="Q139" s="57">
        <f t="shared" si="44"/>
        <v>1</v>
      </c>
    </row>
    <row r="140" spans="2:17">
      <c r="B140" s="54">
        <v>2017</v>
      </c>
      <c r="C140" s="210">
        <v>414.22988799999996</v>
      </c>
      <c r="D140" s="210">
        <v>6.6166200000000002</v>
      </c>
      <c r="E140" s="210"/>
      <c r="F140" s="210">
        <v>2.9817649999999998</v>
      </c>
      <c r="G140" s="52"/>
      <c r="H140" s="213">
        <f t="shared" si="45"/>
        <v>423.82827299999997</v>
      </c>
      <c r="I140" s="213"/>
      <c r="J140" s="52"/>
      <c r="K140" s="52"/>
      <c r="L140" s="54">
        <v>2017</v>
      </c>
      <c r="M140" s="214">
        <f t="shared" si="42"/>
        <v>0.97735312717091904</v>
      </c>
      <c r="N140" s="214">
        <f t="shared" si="42"/>
        <v>1.5611558788103786E-2</v>
      </c>
      <c r="O140" s="214">
        <f t="shared" si="43"/>
        <v>7.0353140409771574E-3</v>
      </c>
      <c r="P140" s="52"/>
      <c r="Q140" s="57">
        <f t="shared" si="44"/>
        <v>1</v>
      </c>
    </row>
    <row r="141" spans="2:17">
      <c r="B141" s="54">
        <v>2018</v>
      </c>
      <c r="C141" s="210">
        <v>416.89648099999999</v>
      </c>
      <c r="D141" s="210">
        <v>7.3920000000000003</v>
      </c>
      <c r="E141" s="210"/>
      <c r="F141" s="210">
        <v>3.5350169999999999</v>
      </c>
      <c r="G141" s="52"/>
      <c r="H141" s="213">
        <f t="shared" si="45"/>
        <v>427.82349799999997</v>
      </c>
      <c r="I141" s="213"/>
      <c r="J141" s="52"/>
      <c r="K141" s="52"/>
      <c r="L141" s="54">
        <v>2018</v>
      </c>
      <c r="M141" s="214">
        <f t="shared" si="42"/>
        <v>0.97445905367264329</v>
      </c>
      <c r="N141" s="214">
        <f t="shared" si="42"/>
        <v>1.7278153337898238E-2</v>
      </c>
      <c r="O141" s="214">
        <f t="shared" si="43"/>
        <v>8.2627929894584715E-3</v>
      </c>
      <c r="P141" s="52"/>
      <c r="Q141" s="57">
        <f t="shared" si="44"/>
        <v>1</v>
      </c>
    </row>
    <row r="142" spans="2:17">
      <c r="B142" s="54">
        <v>2019</v>
      </c>
      <c r="C142" s="215">
        <f>H142-D142-F142-G142</f>
        <v>434.2375494352064</v>
      </c>
      <c r="D142" s="215">
        <v>6.9504655</v>
      </c>
      <c r="E142" s="215"/>
      <c r="F142" s="215">
        <f>F141*(1+$F$144)</f>
        <v>5.8504243991292801</v>
      </c>
      <c r="G142" s="52"/>
      <c r="H142" s="216">
        <f>H141*(1+$H$144)</f>
        <v>447.03843933433569</v>
      </c>
      <c r="I142" s="216"/>
      <c r="J142" s="52"/>
      <c r="K142" s="52"/>
      <c r="L142" s="54">
        <v>2019</v>
      </c>
      <c r="M142" s="214">
        <f t="shared" si="42"/>
        <v>0.97136512484655568</v>
      </c>
      <c r="N142" s="214">
        <f t="shared" si="42"/>
        <v>1.554780280270667E-2</v>
      </c>
      <c r="O142" s="214">
        <f t="shared" si="43"/>
        <v>1.3087072350737618E-2</v>
      </c>
      <c r="P142" s="52"/>
      <c r="Q142" s="57">
        <f t="shared" si="44"/>
        <v>1</v>
      </c>
    </row>
    <row r="143" spans="2:17">
      <c r="B143" s="217">
        <v>2020</v>
      </c>
      <c r="C143" s="218">
        <f>H143-D143-F143-G143</f>
        <v>443.98351570241181</v>
      </c>
      <c r="D143" s="218">
        <v>6.9504655</v>
      </c>
      <c r="E143" s="218"/>
      <c r="F143" s="218">
        <f>F142*(1+$F$144)</f>
        <v>9.6824048229265092</v>
      </c>
      <c r="G143" s="219">
        <f>J126</f>
        <v>6.5</v>
      </c>
      <c r="H143" s="219">
        <f>H142*(1+$H$144)</f>
        <v>467.11638602533833</v>
      </c>
      <c r="I143" s="220"/>
      <c r="J143" s="52"/>
      <c r="K143" s="52"/>
      <c r="L143" s="54">
        <v>2020</v>
      </c>
      <c r="M143" s="214">
        <f t="shared" si="42"/>
        <v>0.95047728785589702</v>
      </c>
      <c r="N143" s="214">
        <f t="shared" si="42"/>
        <v>1.487951548679557E-2</v>
      </c>
      <c r="O143" s="214">
        <f t="shared" si="43"/>
        <v>2.0728035052063654E-2</v>
      </c>
      <c r="P143" s="214">
        <f>G143/H143</f>
        <v>1.3915161605243738E-2</v>
      </c>
      <c r="Q143" s="57">
        <f t="shared" si="44"/>
        <v>1</v>
      </c>
    </row>
    <row r="144" spans="2:17">
      <c r="B144" s="52" t="s">
        <v>124</v>
      </c>
      <c r="C144" s="214"/>
      <c r="D144" s="52"/>
      <c r="E144" s="52"/>
      <c r="F144" s="214">
        <f>(F141/F137)^(1/4)-1</f>
        <v>0.6549918710799072</v>
      </c>
      <c r="G144" s="52"/>
      <c r="H144" s="214">
        <f>(H141/H133)^(1/8)-1</f>
        <v>4.491324442009903E-2</v>
      </c>
      <c r="I144" s="214"/>
      <c r="J144" s="52"/>
      <c r="K144" s="52"/>
      <c r="L144" s="221" t="s">
        <v>125</v>
      </c>
      <c r="M144" s="222"/>
      <c r="N144" s="222"/>
      <c r="O144" s="223">
        <f>N143+O143+P143</f>
        <v>4.9522712144102962E-2</v>
      </c>
      <c r="P144" s="224"/>
      <c r="Q144" s="52"/>
    </row>
    <row r="145" spans="2:17">
      <c r="B145" s="52" t="s">
        <v>126</v>
      </c>
      <c r="C145" s="52"/>
      <c r="D145" s="213">
        <f>SUM(D136:D141)/6</f>
        <v>6.9504655</v>
      </c>
      <c r="E145" s="213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</row>
    <row r="146" spans="2:17">
      <c r="B146" s="1" t="s">
        <v>127</v>
      </c>
      <c r="D146" s="5" t="s">
        <v>128</v>
      </c>
      <c r="E146" s="5"/>
    </row>
    <row r="147" spans="2:17">
      <c r="D147" s="5" t="s">
        <v>129</v>
      </c>
      <c r="E147" s="5"/>
    </row>
    <row r="151" spans="2:17">
      <c r="B151" s="52"/>
      <c r="C151" s="52"/>
      <c r="D151" s="209" t="s">
        <v>130</v>
      </c>
      <c r="E151" s="209"/>
      <c r="F151" s="52"/>
      <c r="G151" s="52"/>
      <c r="H151" s="52"/>
      <c r="I151" s="52"/>
      <c r="J151" s="52"/>
      <c r="K151" s="52"/>
      <c r="L151" s="52"/>
      <c r="M151" s="52"/>
    </row>
    <row r="152" spans="2:17"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</row>
    <row r="153" spans="2:17">
      <c r="B153" s="52"/>
      <c r="C153" s="225" t="s">
        <v>66</v>
      </c>
      <c r="D153" s="226"/>
      <c r="E153" s="226"/>
      <c r="F153" s="226"/>
      <c r="G153" s="227"/>
      <c r="H153" s="225" t="s">
        <v>131</v>
      </c>
      <c r="I153" s="226"/>
      <c r="J153" s="226"/>
      <c r="K153" s="226"/>
      <c r="L153" s="226"/>
      <c r="M153" s="227"/>
    </row>
    <row r="154" spans="2:17">
      <c r="B154" s="52"/>
      <c r="C154" s="228" t="s">
        <v>16</v>
      </c>
      <c r="D154" s="229" t="s">
        <v>17</v>
      </c>
      <c r="E154" s="229"/>
      <c r="F154" s="229" t="s">
        <v>25</v>
      </c>
      <c r="G154" s="230" t="s">
        <v>19</v>
      </c>
      <c r="H154" s="231" t="s">
        <v>132</v>
      </c>
      <c r="I154" s="232"/>
      <c r="J154" s="229" t="s">
        <v>17</v>
      </c>
      <c r="K154" s="229"/>
      <c r="L154" s="229" t="s">
        <v>25</v>
      </c>
      <c r="M154" s="230" t="s">
        <v>133</v>
      </c>
    </row>
    <row r="155" spans="2:17">
      <c r="B155" s="52"/>
      <c r="C155" s="233" t="s">
        <v>134</v>
      </c>
      <c r="D155" s="234" t="s">
        <v>31</v>
      </c>
      <c r="E155" s="234"/>
      <c r="F155" s="234" t="s">
        <v>135</v>
      </c>
      <c r="G155" s="235"/>
      <c r="H155" s="233" t="s">
        <v>134</v>
      </c>
      <c r="I155" s="234"/>
      <c r="J155" s="234" t="s">
        <v>31</v>
      </c>
      <c r="K155" s="234"/>
      <c r="L155" s="234" t="s">
        <v>135</v>
      </c>
      <c r="M155" s="235"/>
    </row>
    <row r="156" spans="2:17">
      <c r="B156" s="54">
        <v>2010</v>
      </c>
      <c r="C156" s="233"/>
      <c r="D156" s="234"/>
      <c r="E156" s="234"/>
      <c r="F156" s="234"/>
      <c r="G156" s="235"/>
      <c r="H156" s="233"/>
      <c r="I156" s="234"/>
      <c r="J156" s="234"/>
      <c r="K156" s="234"/>
      <c r="L156" s="234"/>
      <c r="M156" s="235"/>
    </row>
    <row r="157" spans="2:17">
      <c r="B157" s="54">
        <v>2011</v>
      </c>
      <c r="C157" s="233"/>
      <c r="D157" s="234"/>
      <c r="E157" s="234"/>
      <c r="F157" s="234"/>
      <c r="G157" s="235"/>
      <c r="H157" s="233"/>
      <c r="I157" s="234"/>
      <c r="J157" s="234"/>
      <c r="K157" s="234"/>
      <c r="L157" s="234"/>
      <c r="M157" s="235"/>
    </row>
    <row r="158" spans="2:17">
      <c r="B158" s="54">
        <v>2012</v>
      </c>
      <c r="C158" s="233"/>
      <c r="D158" s="234"/>
      <c r="E158" s="234"/>
      <c r="F158" s="234"/>
      <c r="G158" s="235"/>
      <c r="H158" s="233"/>
      <c r="I158" s="234"/>
      <c r="J158" s="234"/>
      <c r="K158" s="234"/>
      <c r="L158" s="234"/>
      <c r="M158" s="235"/>
    </row>
    <row r="159" spans="2:17">
      <c r="B159" s="54">
        <v>2013</v>
      </c>
      <c r="C159" s="236">
        <v>6</v>
      </c>
      <c r="D159" s="237">
        <v>6.9510500000000004</v>
      </c>
      <c r="E159" s="237"/>
      <c r="F159" s="238">
        <f t="shared" ref="F159:F164" si="46">D159*1000/C159</f>
        <v>1158.5083333333334</v>
      </c>
      <c r="G159" s="239">
        <f>F159/8760</f>
        <v>0.13224980974124811</v>
      </c>
      <c r="H159" s="112">
        <v>0.21010100000000001</v>
      </c>
      <c r="I159" s="112"/>
      <c r="J159" s="234"/>
      <c r="K159" s="234"/>
      <c r="L159" s="234"/>
      <c r="M159" s="235"/>
    </row>
    <row r="160" spans="2:17">
      <c r="B160" s="54">
        <v>2014</v>
      </c>
      <c r="C160" s="236">
        <v>6</v>
      </c>
      <c r="D160" s="237">
        <v>7.0908100000000003</v>
      </c>
      <c r="E160" s="237"/>
      <c r="F160" s="238">
        <f t="shared" si="46"/>
        <v>1181.8016666666667</v>
      </c>
      <c r="G160" s="239">
        <f t="shared" ref="G160:G164" si="47">F160/8760</f>
        <v>0.13490886605783867</v>
      </c>
      <c r="H160" s="112">
        <v>0.89124700000000001</v>
      </c>
      <c r="I160" s="112"/>
      <c r="J160" s="240">
        <v>0.47120300000000004</v>
      </c>
      <c r="K160" s="240"/>
      <c r="L160" s="238">
        <f>J160*1000/H160</f>
        <v>528.70079787084842</v>
      </c>
      <c r="M160" s="239">
        <f>L160/8760</f>
        <v>6.0353972359685891E-2</v>
      </c>
    </row>
    <row r="161" spans="2:13">
      <c r="B161" s="54">
        <v>2015</v>
      </c>
      <c r="C161" s="236">
        <v>6</v>
      </c>
      <c r="D161" s="237">
        <v>6.79542</v>
      </c>
      <c r="E161" s="237"/>
      <c r="F161" s="238">
        <f t="shared" si="46"/>
        <v>1132.57</v>
      </c>
      <c r="G161" s="239">
        <f t="shared" si="47"/>
        <v>0.12928881278538812</v>
      </c>
      <c r="H161" s="241">
        <v>1.3362670000000001</v>
      </c>
      <c r="I161" s="241"/>
      <c r="J161" s="240">
        <v>1.541204</v>
      </c>
      <c r="K161" s="240"/>
      <c r="L161" s="238">
        <f>J161*1000/H161</f>
        <v>1153.3653079811145</v>
      </c>
      <c r="M161" s="239">
        <f>L161/8760</f>
        <v>0.13166270639053818</v>
      </c>
    </row>
    <row r="162" spans="2:13">
      <c r="B162" s="54">
        <v>2016</v>
      </c>
      <c r="C162" s="236">
        <v>6</v>
      </c>
      <c r="D162" s="237">
        <v>6.8568930000000003</v>
      </c>
      <c r="E162" s="237"/>
      <c r="F162" s="238">
        <f t="shared" si="46"/>
        <v>1142.8154999999999</v>
      </c>
      <c r="G162" s="239">
        <f t="shared" si="47"/>
        <v>0.13045839041095889</v>
      </c>
      <c r="H162" s="241">
        <v>1.888957</v>
      </c>
      <c r="I162" s="241"/>
      <c r="J162" s="240">
        <v>2.2990400000000002</v>
      </c>
      <c r="K162" s="240"/>
      <c r="L162" s="238">
        <f>J162*1000/H162</f>
        <v>1217.0949365178776</v>
      </c>
      <c r="M162" s="239">
        <f t="shared" ref="M162:M164" si="48">L162/8760</f>
        <v>0.13893777814131023</v>
      </c>
    </row>
    <row r="163" spans="2:13">
      <c r="B163" s="54">
        <v>2017</v>
      </c>
      <c r="C163" s="236">
        <v>6</v>
      </c>
      <c r="D163" s="237">
        <v>6.6166200000000002</v>
      </c>
      <c r="E163" s="237"/>
      <c r="F163" s="238">
        <f t="shared" si="46"/>
        <v>1102.77</v>
      </c>
      <c r="G163" s="239">
        <f t="shared" si="47"/>
        <v>0.12588698630136985</v>
      </c>
      <c r="H163" s="241">
        <v>2.3634569999999999</v>
      </c>
      <c r="I163" s="241"/>
      <c r="J163" s="240">
        <v>2.9817649999999998</v>
      </c>
      <c r="K163" s="240"/>
      <c r="L163" s="238">
        <f>J163*1000/H163</f>
        <v>1261.6116984569637</v>
      </c>
      <c r="M163" s="239">
        <f t="shared" si="48"/>
        <v>0.14401960028047531</v>
      </c>
    </row>
    <row r="164" spans="2:13">
      <c r="B164" s="54">
        <v>2018</v>
      </c>
      <c r="C164" s="236">
        <v>6</v>
      </c>
      <c r="D164" s="237">
        <v>7.3920000000000003</v>
      </c>
      <c r="E164" s="237"/>
      <c r="F164" s="238">
        <f t="shared" si="46"/>
        <v>1232</v>
      </c>
      <c r="G164" s="239">
        <f t="shared" si="47"/>
        <v>0.14063926940639268</v>
      </c>
      <c r="H164" s="241">
        <v>3.037337</v>
      </c>
      <c r="I164" s="241"/>
      <c r="J164" s="240">
        <v>3.5350169999999999</v>
      </c>
      <c r="K164" s="240"/>
      <c r="L164" s="238">
        <f>J164*1000/H164</f>
        <v>1163.8540603166523</v>
      </c>
      <c r="M164" s="239">
        <f t="shared" si="48"/>
        <v>0.13286005254756306</v>
      </c>
    </row>
    <row r="165" spans="2:13">
      <c r="B165" s="54">
        <v>2019</v>
      </c>
      <c r="C165" s="236">
        <v>6</v>
      </c>
      <c r="H165" s="241">
        <v>3.7120419999999998</v>
      </c>
      <c r="I165" s="241"/>
    </row>
    <row r="166" spans="2:13">
      <c r="B166" s="54" t="s">
        <v>126</v>
      </c>
      <c r="C166" s="242"/>
      <c r="D166" s="243">
        <f>SUM(D159:D164)/6</f>
        <v>6.9504655</v>
      </c>
      <c r="E166" s="243"/>
      <c r="F166" s="244">
        <f>SUM(F159:F164)/6</f>
        <v>1158.4109166666667</v>
      </c>
      <c r="G166" s="245">
        <f>SUM(G159:G164)/6</f>
        <v>0.13223868911719941</v>
      </c>
      <c r="H166" s="242"/>
      <c r="I166" s="246"/>
      <c r="J166" s="246"/>
      <c r="K166" s="246"/>
      <c r="L166" s="247">
        <f>AVERAGE(L160:L164)</f>
        <v>1064.9253602286913</v>
      </c>
      <c r="M166" s="248"/>
    </row>
  </sheetData>
  <mergeCells count="13">
    <mergeCell ref="B38:E38"/>
    <mergeCell ref="F38:I38"/>
    <mergeCell ref="C153:G153"/>
    <mergeCell ref="H153:M153"/>
    <mergeCell ref="B4:F4"/>
    <mergeCell ref="AW4:AX4"/>
    <mergeCell ref="P5:S5"/>
    <mergeCell ref="T5:W5"/>
    <mergeCell ref="X5:AA5"/>
    <mergeCell ref="B37:O37"/>
    <mergeCell ref="P37:S37"/>
    <mergeCell ref="T37:Z37"/>
    <mergeCell ref="AA37:AD3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Generation-Summary (2)</vt:lpstr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2022-10-17T11:38:16Z</dcterms:created>
  <dcterms:modified xsi:type="dcterms:W3CDTF">2022-10-17T11:40:25Z</dcterms:modified>
</cp:coreProperties>
</file>