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16"/>
  <workbookPr defaultThemeVersion="124226"/>
  <xr:revisionPtr revIDLastSave="17" documentId="11_02D16BD51989A7C7748F18C0BA2BE84408093415" xr6:coauthVersionLast="47" xr6:coauthVersionMax="47" xr10:uidLastSave="{AF04EC38-EA23-4104-B86B-927EE3675EFF}"/>
  <bookViews>
    <workbookView xWindow="240" yWindow="30" windowWidth="8100" windowHeight="6375" activeTab="1" xr2:uid="{00000000-000D-0000-FFFF-FFFF00000000}"/>
  </bookViews>
  <sheets>
    <sheet name="Energy Balance-2021" sheetId="1" r:id="rId1"/>
    <sheet name="Petroleum Stat-2021" sheetId="2" r:id="rId2"/>
    <sheet name="Biomass, SWH &amp; Kero" sheetId="7" r:id="rId3"/>
    <sheet name="Electricity Stat-2021" sheetId="3" r:id="rId4"/>
    <sheet name="Charts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1" l="1"/>
  <c r="O34" i="1"/>
  <c r="O33" i="1"/>
  <c r="O32" i="1"/>
  <c r="O37" i="1"/>
  <c r="B88" i="1"/>
  <c r="G33" i="3"/>
  <c r="H33" i="3" s="1"/>
  <c r="G34" i="3"/>
  <c r="H34" i="3" s="1"/>
  <c r="G35" i="3"/>
  <c r="H35" i="3" s="1"/>
  <c r="J37" i="1"/>
  <c r="K37" i="1"/>
  <c r="L37" i="1"/>
  <c r="S70" i="2" l="1"/>
  <c r="S65" i="2"/>
  <c r="R70" i="2" l="1"/>
  <c r="R65" i="2"/>
  <c r="R73" i="2" s="1"/>
  <c r="H61" i="2"/>
  <c r="H39" i="2"/>
  <c r="C57" i="2"/>
  <c r="T65" i="3" l="1"/>
  <c r="D81" i="3" l="1"/>
  <c r="D82" i="3"/>
  <c r="D83" i="3"/>
  <c r="D80" i="3"/>
  <c r="D79" i="3"/>
  <c r="M15" i="3" l="1"/>
  <c r="N15" i="3" s="1"/>
  <c r="V46" i="3" l="1"/>
  <c r="Q42" i="3"/>
  <c r="F28" i="3"/>
  <c r="P42" i="3" s="1"/>
  <c r="Q40" i="3"/>
  <c r="P40" i="3"/>
  <c r="R40" i="3" s="1"/>
  <c r="R42" i="3" l="1"/>
  <c r="D41" i="2" l="1"/>
  <c r="C41" i="2"/>
  <c r="D40" i="2"/>
  <c r="C40" i="2"/>
  <c r="N40" i="2"/>
  <c r="I60" i="3"/>
  <c r="I62" i="3" l="1"/>
  <c r="I61" i="3"/>
  <c r="U53" i="2"/>
  <c r="K68" i="2"/>
  <c r="M62" i="2"/>
  <c r="K71" i="2" s="1"/>
  <c r="M57" i="2"/>
  <c r="K70" i="2" s="1"/>
  <c r="M50" i="2"/>
  <c r="M40" i="2" s="1"/>
  <c r="F74" i="2"/>
  <c r="F70" i="2"/>
  <c r="F73" i="2"/>
  <c r="H56" i="2"/>
  <c r="F72" i="2" s="1"/>
  <c r="B89" i="2"/>
  <c r="C83" i="2"/>
  <c r="B94" i="2" s="1"/>
  <c r="K69" i="2" l="1"/>
  <c r="K72" i="2" s="1"/>
  <c r="M64" i="2"/>
  <c r="B42" i="3"/>
  <c r="S16" i="3" l="1"/>
  <c r="L16" i="3"/>
  <c r="M10" i="3"/>
  <c r="M6" i="3"/>
  <c r="F16" i="3" l="1"/>
  <c r="L12" i="3"/>
  <c r="L8" i="3"/>
  <c r="L17" i="3" s="1"/>
  <c r="G32" i="3" l="1"/>
  <c r="H32" i="3" s="1"/>
  <c r="O15" i="3"/>
  <c r="P15" i="3" s="1"/>
  <c r="Q15" i="3" s="1"/>
  <c r="J15" i="3"/>
  <c r="I15" i="3"/>
  <c r="G15" i="3"/>
  <c r="D15" i="3"/>
  <c r="E15" i="3" s="1"/>
  <c r="I7" i="3"/>
  <c r="J7" i="3"/>
  <c r="J6" i="3"/>
  <c r="I6" i="3"/>
  <c r="H15" i="3" l="1"/>
  <c r="K15" i="3" s="1"/>
  <c r="D49" i="3"/>
  <c r="L47" i="7"/>
  <c r="L48" i="7" s="1"/>
  <c r="G61" i="7"/>
  <c r="K36" i="7"/>
  <c r="K31" i="7"/>
  <c r="G55" i="7"/>
  <c r="I36" i="7"/>
  <c r="I31" i="7"/>
  <c r="G36" i="7" l="1"/>
  <c r="G31" i="7"/>
  <c r="E36" i="7"/>
  <c r="E31" i="7"/>
  <c r="C36" i="7"/>
  <c r="D40" i="7"/>
  <c r="D39" i="7"/>
  <c r="D38" i="7"/>
  <c r="D37" i="7"/>
  <c r="D33" i="7"/>
  <c r="D34" i="7"/>
  <c r="D35" i="7"/>
  <c r="D32" i="7"/>
  <c r="C31" i="7"/>
  <c r="I32" i="7" l="1"/>
  <c r="K32" i="7"/>
  <c r="I37" i="7"/>
  <c r="K37" i="7"/>
  <c r="I33" i="7"/>
  <c r="K33" i="7"/>
  <c r="I40" i="7"/>
  <c r="K40" i="7"/>
  <c r="I34" i="7"/>
  <c r="K34" i="7"/>
  <c r="I39" i="7"/>
  <c r="K39" i="7"/>
  <c r="I35" i="7"/>
  <c r="K35" i="7"/>
  <c r="I38" i="7"/>
  <c r="K38" i="7"/>
  <c r="E39" i="7"/>
  <c r="E35" i="7"/>
  <c r="G37" i="7"/>
  <c r="G33" i="7"/>
  <c r="E40" i="7"/>
  <c r="E32" i="7"/>
  <c r="G38" i="7"/>
  <c r="G34" i="7"/>
  <c r="E37" i="7"/>
  <c r="E33" i="7"/>
  <c r="G39" i="7"/>
  <c r="G35" i="7"/>
  <c r="E38" i="7"/>
  <c r="E34" i="7"/>
  <c r="G40" i="7"/>
  <c r="G32" i="7"/>
  <c r="F36" i="3" l="1"/>
  <c r="B44" i="3" s="1"/>
  <c r="C36" i="3"/>
  <c r="M27" i="3"/>
  <c r="N27" i="3" s="1"/>
  <c r="J26" i="3"/>
  <c r="G26" i="3"/>
  <c r="H26" i="3" s="1"/>
  <c r="G27" i="3"/>
  <c r="D26" i="3"/>
  <c r="I26" i="3" s="1"/>
  <c r="D27" i="3"/>
  <c r="C28" i="3"/>
  <c r="H27" i="3" l="1"/>
  <c r="D50" i="3"/>
  <c r="G31" i="1"/>
  <c r="F65" i="3"/>
  <c r="L64" i="3" s="1"/>
  <c r="L70" i="3"/>
  <c r="L66" i="3"/>
  <c r="O66" i="3" s="1"/>
  <c r="D52" i="3" l="1"/>
  <c r="D51" i="3"/>
  <c r="P66" i="3"/>
  <c r="B93" i="3"/>
  <c r="O64" i="3"/>
  <c r="F72" i="3"/>
  <c r="L68" i="3"/>
  <c r="O69" i="3" s="1"/>
  <c r="G80" i="3"/>
  <c r="H80" i="3" s="1"/>
  <c r="J80" i="3" s="1"/>
  <c r="N80" i="3" s="1"/>
  <c r="O80" i="3" s="1"/>
  <c r="G81" i="3"/>
  <c r="H81" i="3" s="1"/>
  <c r="J81" i="3" s="1"/>
  <c r="L81" i="3" s="1"/>
  <c r="M81" i="3" s="1"/>
  <c r="G82" i="3"/>
  <c r="H82" i="3" s="1"/>
  <c r="J82" i="3" s="1"/>
  <c r="L82" i="3" s="1"/>
  <c r="M82" i="3" s="1"/>
  <c r="G83" i="3"/>
  <c r="H83" i="3" s="1"/>
  <c r="J83" i="3" s="1"/>
  <c r="N83" i="3" s="1"/>
  <c r="G79" i="3"/>
  <c r="H79" i="3" s="1"/>
  <c r="J79" i="3" s="1"/>
  <c r="N79" i="3" s="1"/>
  <c r="C84" i="3"/>
  <c r="O83" i="3"/>
  <c r="E80" i="3"/>
  <c r="E81" i="3"/>
  <c r="E83" i="3"/>
  <c r="E79" i="3"/>
  <c r="K81" i="3" l="1"/>
  <c r="I81" i="3" s="1"/>
  <c r="K82" i="3"/>
  <c r="K79" i="3"/>
  <c r="I79" i="3" s="1"/>
  <c r="K83" i="3"/>
  <c r="I83" i="3" s="1"/>
  <c r="P69" i="3"/>
  <c r="B94" i="3"/>
  <c r="B92" i="3"/>
  <c r="O72" i="3"/>
  <c r="P72" i="3" s="1"/>
  <c r="P64" i="3"/>
  <c r="D84" i="3"/>
  <c r="K80" i="3"/>
  <c r="I80" i="3" s="1"/>
  <c r="L72" i="3"/>
  <c r="E82" i="3"/>
  <c r="E84" i="3" s="1"/>
  <c r="C16" i="1" s="1"/>
  <c r="N82" i="3"/>
  <c r="O82" i="3" s="1"/>
  <c r="I82" i="3" l="1"/>
  <c r="J84" i="3"/>
  <c r="T55" i="3" s="1"/>
  <c r="T56" i="3" s="1"/>
  <c r="D92" i="3"/>
  <c r="B95" i="3"/>
  <c r="K84" i="3"/>
  <c r="M16" i="1" s="1"/>
  <c r="N84" i="3"/>
  <c r="C94" i="3" s="1"/>
  <c r="D94" i="3" s="1"/>
  <c r="E94" i="3" s="1"/>
  <c r="M30" i="1" s="1"/>
  <c r="O79" i="3"/>
  <c r="O84" i="3" s="1"/>
  <c r="L84" i="3" l="1"/>
  <c r="C93" i="3" s="1"/>
  <c r="M84" i="3"/>
  <c r="E92" i="3"/>
  <c r="G30" i="1"/>
  <c r="C95" i="3" l="1"/>
  <c r="D93" i="3"/>
  <c r="M29" i="1"/>
  <c r="B101" i="2"/>
  <c r="L79" i="2"/>
  <c r="H50" i="2"/>
  <c r="W49" i="2"/>
  <c r="P57" i="2"/>
  <c r="P56" i="2"/>
  <c r="P55" i="2"/>
  <c r="R51" i="2"/>
  <c r="H72" i="2"/>
  <c r="H73" i="2"/>
  <c r="H74" i="2"/>
  <c r="B31" i="1" s="1"/>
  <c r="H70" i="2"/>
  <c r="B32" i="1" s="1"/>
  <c r="W50" i="2" l="1"/>
  <c r="U54" i="2"/>
  <c r="U55" i="2" s="1"/>
  <c r="V53" i="2" s="1"/>
  <c r="R57" i="2"/>
  <c r="R56" i="2"/>
  <c r="R55" i="2"/>
  <c r="R58" i="2" s="1"/>
  <c r="E33" i="1" s="1"/>
  <c r="E37" i="1" s="1"/>
  <c r="B30" i="1"/>
  <c r="H66" i="2"/>
  <c r="F71" i="2"/>
  <c r="H71" i="2" s="1"/>
  <c r="B34" i="1" s="1"/>
  <c r="E93" i="3"/>
  <c r="D95" i="3"/>
  <c r="P58" i="2"/>
  <c r="Q57" i="2" s="1"/>
  <c r="C74" i="2"/>
  <c r="B93" i="2" s="1"/>
  <c r="D93" i="2" s="1"/>
  <c r="C35" i="1" s="1"/>
  <c r="C63" i="2"/>
  <c r="B91" i="2" s="1"/>
  <c r="B90" i="2"/>
  <c r="D90" i="2" s="1"/>
  <c r="C32" i="1" s="1"/>
  <c r="C70" i="2"/>
  <c r="B92" i="2" s="1"/>
  <c r="D92" i="2" s="1"/>
  <c r="C31" i="1" s="1"/>
  <c r="C50" i="2"/>
  <c r="B88" i="2" s="1"/>
  <c r="F75" i="2"/>
  <c r="G74" i="2" s="1"/>
  <c r="M69" i="2"/>
  <c r="M70" i="2"/>
  <c r="F31" i="1" s="1"/>
  <c r="M71" i="2"/>
  <c r="M68" i="2"/>
  <c r="F29" i="1" s="1"/>
  <c r="W53" i="2"/>
  <c r="D89" i="2"/>
  <c r="D91" i="2"/>
  <c r="C34" i="1" s="1"/>
  <c r="D94" i="2"/>
  <c r="C30" i="1" s="1"/>
  <c r="C37" i="1" s="1"/>
  <c r="D88" i="2"/>
  <c r="B37" i="1" l="1"/>
  <c r="W54" i="2"/>
  <c r="D31" i="1" s="1"/>
  <c r="D37" i="1" s="1"/>
  <c r="Q56" i="2"/>
  <c r="Q55" i="2"/>
  <c r="Q58" i="2" s="1"/>
  <c r="H75" i="2"/>
  <c r="B95" i="2"/>
  <c r="C91" i="2" s="1"/>
  <c r="F30" i="1"/>
  <c r="F37" i="1" s="1"/>
  <c r="M31" i="1"/>
  <c r="M37" i="1" s="1"/>
  <c r="E95" i="3"/>
  <c r="C85" i="2"/>
  <c r="L72" i="2"/>
  <c r="M72" i="2"/>
  <c r="L69" i="2"/>
  <c r="D95" i="2"/>
  <c r="L68" i="2"/>
  <c r="G75" i="2"/>
  <c r="G71" i="2"/>
  <c r="G72" i="2"/>
  <c r="G70" i="2"/>
  <c r="V55" i="2"/>
  <c r="L71" i="2"/>
  <c r="G73" i="2"/>
  <c r="V54" i="2"/>
  <c r="L70" i="2"/>
  <c r="W55" i="2" l="1"/>
  <c r="C94" i="2"/>
  <c r="C89" i="2"/>
  <c r="C92" i="2"/>
  <c r="C95" i="2"/>
  <c r="C90" i="2"/>
  <c r="C88" i="2"/>
  <c r="C93" i="2"/>
  <c r="C35" i="2"/>
  <c r="D35" i="2"/>
  <c r="E35" i="2"/>
  <c r="F35" i="2"/>
  <c r="G35" i="2"/>
  <c r="H35" i="2"/>
  <c r="I35" i="2"/>
  <c r="J35" i="2"/>
  <c r="D33" i="2"/>
  <c r="E33" i="2"/>
  <c r="F33" i="2"/>
  <c r="G33" i="2"/>
  <c r="H33" i="1" s="1"/>
  <c r="H37" i="1" s="1"/>
  <c r="H33" i="2"/>
  <c r="I33" i="2"/>
  <c r="J33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9" i="2"/>
  <c r="D29" i="2"/>
  <c r="C10" i="1" s="1"/>
  <c r="E29" i="2"/>
  <c r="E10" i="1" s="1"/>
  <c r="F29" i="2"/>
  <c r="D10" i="1" s="1"/>
  <c r="G29" i="2"/>
  <c r="H10" i="1" s="1"/>
  <c r="H29" i="2"/>
  <c r="F10" i="1" s="1"/>
  <c r="I29" i="2"/>
  <c r="B10" i="1" s="1"/>
  <c r="J29" i="2"/>
  <c r="G10" i="1" s="1"/>
  <c r="C30" i="2"/>
  <c r="B11" i="1" s="1"/>
  <c r="D30" i="2"/>
  <c r="E30" i="2"/>
  <c r="F30" i="2"/>
  <c r="G30" i="2"/>
  <c r="H30" i="2"/>
  <c r="I30" i="2"/>
  <c r="J30" i="2"/>
  <c r="G11" i="1" s="1"/>
  <c r="D25" i="2"/>
  <c r="E25" i="2"/>
  <c r="F25" i="2"/>
  <c r="G25" i="2"/>
  <c r="H6" i="1" s="1"/>
  <c r="H25" i="2"/>
  <c r="I25" i="2"/>
  <c r="J25" i="2"/>
  <c r="D9" i="2"/>
  <c r="D12" i="2" s="1"/>
  <c r="E9" i="2"/>
  <c r="E12" i="2" s="1"/>
  <c r="F9" i="2"/>
  <c r="F28" i="2" s="1"/>
  <c r="D9" i="1" s="1"/>
  <c r="G9" i="2"/>
  <c r="G28" i="2" s="1"/>
  <c r="H9" i="2"/>
  <c r="H12" i="2" s="1"/>
  <c r="I9" i="2"/>
  <c r="I12" i="2" s="1"/>
  <c r="J9" i="2"/>
  <c r="J28" i="2" s="1"/>
  <c r="G9" i="1" s="1"/>
  <c r="G12" i="1" l="1"/>
  <c r="B54" i="1" s="1"/>
  <c r="H28" i="2"/>
  <c r="F9" i="1" s="1"/>
  <c r="J31" i="2"/>
  <c r="F31" i="2"/>
  <c r="F39" i="2" s="1"/>
  <c r="D28" i="2"/>
  <c r="C9" i="1" s="1"/>
  <c r="G31" i="2"/>
  <c r="H9" i="1"/>
  <c r="H12" i="1" s="1"/>
  <c r="B56" i="1" s="1"/>
  <c r="F12" i="2"/>
  <c r="G12" i="2"/>
  <c r="I28" i="2"/>
  <c r="E28" i="2"/>
  <c r="E9" i="1" s="1"/>
  <c r="J12" i="2"/>
  <c r="C28" i="2"/>
  <c r="I31" i="2" l="1"/>
  <c r="B9" i="1"/>
  <c r="H31" i="2"/>
  <c r="D31" i="2"/>
  <c r="D39" i="2" s="1"/>
  <c r="E31" i="2"/>
  <c r="D59" i="3"/>
  <c r="E59" i="3" s="1"/>
  <c r="C33" i="2" l="1"/>
  <c r="D18" i="2"/>
  <c r="E18" i="2"/>
  <c r="F18" i="2"/>
  <c r="G18" i="2"/>
  <c r="H18" i="2"/>
  <c r="I18" i="2"/>
  <c r="J18" i="2"/>
  <c r="B43" i="3" l="1"/>
  <c r="B41" i="3"/>
  <c r="L24" i="7" l="1"/>
  <c r="L25" i="7" s="1"/>
  <c r="L26" i="7" s="1"/>
  <c r="J31" i="7" l="1"/>
  <c r="J36" i="7"/>
  <c r="J34" i="7"/>
  <c r="J32" i="7"/>
  <c r="J40" i="7"/>
  <c r="G29" i="1" s="1"/>
  <c r="G37" i="1" s="1"/>
  <c r="J38" i="7"/>
  <c r="J33" i="7"/>
  <c r="J35" i="7"/>
  <c r="J39" i="7"/>
  <c r="J37" i="7"/>
  <c r="G56" i="7"/>
  <c r="G57" i="7" s="1"/>
  <c r="G62" i="7" s="1"/>
  <c r="O17" i="7"/>
  <c r="O18" i="7" s="1"/>
  <c r="O19" i="7" s="1"/>
  <c r="H20" i="7"/>
  <c r="D18" i="7"/>
  <c r="E18" i="7" s="1"/>
  <c r="B18" i="7"/>
  <c r="C15" i="7" s="1"/>
  <c r="C17" i="7"/>
  <c r="O9" i="7"/>
  <c r="O10" i="7" s="1"/>
  <c r="O11" i="7" s="1"/>
  <c r="O12" i="7" s="1"/>
  <c r="H12" i="7"/>
  <c r="C13" i="7"/>
  <c r="C10" i="7"/>
  <c r="L34" i="7" l="1"/>
  <c r="L31" i="7"/>
  <c r="L39" i="7"/>
  <c r="L37" i="7"/>
  <c r="L40" i="7"/>
  <c r="L35" i="7"/>
  <c r="L33" i="7"/>
  <c r="L36" i="7"/>
  <c r="L38" i="7"/>
  <c r="L32" i="7"/>
  <c r="H36" i="7"/>
  <c r="H31" i="7"/>
  <c r="H37" i="7"/>
  <c r="H40" i="7"/>
  <c r="H34" i="7"/>
  <c r="H39" i="7"/>
  <c r="H32" i="7"/>
  <c r="H33" i="7"/>
  <c r="H35" i="7"/>
  <c r="H38" i="7"/>
  <c r="F36" i="7"/>
  <c r="M36" i="7" s="1"/>
  <c r="F31" i="7"/>
  <c r="M31" i="7" s="1"/>
  <c r="F32" i="7"/>
  <c r="M32" i="7" s="1"/>
  <c r="F34" i="7"/>
  <c r="M34" i="7" s="1"/>
  <c r="F39" i="7"/>
  <c r="M39" i="7" s="1"/>
  <c r="F35" i="7"/>
  <c r="M35" i="7" s="1"/>
  <c r="F33" i="7"/>
  <c r="M33" i="7" s="1"/>
  <c r="F40" i="7"/>
  <c r="F37" i="7"/>
  <c r="M37" i="7" s="1"/>
  <c r="F38" i="7"/>
  <c r="M38" i="7" s="1"/>
  <c r="E12" i="7"/>
  <c r="C14" i="7"/>
  <c r="C16" i="7"/>
  <c r="C18" i="7"/>
  <c r="E11" i="7"/>
  <c r="E15" i="7"/>
  <c r="C11" i="7"/>
  <c r="E13" i="7"/>
  <c r="E17" i="7"/>
  <c r="E16" i="7"/>
  <c r="E10" i="7"/>
  <c r="E14" i="7"/>
  <c r="M40" i="7" l="1"/>
  <c r="I5" i="1"/>
  <c r="I29" i="1"/>
  <c r="I37" i="1" s="1"/>
  <c r="K5" i="1"/>
  <c r="K12" i="1" s="1"/>
  <c r="B53" i="1" s="1"/>
  <c r="N29" i="1"/>
  <c r="N37" i="1" s="1"/>
  <c r="I12" i="1"/>
  <c r="B55" i="1" s="1"/>
  <c r="B103" i="1" l="1"/>
  <c r="O21" i="3" l="1"/>
  <c r="C8" i="1" l="1"/>
  <c r="E8" i="1"/>
  <c r="C6" i="1"/>
  <c r="E6" i="1"/>
  <c r="D6" i="1"/>
  <c r="F6" i="1"/>
  <c r="F12" i="1" s="1"/>
  <c r="B49" i="1" s="1"/>
  <c r="B6" i="1"/>
  <c r="B12" i="1" s="1"/>
  <c r="B48" i="1" l="1"/>
  <c r="C12" i="1"/>
  <c r="B47" i="1" s="1"/>
  <c r="E12" i="1"/>
  <c r="B50" i="1" s="1"/>
  <c r="H37" i="2"/>
  <c r="I37" i="2"/>
  <c r="E37" i="2"/>
  <c r="B85" i="1"/>
  <c r="J37" i="2"/>
  <c r="F37" i="2"/>
  <c r="G37" i="2"/>
  <c r="B83" i="1"/>
  <c r="B87" i="1"/>
  <c r="D37" i="2"/>
  <c r="B104" i="1" l="1"/>
  <c r="B78" i="1" l="1"/>
  <c r="O24" i="1" l="1"/>
  <c r="E21" i="1"/>
  <c r="F21" i="1"/>
  <c r="G21" i="1"/>
  <c r="H21" i="1"/>
  <c r="H27" i="1" s="1"/>
  <c r="H38" i="1" s="1"/>
  <c r="H39" i="1" s="1"/>
  <c r="I21" i="1"/>
  <c r="J30" i="3"/>
  <c r="I30" i="3"/>
  <c r="G30" i="3"/>
  <c r="G36" i="3" s="1"/>
  <c r="E50" i="3" s="1"/>
  <c r="B21" i="1"/>
  <c r="M12" i="1"/>
  <c r="N12" i="1"/>
  <c r="O7" i="1"/>
  <c r="M26" i="3"/>
  <c r="N26" i="3" s="1"/>
  <c r="O26" i="3"/>
  <c r="O25" i="3"/>
  <c r="P25" i="3" s="1"/>
  <c r="M25" i="3"/>
  <c r="N25" i="3" s="1"/>
  <c r="J25" i="3"/>
  <c r="G25" i="3"/>
  <c r="H25" i="3" s="1"/>
  <c r="D25" i="3"/>
  <c r="I25" i="3" s="1"/>
  <c r="M21" i="3"/>
  <c r="N21" i="3" s="1"/>
  <c r="P21" i="3"/>
  <c r="Q21" i="3" s="1"/>
  <c r="J21" i="3"/>
  <c r="G21" i="3"/>
  <c r="D21" i="3"/>
  <c r="I21" i="3" s="1"/>
  <c r="O14" i="3"/>
  <c r="M14" i="3"/>
  <c r="M12" i="3"/>
  <c r="N12" i="3" s="1"/>
  <c r="M8" i="3"/>
  <c r="F12" i="3"/>
  <c r="O12" i="3" s="1"/>
  <c r="P12" i="3" s="1"/>
  <c r="Q12" i="3" s="1"/>
  <c r="F8" i="3"/>
  <c r="J14" i="3"/>
  <c r="J11" i="3"/>
  <c r="J10" i="3"/>
  <c r="I14" i="3"/>
  <c r="I11" i="3"/>
  <c r="I10" i="3"/>
  <c r="D14" i="3"/>
  <c r="E14" i="3" s="1"/>
  <c r="E16" i="3" s="1"/>
  <c r="D11" i="3"/>
  <c r="E11" i="3" s="1"/>
  <c r="D10" i="3"/>
  <c r="E10" i="3" s="1"/>
  <c r="D7" i="3"/>
  <c r="D6" i="3"/>
  <c r="G7" i="3"/>
  <c r="H7" i="3" s="1"/>
  <c r="G10" i="3"/>
  <c r="H10" i="3" s="1"/>
  <c r="G11" i="3"/>
  <c r="G14" i="3"/>
  <c r="G6" i="3"/>
  <c r="H6" i="3" s="1"/>
  <c r="D8" i="1"/>
  <c r="D12" i="1" s="1"/>
  <c r="C25" i="2"/>
  <c r="E52" i="3" l="1"/>
  <c r="E51" i="3"/>
  <c r="P14" i="3"/>
  <c r="Q14" i="3" s="1"/>
  <c r="O16" i="3"/>
  <c r="F17" i="3"/>
  <c r="O8" i="3"/>
  <c r="B46" i="1"/>
  <c r="B58" i="1" s="1"/>
  <c r="S5" i="1"/>
  <c r="H30" i="3"/>
  <c r="B57" i="3"/>
  <c r="N14" i="3"/>
  <c r="C57" i="3"/>
  <c r="H14" i="3"/>
  <c r="C49" i="3"/>
  <c r="H28" i="3"/>
  <c r="C50" i="3"/>
  <c r="C52" i="3" s="1"/>
  <c r="H21" i="3"/>
  <c r="L18" i="1" s="1"/>
  <c r="L21" i="1" s="1"/>
  <c r="B50" i="3"/>
  <c r="G12" i="3"/>
  <c r="O28" i="3"/>
  <c r="I27" i="1"/>
  <c r="C31" i="2"/>
  <c r="I28" i="3"/>
  <c r="M17" i="3"/>
  <c r="N8" i="3"/>
  <c r="H11" i="3"/>
  <c r="K11" i="3" s="1"/>
  <c r="G8" i="3"/>
  <c r="G17" i="3" s="1"/>
  <c r="E6" i="3"/>
  <c r="G27" i="1"/>
  <c r="G38" i="1" s="1"/>
  <c r="E27" i="1"/>
  <c r="E38" i="1" s="1"/>
  <c r="E39" i="1" s="1"/>
  <c r="H8" i="3"/>
  <c r="E12" i="3"/>
  <c r="E7" i="3"/>
  <c r="K10" i="3"/>
  <c r="P26" i="3"/>
  <c r="Q26" i="3" s="1"/>
  <c r="Q25" i="3"/>
  <c r="G28" i="3"/>
  <c r="G37" i="3" s="1"/>
  <c r="J28" i="3"/>
  <c r="O8" i="1"/>
  <c r="O11" i="1"/>
  <c r="O10" i="1"/>
  <c r="O9" i="1"/>
  <c r="C37" i="2"/>
  <c r="B52" i="3" l="1"/>
  <c r="F52" i="3" s="1"/>
  <c r="F50" i="3"/>
  <c r="P8" i="3"/>
  <c r="Q8" i="3" s="1"/>
  <c r="Q17" i="3" s="1"/>
  <c r="O17" i="3"/>
  <c r="K7" i="3"/>
  <c r="E3" i="3"/>
  <c r="C15" i="1"/>
  <c r="E2" i="3"/>
  <c r="K14" i="3"/>
  <c r="K6" i="3"/>
  <c r="H36" i="3"/>
  <c r="J19" i="1" s="1"/>
  <c r="M19" i="1" s="1"/>
  <c r="O19" i="1" s="1"/>
  <c r="I38" i="1"/>
  <c r="I39" i="1" s="1"/>
  <c r="L5" i="1"/>
  <c r="L12" i="1" s="1"/>
  <c r="D57" i="3"/>
  <c r="E57" i="3" s="1"/>
  <c r="B81" i="1"/>
  <c r="N17" i="3"/>
  <c r="M23" i="1" s="1"/>
  <c r="O23" i="1" s="1"/>
  <c r="C51" i="3"/>
  <c r="C58" i="3" s="1"/>
  <c r="C60" i="3" s="1"/>
  <c r="C61" i="3" s="1"/>
  <c r="B49" i="3"/>
  <c r="F49" i="3" s="1"/>
  <c r="H12" i="3"/>
  <c r="K12" i="3" s="1"/>
  <c r="Q28" i="3"/>
  <c r="P28" i="3"/>
  <c r="E8" i="3"/>
  <c r="E17" i="3" s="1"/>
  <c r="F27" i="1"/>
  <c r="F38" i="1" s="1"/>
  <c r="F39" i="1" s="1"/>
  <c r="B80" i="1"/>
  <c r="M18" i="1"/>
  <c r="O18" i="1" s="1"/>
  <c r="D15" i="1"/>
  <c r="J17" i="1"/>
  <c r="M17" i="1" s="1"/>
  <c r="B45" i="3"/>
  <c r="O6" i="1"/>
  <c r="B27" i="1"/>
  <c r="P17" i="3" l="1"/>
  <c r="H17" i="3"/>
  <c r="K8" i="3"/>
  <c r="J5" i="1"/>
  <c r="J12" i="1" s="1"/>
  <c r="B52" i="1" s="1"/>
  <c r="L27" i="1"/>
  <c r="L38" i="1" s="1"/>
  <c r="B51" i="1"/>
  <c r="F51" i="3"/>
  <c r="B51" i="3"/>
  <c r="B58" i="3" s="1"/>
  <c r="B86" i="1"/>
  <c r="O35" i="1"/>
  <c r="B108" i="1" s="1"/>
  <c r="C44" i="3"/>
  <c r="C43" i="3"/>
  <c r="C42" i="3"/>
  <c r="C41" i="3"/>
  <c r="C45" i="3"/>
  <c r="O17" i="1"/>
  <c r="M15" i="1"/>
  <c r="S18" i="1" s="1"/>
  <c r="D21" i="1"/>
  <c r="D27" i="1" s="1"/>
  <c r="D38" i="1" s="1"/>
  <c r="D39" i="1" s="1"/>
  <c r="J21" i="1"/>
  <c r="C21" i="1"/>
  <c r="C27" i="1" s="1"/>
  <c r="C38" i="1" s="1"/>
  <c r="C39" i="1" s="1"/>
  <c r="O16" i="1"/>
  <c r="K20" i="1"/>
  <c r="B102" i="1" l="1"/>
  <c r="B101" i="1" s="1"/>
  <c r="B59" i="1"/>
  <c r="S6" i="1"/>
  <c r="S7" i="1" s="1"/>
  <c r="O5" i="1"/>
  <c r="S19" i="1"/>
  <c r="B57" i="1"/>
  <c r="O15" i="1"/>
  <c r="D58" i="3"/>
  <c r="E58" i="3" s="1"/>
  <c r="B60" i="3"/>
  <c r="J27" i="1"/>
  <c r="J38" i="1" s="1"/>
  <c r="K17" i="3"/>
  <c r="M21" i="1"/>
  <c r="K21" i="1"/>
  <c r="N20" i="1"/>
  <c r="O12" i="1"/>
  <c r="S39" i="1" s="1"/>
  <c r="C52" i="1" l="1"/>
  <c r="C58" i="1"/>
  <c r="C59" i="1"/>
  <c r="C51" i="1"/>
  <c r="C49" i="1"/>
  <c r="C48" i="1"/>
  <c r="C47" i="1"/>
  <c r="C55" i="1"/>
  <c r="C50" i="1"/>
  <c r="C56" i="1"/>
  <c r="C54" i="1"/>
  <c r="C53" i="1"/>
  <c r="B79" i="1"/>
  <c r="S22" i="1"/>
  <c r="T5" i="1"/>
  <c r="T7" i="1"/>
  <c r="T6" i="1"/>
  <c r="C46" i="1"/>
  <c r="C57" i="1"/>
  <c r="B61" i="3"/>
  <c r="D60" i="3"/>
  <c r="B38" i="1"/>
  <c r="B39" i="1" s="1"/>
  <c r="B82" i="1"/>
  <c r="O13" i="1"/>
  <c r="O31" i="1"/>
  <c r="O30" i="1"/>
  <c r="B105" i="1" s="1"/>
  <c r="K27" i="1"/>
  <c r="K38" i="1" s="1"/>
  <c r="S14" i="1"/>
  <c r="S10" i="1"/>
  <c r="S12" i="1"/>
  <c r="S13" i="1"/>
  <c r="S11" i="1"/>
  <c r="N21" i="1"/>
  <c r="N27" i="1" s="1"/>
  <c r="O20" i="1"/>
  <c r="O21" i="1" s="1"/>
  <c r="D61" i="3" l="1"/>
  <c r="S24" i="1" s="1"/>
  <c r="S23" i="1" s="1"/>
  <c r="E60" i="3"/>
  <c r="M26" i="1" s="1"/>
  <c r="S15" i="1"/>
  <c r="B107" i="1"/>
  <c r="P29" i="1"/>
  <c r="S42" i="3" l="1"/>
  <c r="T42" i="3" s="1"/>
  <c r="T58" i="3" s="1"/>
  <c r="S40" i="3"/>
  <c r="T40" i="3" s="1"/>
  <c r="T57" i="3" s="1"/>
  <c r="N38" i="1"/>
  <c r="N39" i="1" s="1"/>
  <c r="S25" i="1"/>
  <c r="O26" i="1"/>
  <c r="O27" i="1" s="1"/>
  <c r="M27" i="1"/>
  <c r="M38" i="1" s="1"/>
  <c r="M39" i="1" s="1"/>
  <c r="V50" i="3"/>
  <c r="B106" i="1"/>
  <c r="B84" i="1"/>
  <c r="T59" i="3" l="1"/>
  <c r="T44" i="3"/>
  <c r="U27" i="1"/>
  <c r="S26" i="1"/>
  <c r="O38" i="1"/>
  <c r="O39" i="1" s="1"/>
  <c r="S32" i="1"/>
  <c r="S29" i="1"/>
  <c r="S35" i="1"/>
  <c r="B109" i="1"/>
  <c r="C106" i="1" s="1"/>
  <c r="S31" i="1"/>
  <c r="S34" i="1"/>
  <c r="C84" i="1"/>
  <c r="S30" i="1"/>
  <c r="S33" i="1"/>
  <c r="T48" i="3" l="1"/>
  <c r="V44" i="3"/>
  <c r="V52" i="3" s="1"/>
  <c r="T24" i="1"/>
  <c r="T23" i="1"/>
  <c r="T22" i="1"/>
  <c r="T25" i="1"/>
  <c r="S37" i="1"/>
  <c r="C83" i="1"/>
  <c r="C81" i="1"/>
  <c r="C87" i="1"/>
  <c r="C79" i="1"/>
  <c r="C85" i="1"/>
  <c r="C86" i="1"/>
  <c r="C80" i="1"/>
  <c r="C82" i="1"/>
  <c r="C78" i="1"/>
  <c r="C101" i="1"/>
  <c r="C103" i="1"/>
  <c r="C108" i="1"/>
  <c r="C104" i="1"/>
  <c r="C102" i="1"/>
  <c r="C105" i="1"/>
  <c r="C107" i="1"/>
  <c r="V24" i="1" l="1"/>
  <c r="C109" i="1"/>
  <c r="C88" i="1"/>
  <c r="T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H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I4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including 18 tons of leaded gasoline</t>
        </r>
      </text>
    </comment>
    <comment ref="C46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D46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use all this gasoil of IDC for elec generation</t>
        </r>
      </text>
    </comment>
    <comment ref="C47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D47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based on the elec generated by IOT, estimate of the gasoil consumed for elec generation (the rest of the gasoil is used by forklifts)</t>
        </r>
      </text>
    </comment>
    <comment ref="C5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4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D55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=95% of actual retail sales of gasoil, 5% goes to fishermen</t>
        </r>
      </text>
    </comment>
    <comment ref="C60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0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they are retailers for boats</t>
        </r>
      </text>
    </comment>
    <comment ref="D65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for all on-site equipments and engines such as concrete mixers, 'grue/lifter', etc.</t>
        </r>
      </text>
    </comment>
    <comment ref="D67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part of Construction</t>
        </r>
      </text>
    </comment>
    <comment ref="C69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D69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estimate of the quantity of gasoil consumed by forklifts</t>
        </r>
      </text>
    </comment>
    <comment ref="C73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D73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=5% of retail sales of gasoil</t>
        </r>
      </text>
    </comment>
    <comment ref="C76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D76" authorId="0" shapeId="0" xr:uid="{00000000-0006-0000-0100-000013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engines in road maintenance</t>
        </r>
      </text>
    </comment>
    <comment ref="C77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D77" authorId="0" shapeId="0" xr:uid="{00000000-0006-0000-0100-000015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these agencies/institutions provide public services</t>
        </r>
      </text>
    </comment>
    <comment ref="E7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I observed one afternoon a large pickup full of plastic tanks of 50 L capacity filling these tanks with gasoline at Grand Anse Retail station.  Possibly for fishing boats at Port Launay</t>
        </r>
      </text>
    </comment>
    <comment ref="C78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D7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gasoil used by ground equipment at the airport</t>
        </r>
      </text>
    </comment>
    <comment ref="E78" authorId="0" shapeId="0" xr:uid="{00000000-0006-0000-0100-000019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Caution! this may happen only sometimes but not on a regular basis; we have to capture only regula uses of gasoline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AB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possibly density after fuel treatment</t>
        </r>
      </text>
    </comment>
    <comment ref="U8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1 GWh = 86 TOE</t>
        </r>
      </text>
    </comment>
  </commentList>
</comments>
</file>

<file path=xl/sharedStrings.xml><?xml version="1.0" encoding="utf-8"?>
<sst xmlns="http://schemas.openxmlformats.org/spreadsheetml/2006/main" count="754" uniqueCount="436">
  <si>
    <t>SEYCHELLES</t>
  </si>
  <si>
    <t>NATIONAL ENERGY BALANCE FOR 2021</t>
  </si>
  <si>
    <t>YEAR:            2021</t>
  </si>
  <si>
    <t>PETROLEUM PRODUCTS</t>
  </si>
  <si>
    <t>BIOMASS</t>
  </si>
  <si>
    <t>SOLAR</t>
  </si>
  <si>
    <t>WIND</t>
  </si>
  <si>
    <t>ELECTRICITY</t>
  </si>
  <si>
    <t>HEAT</t>
  </si>
  <si>
    <t>TOTAL</t>
  </si>
  <si>
    <t>Unit: TOE (Tonne of Oil Equivalent)</t>
  </si>
  <si>
    <t>Gasoline</t>
  </si>
  <si>
    <t>Gasoil</t>
  </si>
  <si>
    <t>Fuel Oil</t>
  </si>
  <si>
    <t>Jet A1</t>
  </si>
  <si>
    <t>LPG</t>
  </si>
  <si>
    <t>Kerosene</t>
  </si>
  <si>
    <t>Avgas</t>
  </si>
  <si>
    <t>Fuelwood &amp; charcoal</t>
  </si>
  <si>
    <t>Solar PV</t>
  </si>
  <si>
    <t>Solar Thermal</t>
  </si>
  <si>
    <t>Wind</t>
  </si>
  <si>
    <t>Prod. (+)                 Cons. (-)</t>
  </si>
  <si>
    <t>PRIMARY ENERGY PRODUCTION &amp; ENERGY SUPPLIES</t>
  </si>
  <si>
    <t>Breakdown of Primar Energy Cons</t>
  </si>
  <si>
    <t>TOE</t>
  </si>
  <si>
    <t>Share</t>
  </si>
  <si>
    <t>Primary Energy Production</t>
  </si>
  <si>
    <t>Petroleum Fuel</t>
  </si>
  <si>
    <t>Imports</t>
  </si>
  <si>
    <t>Renewable</t>
  </si>
  <si>
    <t>Exports (-)</t>
  </si>
  <si>
    <t>International Marine &amp; Air Bunkers (-)</t>
  </si>
  <si>
    <t>Stock Change (+ taking from stock, - feeding into stock)</t>
  </si>
  <si>
    <t>Electricity Generation Mix</t>
  </si>
  <si>
    <t>Loss (-) or Gain (+)</t>
  </si>
  <si>
    <t>PUC (HFO &amp; LFO)</t>
  </si>
  <si>
    <t>Inter Product Transfer</t>
  </si>
  <si>
    <t>Auto-producers (LFO)</t>
  </si>
  <si>
    <t>TOTAL PRIMARY CONSUMPTION (1)</t>
  </si>
  <si>
    <t>On-grid Solar PV</t>
  </si>
  <si>
    <t>Energy Independence Rate</t>
  </si>
  <si>
    <t>Wind Farm</t>
  </si>
  <si>
    <t>SECONDARY PRODUCTION</t>
  </si>
  <si>
    <t>Off-grid Solar PV</t>
  </si>
  <si>
    <t>Electricity Generation from HFO and LFO by PUC</t>
  </si>
  <si>
    <t>Total</t>
  </si>
  <si>
    <t>Electricity Generation from LFO by Auto-producers</t>
  </si>
  <si>
    <t>Electricity Generation from grid-connected Solar PV</t>
  </si>
  <si>
    <t>Share of Renewable in Elec Generation</t>
  </si>
  <si>
    <t>Electricity Generation from Wind by PUC</t>
  </si>
  <si>
    <t>If Auto-producers are Not considered</t>
  </si>
  <si>
    <t>Electricity Generation from off-grid Solar PV</t>
  </si>
  <si>
    <t>If Auto-producers are considered</t>
  </si>
  <si>
    <t>Production of Solar Heat / Solar Water Heaters</t>
  </si>
  <si>
    <t>TOTAL SECONDARY PRODUCTION (2)</t>
  </si>
  <si>
    <t>Breakdown of Final Energy Consum</t>
  </si>
  <si>
    <t>ENERGY SECTOR OWN CONSUMPTION</t>
  </si>
  <si>
    <t>Electricity consumption for power stations</t>
  </si>
  <si>
    <t>Electricity from HFO &amp; LFO</t>
  </si>
  <si>
    <t>Heat consumption for Fuel Oil Treatment</t>
  </si>
  <si>
    <t>Electricity from renewable</t>
  </si>
  <si>
    <t>DISTRIBUTION OF ENERGY</t>
  </si>
  <si>
    <t>Biomass&amp;Heat</t>
  </si>
  <si>
    <t>Losses in transportation and distribution</t>
  </si>
  <si>
    <t>TOTAL FINAL DISTRIBUTION (1+2+Losses)</t>
  </si>
  <si>
    <t>FINAL ENERGY CONSUMPTION</t>
  </si>
  <si>
    <t>Shares of Sectors in FEC</t>
  </si>
  <si>
    <t>Residential</t>
  </si>
  <si>
    <t>Service</t>
  </si>
  <si>
    <t>Industry</t>
  </si>
  <si>
    <t>Road Transportation</t>
  </si>
  <si>
    <t>Domestic Air Transportation</t>
  </si>
  <si>
    <t>Maritime Transportation</t>
  </si>
  <si>
    <t>Artisanal Fishing</t>
  </si>
  <si>
    <t>Fuel non-consumed but Stocked by Consumers</t>
  </si>
  <si>
    <t>Petroleum Stat-2021'!W44+D15</t>
  </si>
  <si>
    <t>TOTAL FINAL ENERGY CONSUMPTION</t>
  </si>
  <si>
    <t>Statistical Difference</t>
  </si>
  <si>
    <t>Statistical Difference in %</t>
  </si>
  <si>
    <t>Per Capita PEC in TOE</t>
  </si>
  <si>
    <t>GDP</t>
  </si>
  <si>
    <t xml:space="preserve">Million SCR, 2006 market price </t>
  </si>
  <si>
    <t>1.12 bn US$ in 2020</t>
  </si>
  <si>
    <t>Primary Energy Intensity</t>
  </si>
  <si>
    <t>PRIMARY ENERGY CONSUMPTION  (PEC)</t>
  </si>
  <si>
    <t>Energy Form</t>
  </si>
  <si>
    <t>Fuelwood</t>
  </si>
  <si>
    <t>Fossile Fuel</t>
  </si>
  <si>
    <t>Renewable Energy</t>
  </si>
  <si>
    <t>FINAL ENERGY CONSUMPTION  (FEC)</t>
  </si>
  <si>
    <t>Solar Heat</t>
  </si>
  <si>
    <t>Biomass</t>
  </si>
  <si>
    <t>SECTORIAL FINAL ENERGY CONSUMPTION</t>
  </si>
  <si>
    <t>SECTOR</t>
  </si>
  <si>
    <t>TRANSPORTS</t>
  </si>
  <si>
    <t>SERVICE</t>
  </si>
  <si>
    <t>RESIDENTIAL</t>
  </si>
  <si>
    <t>INDUSTRY</t>
  </si>
  <si>
    <t>SEPEC SUPPLY AND SALES FOR 2021</t>
  </si>
  <si>
    <t>All in Metric Ton and from 01/01/21 to 31/12/21.</t>
  </si>
  <si>
    <t>MT</t>
  </si>
  <si>
    <t>MOGAS</t>
  </si>
  <si>
    <t>GAS OIL</t>
  </si>
  <si>
    <t>JET A1</t>
  </si>
  <si>
    <t>FUEL OIL</t>
  </si>
  <si>
    <t>AVGAS</t>
  </si>
  <si>
    <t>MSP (unleaded)</t>
  </si>
  <si>
    <t>KEROSENE</t>
  </si>
  <si>
    <t>GASOIL</t>
  </si>
  <si>
    <t>MSP (UNLEADED)</t>
  </si>
  <si>
    <t>A. Imports SEPEC in 2019</t>
  </si>
  <si>
    <t xml:space="preserve">    1. Stock 01/01/20 SEPEC</t>
  </si>
  <si>
    <t xml:space="preserve">    2. Stock 31/12/20 SEPEC</t>
  </si>
  <si>
    <t>B. Stock Change (1-2)</t>
  </si>
  <si>
    <t>C. Loss/Gain</t>
  </si>
  <si>
    <t>D. Inter Product Transfer</t>
  </si>
  <si>
    <t>E. Total Supply (A+B+C+D)</t>
  </si>
  <si>
    <t>F. Local Sales</t>
  </si>
  <si>
    <t>H. International sales</t>
  </si>
  <si>
    <t>I. Total Sales</t>
  </si>
  <si>
    <t>Coversion Factor from MT to TOE</t>
  </si>
  <si>
    <t>A. Imports SEPEC</t>
  </si>
  <si>
    <t>These data are used by the Energy Balance sheet in the upper part</t>
  </si>
  <si>
    <t>VENTILATION OF GASOIL</t>
  </si>
  <si>
    <t>VENTILATION OF GASOLINE</t>
  </si>
  <si>
    <t>VENTILATION OF LPG   MT</t>
  </si>
  <si>
    <t>VENTILATION OF JET A-1</t>
  </si>
  <si>
    <t>VENTILATION OF HEAVY FUEL OIL</t>
  </si>
  <si>
    <t>For 2021</t>
  </si>
  <si>
    <t>For 2020</t>
  </si>
  <si>
    <t>Yr 2021</t>
  </si>
  <si>
    <t>Yr 2020</t>
  </si>
  <si>
    <t>AUTO-PRODUCERS OF ELECTRICITY</t>
  </si>
  <si>
    <t>ROAD TRANSPORTATION</t>
  </si>
  <si>
    <t>RESIDENTIAL SECTOR</t>
  </si>
  <si>
    <t>AIR TRANSPORTATION</t>
  </si>
  <si>
    <t>Yr2021</t>
  </si>
  <si>
    <t>Yr2020</t>
  </si>
  <si>
    <t>ELECTRICITY GENERATION BY PUC</t>
  </si>
  <si>
    <t>Hotels</t>
  </si>
  <si>
    <t>Retailer (MAHE&amp;PRASLIN)</t>
  </si>
  <si>
    <t>Air Seychelles (Domestic) + Helicopters</t>
  </si>
  <si>
    <t>IDC (Island Development Company)</t>
  </si>
  <si>
    <t>Tourism</t>
  </si>
  <si>
    <t>IOT (Indian Ocean Tuna)</t>
  </si>
  <si>
    <t>MARINE TRANSPORTATION</t>
  </si>
  <si>
    <t>SPDF</t>
  </si>
  <si>
    <t>CCCS (Central Common Cold Store)</t>
  </si>
  <si>
    <t>Marine Charter Association + Gondwana</t>
  </si>
  <si>
    <t>Consumer</t>
  </si>
  <si>
    <t xml:space="preserve">Consumer (MAHE) </t>
  </si>
  <si>
    <t>SEYBREW (Seychelles Breweries)</t>
  </si>
  <si>
    <t>Airport/SCCA</t>
  </si>
  <si>
    <t>All ferries for Passengers (Cat Cocos + Cat Rose + ….)</t>
  </si>
  <si>
    <t>Sub-total</t>
  </si>
  <si>
    <t>sub-total</t>
  </si>
  <si>
    <t>TOTAL for HFO</t>
  </si>
  <si>
    <t>PUC elec generation</t>
  </si>
  <si>
    <t>Public Services</t>
  </si>
  <si>
    <t>TOTAL for Jet A-1</t>
  </si>
  <si>
    <t>SUMMARY</t>
  </si>
  <si>
    <t>Government/Public services (All org not listed in the preceding sheet)</t>
  </si>
  <si>
    <t>Share %</t>
  </si>
  <si>
    <t xml:space="preserve">ROAD TRANSPORTATION </t>
  </si>
  <si>
    <t>Police + Army Camp + SPDF+Firebrigade</t>
  </si>
  <si>
    <t>PUC</t>
  </si>
  <si>
    <t>Retailer (MAHE)</t>
  </si>
  <si>
    <t>Coast Guards</t>
  </si>
  <si>
    <t>Retailer (PRASLIN)</t>
  </si>
  <si>
    <t>Air Seychelles (Domestic) + IDC Air + SPDF Air + Helicopters</t>
  </si>
  <si>
    <t>STC (All its divisions)</t>
  </si>
  <si>
    <t>Air Sey&amp;Helicopters</t>
  </si>
  <si>
    <t>SPTC</t>
  </si>
  <si>
    <t>Construction (All Building Contractors)</t>
  </si>
  <si>
    <t>IDC</t>
  </si>
  <si>
    <t>Hotels &amp; IDC</t>
  </si>
  <si>
    <t>Others</t>
  </si>
  <si>
    <t>Public services</t>
  </si>
  <si>
    <t>Consumer (MAHE) - excluding those already listed above*</t>
  </si>
  <si>
    <t>VENTILATION OF KEROSENE</t>
  </si>
  <si>
    <t>All ferries for Cargo (Praslin Hero + Lady Genevieve,…)</t>
  </si>
  <si>
    <t>SeyParadise Offshore</t>
  </si>
  <si>
    <t>Construction</t>
  </si>
  <si>
    <t xml:space="preserve">Retailer (MAHE) </t>
  </si>
  <si>
    <t>TOTAL for LPG</t>
  </si>
  <si>
    <t xml:space="preserve">Retailer (PRASLIN) </t>
  </si>
  <si>
    <t>Cons</t>
  </si>
  <si>
    <t>UCPS (United Concrete Products of Seychelles)</t>
  </si>
  <si>
    <t>Manuf</t>
  </si>
  <si>
    <t>TOTAL for Gasoline</t>
  </si>
  <si>
    <t>LA GOGUE DAM EXTENSION PROJECT</t>
  </si>
  <si>
    <t xml:space="preserve">Government/Public services </t>
  </si>
  <si>
    <t>ARTISANAL FISHING</t>
  </si>
  <si>
    <t>Marine Transportation</t>
  </si>
  <si>
    <t>SFA</t>
  </si>
  <si>
    <t>Retail Stations</t>
  </si>
  <si>
    <t>SEYPEC Ventilation Rule of Thumb for LPG</t>
  </si>
  <si>
    <t>SLTA (Seychelles Land Transport Agency)</t>
  </si>
  <si>
    <t>Retailers (Residential)</t>
  </si>
  <si>
    <t>?? We don't know if some small quantities of gasoline</t>
  </si>
  <si>
    <t>is used in small fishermen boats</t>
  </si>
  <si>
    <t>Industrials</t>
  </si>
  <si>
    <t>Ports Authority</t>
  </si>
  <si>
    <t>Consumer (Sundry consumers/ Car hire)</t>
  </si>
  <si>
    <t>TOTAL for Gasoil</t>
  </si>
  <si>
    <t>SUMMARY FOR 2021</t>
  </si>
  <si>
    <t>Auto-Producers of Elec</t>
  </si>
  <si>
    <t>PUC Elec Generation</t>
  </si>
  <si>
    <t>Road Transportation (incl SPTC)</t>
  </si>
  <si>
    <t>SEYPEC Ventilation Rule of Thumb for Gasoil</t>
  </si>
  <si>
    <t>Hotel Auto-producers</t>
  </si>
  <si>
    <t>Road Transports</t>
  </si>
  <si>
    <t>…</t>
  </si>
  <si>
    <t>Model for Estimation of Consumption of Biomass and Kerosene in the Residential sector</t>
  </si>
  <si>
    <t>Based on the Censuses in 2002 and 2010, the table below shows the numbers of households using the speficied energy for cooking.</t>
  </si>
  <si>
    <t>In the Residential sector, the percentage of households cooking with biomass (wood or charcoal) has decreased from 1% to 0.5% between 2002 and 2010.</t>
  </si>
  <si>
    <t xml:space="preserve">Number of households cooking with the </t>
  </si>
  <si>
    <t>FUELWOOD</t>
  </si>
  <si>
    <t>Only 0.5% of households used fuelwood for cooking in 2010</t>
  </si>
  <si>
    <t>specified type of energy in 2002 vs. 2010</t>
  </si>
  <si>
    <t>Assuming that cooking a lunch or a dinner for a household requires 1 kg of fuel wood, and a breakfast requires 0.5 kg</t>
  </si>
  <si>
    <t>In a day, a household would consume the following amount of fuelwood:</t>
  </si>
  <si>
    <t>Energy for cooking</t>
  </si>
  <si>
    <t>Lunch</t>
  </si>
  <si>
    <t>kg</t>
  </si>
  <si>
    <t>In a year, a household consumes</t>
  </si>
  <si>
    <t xml:space="preserve"> 2.5 kg x 365 days =</t>
  </si>
  <si>
    <t>Gas (LPG)</t>
  </si>
  <si>
    <t>Dinner</t>
  </si>
  <si>
    <t>Density of wood:</t>
  </si>
  <si>
    <t>0.5 g/cm3  or  0.5 ton/m3</t>
  </si>
  <si>
    <t>ton</t>
  </si>
  <si>
    <t>Electricity</t>
  </si>
  <si>
    <t>Breakfast</t>
  </si>
  <si>
    <t>m3</t>
  </si>
  <si>
    <t>LPG/Electricity</t>
  </si>
  <si>
    <t>Net Calorific Value of wood: 0.233 TOE/m3</t>
  </si>
  <si>
    <t>TOE/hh.yr</t>
  </si>
  <si>
    <t>Wood</t>
  </si>
  <si>
    <t>CHARCOAL</t>
  </si>
  <si>
    <t>Only 0.04% of households used charcoal for cooking in 2010</t>
  </si>
  <si>
    <t>Charcoal</t>
  </si>
  <si>
    <t>Assuming that cooking a lunch or a dinner for a household requires 0.5 kg of charcoal, and a breakfast requires 0.3 kg</t>
  </si>
  <si>
    <t>No Cooking</t>
  </si>
  <si>
    <t>Not Stated</t>
  </si>
  <si>
    <t xml:space="preserve"> 1.3 kg x 365 days =</t>
  </si>
  <si>
    <t xml:space="preserve">kg </t>
  </si>
  <si>
    <t>Density of charcoal = 208 kg/m3</t>
  </si>
  <si>
    <t xml:space="preserve">Source: </t>
  </si>
  <si>
    <r>
      <t xml:space="preserve">Net Calorific Value of charcoal: </t>
    </r>
    <r>
      <rPr>
        <b/>
        <sz val="10"/>
        <color theme="1"/>
        <rFont val="Calibri"/>
        <family val="2"/>
        <scheme val="minor"/>
      </rPr>
      <t>0.69 TOE/ton</t>
    </r>
  </si>
  <si>
    <t xml:space="preserve">NBS, Population and Housing Census 2010, </t>
  </si>
  <si>
    <t>6.4 Energy for Lighting and Cooking</t>
  </si>
  <si>
    <t>Only 0.1% of households use kerosene for cooking in 2010</t>
  </si>
  <si>
    <t>Assuming a consumption of 0.5 litre/day of kerosene for a household</t>
  </si>
  <si>
    <t>0.5 litre x 365 days =</t>
  </si>
  <si>
    <t>L/hh.yr</t>
  </si>
  <si>
    <t>Density of Kerosene:</t>
  </si>
  <si>
    <t>0.784 kg/L</t>
  </si>
  <si>
    <t>kg/hh.yr</t>
  </si>
  <si>
    <r>
      <t>Net Calorific Value of Kerosene: 1</t>
    </r>
    <r>
      <rPr>
        <b/>
        <sz val="10"/>
        <color theme="1"/>
        <rFont val="Calibri"/>
        <family val="2"/>
        <scheme val="minor"/>
      </rPr>
      <t>.045 TOE/ton</t>
    </r>
  </si>
  <si>
    <t>Year</t>
  </si>
  <si>
    <t>Population</t>
  </si>
  <si>
    <t>Average Household size</t>
  </si>
  <si>
    <t>Households</t>
  </si>
  <si>
    <t>HH cooking with Wood 0.5%</t>
  </si>
  <si>
    <t>Consumption of Fuelwood in TOE</t>
  </si>
  <si>
    <t>HH cooking with Charcoal 0.04%</t>
  </si>
  <si>
    <t>Consumption of Charcoal in TOE</t>
  </si>
  <si>
    <t>HH cooking with kerosene 0.1%</t>
  </si>
  <si>
    <t>Consumption of Kerosene in TOE</t>
  </si>
  <si>
    <t>HH using a SWH 16.7%</t>
  </si>
  <si>
    <t>Solar Heat in TOE</t>
  </si>
  <si>
    <t>Fuelwood &amp; Charcoal</t>
  </si>
  <si>
    <t>HH: household</t>
  </si>
  <si>
    <t>SWH: solar water heater</t>
  </si>
  <si>
    <t>Estimation of Solar Heat Use in the Residential sector</t>
  </si>
  <si>
    <t>In 2010, in 9953 households surveyed, 1664 households were equipped with a solar water heater, which represents 16.7% of households</t>
  </si>
  <si>
    <t>In 2010, the total number of households was 24,770, based on the sample above there would be in the whole country roughly 4141 SWH</t>
  </si>
  <si>
    <t>Assuming that:</t>
  </si>
  <si>
    <t>Solar collector size:</t>
  </si>
  <si>
    <t>m2</t>
  </si>
  <si>
    <t>Storage tank size:</t>
  </si>
  <si>
    <t>Litre</t>
  </si>
  <si>
    <t>Maximum temperature of hot water reached in the evening:</t>
  </si>
  <si>
    <t>C</t>
  </si>
  <si>
    <t>From past experience this is the maximum temperature which may reach in some extremely sunny days in Seychelles after mixing well the hot water</t>
  </si>
  <si>
    <t>Average temperature of cold water from the mains:</t>
  </si>
  <si>
    <t>Cp = 4.182</t>
  </si>
  <si>
    <t>kJ/kg.K</t>
  </si>
  <si>
    <t>specific heat of water</t>
  </si>
  <si>
    <t>Heat required to heat this amount of water to 43 C</t>
  </si>
  <si>
    <t>kJ/day.swh</t>
  </si>
  <si>
    <t>Q = m.Cp.(T2-T1)</t>
  </si>
  <si>
    <t xml:space="preserve">Heat required annually to assure each day the availability of this hot water </t>
  </si>
  <si>
    <t>GJ/yr.swh</t>
  </si>
  <si>
    <t>Maximum amount of heat required annually for 1 solar water heater</t>
  </si>
  <si>
    <t>TOE/yr.swh</t>
  </si>
  <si>
    <t>1 TOE =</t>
  </si>
  <si>
    <t>GJ</t>
  </si>
  <si>
    <t>In practice, due to the fluctuations of solar radiation, for some days the temperature is lower in the range of 32-40C</t>
  </si>
  <si>
    <t>To take this into account, the number of full load hours for SWH is used</t>
  </si>
  <si>
    <t>hrs/yr</t>
  </si>
  <si>
    <t>The corresponding capacity factor is</t>
  </si>
  <si>
    <t>Heat actually provided by solar water heaters</t>
  </si>
  <si>
    <t>Year: 2021 draft</t>
  </si>
  <si>
    <t>ELECTRICITY STATISTICS</t>
  </si>
  <si>
    <t>1. ELECTRICITY GENERATION (PUC )</t>
  </si>
  <si>
    <t>THERMAL PLANTS</t>
  </si>
  <si>
    <t>Fuel</t>
  </si>
  <si>
    <t>Conversion</t>
  </si>
  <si>
    <t>Power Station</t>
  </si>
  <si>
    <t>Fuel Consumption</t>
  </si>
  <si>
    <t>Energy Generated</t>
  </si>
  <si>
    <t>Performance Indicators</t>
  </si>
  <si>
    <t>Station Use</t>
  </si>
  <si>
    <t>Energy Sent out</t>
  </si>
  <si>
    <t>Density</t>
  </si>
  <si>
    <t>Factor</t>
  </si>
  <si>
    <t>NCV</t>
  </si>
  <si>
    <t>L</t>
  </si>
  <si>
    <t>kWh</t>
  </si>
  <si>
    <t>GWh</t>
  </si>
  <si>
    <t>SFC  (L/kWh)</t>
  </si>
  <si>
    <t>kWh/L</t>
  </si>
  <si>
    <t>Efficiency %</t>
  </si>
  <si>
    <t>kg/L</t>
  </si>
  <si>
    <t>TOE/ton</t>
  </si>
  <si>
    <t>GJ/kg</t>
  </si>
  <si>
    <t>Fuel  Density kg/L</t>
  </si>
  <si>
    <t>Victoria B - Mahe</t>
  </si>
  <si>
    <t>LFO</t>
  </si>
  <si>
    <t>HFO</t>
  </si>
  <si>
    <t>Elec</t>
  </si>
  <si>
    <t>Source: SEYPEC</t>
  </si>
  <si>
    <t>Source: PUC Tariff review</t>
  </si>
  <si>
    <t>Victoria C - Mahe</t>
  </si>
  <si>
    <t>NCV: Net Calorific Value</t>
  </si>
  <si>
    <t>Baie Ste Anne - Praslin</t>
  </si>
  <si>
    <t>La Digue</t>
  </si>
  <si>
    <t>Grand Total</t>
  </si>
  <si>
    <t>WIND FARM</t>
  </si>
  <si>
    <t>Capacity</t>
  </si>
  <si>
    <t>Annual Op. Hours</t>
  </si>
  <si>
    <t>Station Consumption</t>
  </si>
  <si>
    <t>Ile De Romainville &amp;</t>
  </si>
  <si>
    <t>kW</t>
  </si>
  <si>
    <t>hr/yr</t>
  </si>
  <si>
    <t>CF</t>
  </si>
  <si>
    <t>FLH</t>
  </si>
  <si>
    <t>Ile du Port</t>
  </si>
  <si>
    <t>SOLAR PV</t>
  </si>
  <si>
    <t>Grid-Connected PV Plants</t>
  </si>
  <si>
    <t>On Mahe</t>
  </si>
  <si>
    <t>On Praslin</t>
  </si>
  <si>
    <t>On La Digue</t>
  </si>
  <si>
    <t>Off-Grid PV Plants</t>
  </si>
  <si>
    <t>Yr instal</t>
  </si>
  <si>
    <t>CF:</t>
  </si>
  <si>
    <t>Capacity Factor</t>
  </si>
  <si>
    <t>On Aldabra (SIF Research Centre)</t>
  </si>
  <si>
    <t>FLH:</t>
  </si>
  <si>
    <t>Full-Load Hours</t>
  </si>
  <si>
    <t>On Curieuse (Environment Div)</t>
  </si>
  <si>
    <t>On Alphonse (IDC)</t>
  </si>
  <si>
    <t>Desroches (IDC)</t>
  </si>
  <si>
    <t>Farqhar</t>
  </si>
  <si>
    <t>Astove (IDC)</t>
  </si>
  <si>
    <t>SHARE OF RENEWABLE ELECTRICITY IN FINAL ELECTRICITY CONSUMPTION</t>
  </si>
  <si>
    <t>ELECTRICITY GENERATION MIX IN PUC</t>
  </si>
  <si>
    <t>Generation</t>
  </si>
  <si>
    <t>Station Cons</t>
  </si>
  <si>
    <t>Sent Out</t>
  </si>
  <si>
    <t>Grid loss</t>
  </si>
  <si>
    <t>Sold/consumed</t>
  </si>
  <si>
    <t>Technology</t>
  </si>
  <si>
    <t>Diesel- Heavy Fuel Oil</t>
  </si>
  <si>
    <t>Diesel- Light Fuel Oil</t>
  </si>
  <si>
    <t>Total elec Sold</t>
  </si>
  <si>
    <t>Summary of Generation by Island in GWh</t>
  </si>
  <si>
    <t>Mahe</t>
  </si>
  <si>
    <t>Praslin</t>
  </si>
  <si>
    <t>Other islands</t>
  </si>
  <si>
    <t>RE share in Electricity Sold (or Final Electricity)</t>
  </si>
  <si>
    <t>By Fossil Fuel</t>
  </si>
  <si>
    <t>By Renewable Sources</t>
  </si>
  <si>
    <t>LFO Savings due to RE on ML</t>
  </si>
  <si>
    <t>ML: million litres</t>
  </si>
  <si>
    <t>RE share i total final energy consumption</t>
  </si>
  <si>
    <t>Total Sold by PUC</t>
  </si>
  <si>
    <t>Summary of Energy Flows by Island in GWh</t>
  </si>
  <si>
    <t>Produced and consumed by Autoproducers</t>
  </si>
  <si>
    <r>
      <t>Total (</t>
    </r>
    <r>
      <rPr>
        <b/>
        <sz val="10"/>
        <color rgb="FFFF0000"/>
        <rFont val="Calibri"/>
        <family val="2"/>
        <scheme val="minor"/>
      </rPr>
      <t>TOE</t>
    </r>
    <r>
      <rPr>
        <b/>
        <sz val="10"/>
        <color theme="1"/>
        <rFont val="Calibri"/>
        <family val="2"/>
        <scheme val="minor"/>
      </rPr>
      <t>)</t>
    </r>
  </si>
  <si>
    <t>Total national Cons</t>
  </si>
  <si>
    <t>Station Units</t>
  </si>
  <si>
    <t>Wind share in total electricity consumption</t>
  </si>
  <si>
    <t>Sent to T&amp;D Network</t>
  </si>
  <si>
    <t>Solar PV share in total electricity consumption</t>
  </si>
  <si>
    <t>Sold to Customers</t>
  </si>
  <si>
    <t>Oil share</t>
  </si>
  <si>
    <t>Losses</t>
  </si>
  <si>
    <t>Losses (% Generation)</t>
  </si>
  <si>
    <t>SALES</t>
  </si>
  <si>
    <t>2. ELECTRICITY SALES BY PUC (UPDATED TO 2021)</t>
  </si>
  <si>
    <t>MAHE</t>
  </si>
  <si>
    <t>Domestic</t>
  </si>
  <si>
    <t>PRASLIN</t>
  </si>
  <si>
    <t>Industrial &amp; Commercial HV</t>
  </si>
  <si>
    <r>
      <rPr>
        <b/>
        <sz val="11"/>
        <color theme="1"/>
        <rFont val="Calibri"/>
        <family val="2"/>
        <scheme val="minor"/>
      </rPr>
      <t xml:space="preserve">Industrial sector </t>
    </r>
    <r>
      <rPr>
        <sz val="11"/>
        <color theme="1"/>
        <rFont val="Calibri"/>
        <family val="2"/>
        <scheme val="minor"/>
      </rPr>
      <t>(27% of Ind&amp;Com)</t>
    </r>
  </si>
  <si>
    <t>Industrial &amp; Commercial C1 &amp; C2</t>
  </si>
  <si>
    <t>Ind&amp;Com</t>
  </si>
  <si>
    <t>Prepaid</t>
  </si>
  <si>
    <r>
      <rPr>
        <b/>
        <sz val="11"/>
        <color theme="1"/>
        <rFont val="Calibri"/>
        <family val="2"/>
        <scheme val="minor"/>
      </rPr>
      <t xml:space="preserve">Private Services </t>
    </r>
    <r>
      <rPr>
        <sz val="11"/>
        <color theme="1"/>
        <rFont val="Calibri"/>
        <family val="2"/>
        <scheme val="minor"/>
      </rPr>
      <t>(73% of Ind&amp;Com)</t>
    </r>
  </si>
  <si>
    <t>Government</t>
  </si>
  <si>
    <t>Street Lights</t>
  </si>
  <si>
    <t>3. ELECTRICITY GENERATION (AUTO-PRODUCERS )</t>
  </si>
  <si>
    <t>Auto-Producer</t>
  </si>
  <si>
    <t>SFC for LFO or gasoil</t>
  </si>
  <si>
    <t>Efficiency</t>
  </si>
  <si>
    <t>Industrial Sector</t>
  </si>
  <si>
    <t>Commercial Sector</t>
  </si>
  <si>
    <r>
      <t xml:space="preserve">kWh/L </t>
    </r>
    <r>
      <rPr>
        <vertAlign val="superscript"/>
        <sz val="10"/>
        <color theme="1"/>
        <rFont val="Calibri"/>
        <family val="2"/>
        <scheme val="minor"/>
      </rPr>
      <t>(a)</t>
    </r>
  </si>
  <si>
    <t>L/kWh</t>
  </si>
  <si>
    <t>MT/GWh</t>
  </si>
  <si>
    <t>%</t>
  </si>
  <si>
    <t>IDC (Island Developmt Co.)</t>
  </si>
  <si>
    <t>CCCS*</t>
  </si>
  <si>
    <t>Airport/SCAA</t>
  </si>
  <si>
    <t>* Central Common Cold Store</t>
  </si>
  <si>
    <t>(a) the value of 3.5 kWh/L is based on average in hotels</t>
  </si>
  <si>
    <t xml:space="preserve">4. TOTAL ELECTRICITY CONSUMPTION BY SECTOR (FROM PUC &amp; AUTO-PRODUCERS) </t>
  </si>
  <si>
    <t>Column1</t>
  </si>
  <si>
    <t>Auto-Prod</t>
  </si>
  <si>
    <t>Total2</t>
  </si>
  <si>
    <t>Structure of Primary Energy Consumption in 2021</t>
  </si>
  <si>
    <t>Structure of Final Energy Consumption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</si>
</sst>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\ _€_-;\-* #,##0.00\ _€_-;_-* &quot;-&quot;??\ _€_-;_-@_-"/>
    <numFmt numFmtId="164" formatCode="_(* #,##0.00_);_(* \(#,##0.00\);_(* &quot;-&quot;??_);_(@_)"/>
    <numFmt numFmtId="165" formatCode="0.0%"/>
    <numFmt numFmtId="166" formatCode="_(* #,##0_);_(* \(#,##0\);_(* &quot;-&quot;??_);_(@_)"/>
    <numFmt numFmtId="167" formatCode="_(* #,##0.0000_);_(* \(#,##0.0000\);_(* &quot;-&quot;??_);_(@_)"/>
    <numFmt numFmtId="168" formatCode="_(* #,##0.0_);_(* \(#,##0.0\);_(* &quot;-&quot;??_);_(@_)"/>
    <numFmt numFmtId="169" formatCode="_(* #,##0.000_);_(* \(#,##0.000\);_(* &quot;-&quot;??_);_(@_)"/>
    <numFmt numFmtId="170" formatCode="0.000%"/>
    <numFmt numFmtId="171" formatCode="0_)"/>
    <numFmt numFmtId="172" formatCode="#,##0_ ;\-#,##0\ "/>
    <numFmt numFmtId="173" formatCode="0.000"/>
    <numFmt numFmtId="174" formatCode="#,##0.0"/>
    <numFmt numFmtId="175" formatCode="_-* #,##0_-;\-* #,##0_-;_-* &quot;-&quot;??_-;_-@_-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Maiandra GD"/>
      <family val="2"/>
    </font>
    <font>
      <b/>
      <sz val="10"/>
      <name val="Calibri"/>
      <family val="2"/>
    </font>
    <font>
      <b/>
      <sz val="14"/>
      <name val="Arial"/>
      <family val="2"/>
    </font>
    <font>
      <b/>
      <sz val="10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Maiandra GD"/>
      <family val="2"/>
    </font>
    <font>
      <sz val="10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7" fillId="0" borderId="0"/>
    <xf numFmtId="0" fontId="1" fillId="0" borderId="0"/>
  </cellStyleXfs>
  <cellXfs count="936">
    <xf numFmtId="0" fontId="0" fillId="0" borderId="0" xfId="0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164" fontId="0" fillId="0" borderId="0" xfId="2" applyFont="1"/>
    <xf numFmtId="0" fontId="2" fillId="0" borderId="0" xfId="0" applyFont="1" applyAlignment="1">
      <alignment horizontal="center"/>
    </xf>
    <xf numFmtId="0" fontId="8" fillId="0" borderId="0" xfId="0" applyFont="1"/>
    <xf numFmtId="0" fontId="4" fillId="0" borderId="0" xfId="0" applyFont="1"/>
    <xf numFmtId="164" fontId="0" fillId="0" borderId="0" xfId="0" applyNumberFormat="1"/>
    <xf numFmtId="166" fontId="0" fillId="0" borderId="0" xfId="0" applyNumberFormat="1"/>
    <xf numFmtId="166" fontId="0" fillId="0" borderId="0" xfId="2" applyNumberFormat="1" applyFont="1"/>
    <xf numFmtId="0" fontId="0" fillId="7" borderId="0" xfId="0" applyFill="1"/>
    <xf numFmtId="0" fontId="0" fillId="8" borderId="6" xfId="0" applyFill="1" applyBorder="1"/>
    <xf numFmtId="0" fontId="0" fillId="8" borderId="0" xfId="0" applyFill="1"/>
    <xf numFmtId="0" fontId="0" fillId="0" borderId="5" xfId="0" applyBorder="1"/>
    <xf numFmtId="0" fontId="2" fillId="0" borderId="7" xfId="0" applyFont="1" applyBorder="1"/>
    <xf numFmtId="164" fontId="2" fillId="0" borderId="0" xfId="2" applyFont="1"/>
    <xf numFmtId="0" fontId="0" fillId="0" borderId="0" xfId="0" applyAlignment="1">
      <alignment horizontal="right"/>
    </xf>
    <xf numFmtId="9" fontId="0" fillId="0" borderId="0" xfId="1" applyFont="1"/>
    <xf numFmtId="0" fontId="12" fillId="0" borderId="0" xfId="0" applyFont="1"/>
    <xf numFmtId="168" fontId="0" fillId="0" borderId="0" xfId="0" applyNumberFormat="1"/>
    <xf numFmtId="0" fontId="0" fillId="2" borderId="15" xfId="0" applyFill="1" applyBorder="1"/>
    <xf numFmtId="168" fontId="0" fillId="0" borderId="8" xfId="2" applyNumberFormat="1" applyFont="1" applyBorder="1"/>
    <xf numFmtId="0" fontId="0" fillId="2" borderId="8" xfId="0" applyFill="1" applyBorder="1"/>
    <xf numFmtId="168" fontId="0" fillId="2" borderId="8" xfId="0" applyNumberFormat="1" applyFill="1" applyBorder="1"/>
    <xf numFmtId="168" fontId="2" fillId="12" borderId="8" xfId="2" applyNumberFormat="1" applyFont="1" applyFill="1" applyBorder="1"/>
    <xf numFmtId="0" fontId="0" fillId="2" borderId="19" xfId="0" applyFill="1" applyBorder="1"/>
    <xf numFmtId="168" fontId="0" fillId="0" borderId="0" xfId="2" applyNumberFormat="1" applyFont="1" applyBorder="1"/>
    <xf numFmtId="164" fontId="2" fillId="12" borderId="0" xfId="2" applyFont="1" applyFill="1" applyBorder="1"/>
    <xf numFmtId="0" fontId="0" fillId="2" borderId="0" xfId="0" applyFill="1"/>
    <xf numFmtId="166" fontId="0" fillId="0" borderId="0" xfId="2" applyNumberFormat="1" applyFont="1" applyBorder="1"/>
    <xf numFmtId="165" fontId="0" fillId="0" borderId="0" xfId="1" applyNumberFormat="1" applyFont="1" applyBorder="1"/>
    <xf numFmtId="168" fontId="0" fillId="0" borderId="0" xfId="1" applyNumberFormat="1" applyFont="1" applyBorder="1"/>
    <xf numFmtId="168" fontId="2" fillId="12" borderId="0" xfId="2" applyNumberFormat="1" applyFont="1" applyFill="1" applyBorder="1"/>
    <xf numFmtId="164" fontId="0" fillId="11" borderId="0" xfId="0" applyNumberFormat="1" applyFill="1"/>
    <xf numFmtId="0" fontId="0" fillId="11" borderId="0" xfId="0" applyFill="1"/>
    <xf numFmtId="168" fontId="0" fillId="2" borderId="0" xfId="0" applyNumberFormat="1" applyFill="1"/>
    <xf numFmtId="168" fontId="0" fillId="0" borderId="18" xfId="0" applyNumberFormat="1" applyBorder="1"/>
    <xf numFmtId="168" fontId="0" fillId="11" borderId="0" xfId="2" applyNumberFormat="1" applyFont="1" applyFill="1" applyBorder="1"/>
    <xf numFmtId="0" fontId="2" fillId="4" borderId="1" xfId="0" applyFont="1" applyFill="1" applyBorder="1" applyAlignment="1">
      <alignment horizontal="center" vertical="center" wrapText="1"/>
    </xf>
    <xf numFmtId="10" fontId="0" fillId="0" borderId="0" xfId="1" applyNumberFormat="1" applyFont="1"/>
    <xf numFmtId="0" fontId="0" fillId="0" borderId="0" xfId="0" quotePrefix="1"/>
    <xf numFmtId="0" fontId="13" fillId="0" borderId="1" xfId="0" applyFont="1" applyBorder="1" applyAlignment="1">
      <alignment horizontal="center" vertical="center"/>
    </xf>
    <xf numFmtId="0" fontId="0" fillId="0" borderId="18" xfId="0" applyBorder="1"/>
    <xf numFmtId="0" fontId="9" fillId="0" borderId="0" xfId="0" applyFont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17" fillId="0" borderId="0" xfId="0" applyFont="1"/>
    <xf numFmtId="164" fontId="0" fillId="0" borderId="0" xfId="2" applyFont="1" applyBorder="1"/>
    <xf numFmtId="166" fontId="2" fillId="7" borderId="0" xfId="0" applyNumberFormat="1" applyFont="1" applyFill="1"/>
    <xf numFmtId="168" fontId="14" fillId="12" borderId="1" xfId="2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165" fontId="0" fillId="11" borderId="0" xfId="1" applyNumberFormat="1" applyFont="1" applyFill="1"/>
    <xf numFmtId="0" fontId="2" fillId="11" borderId="0" xfId="0" applyFont="1" applyFill="1" applyAlignment="1">
      <alignment horizontal="center" vertical="center" wrapText="1"/>
    </xf>
    <xf numFmtId="10" fontId="0" fillId="0" borderId="0" xfId="0" applyNumberFormat="1"/>
    <xf numFmtId="0" fontId="0" fillId="3" borderId="0" xfId="0" applyFill="1"/>
    <xf numFmtId="0" fontId="3" fillId="0" borderId="0" xfId="0" applyFont="1"/>
    <xf numFmtId="166" fontId="8" fillId="0" borderId="0" xfId="2" applyNumberFormat="1" applyFont="1"/>
    <xf numFmtId="166" fontId="0" fillId="0" borderId="1" xfId="2" applyNumberFormat="1" applyFont="1" applyBorder="1"/>
    <xf numFmtId="166" fontId="2" fillId="0" borderId="1" xfId="0" applyNumberFormat="1" applyFont="1" applyBorder="1"/>
    <xf numFmtId="10" fontId="0" fillId="0" borderId="1" xfId="1" applyNumberFormat="1" applyFont="1" applyBorder="1"/>
    <xf numFmtId="170" fontId="0" fillId="0" borderId="1" xfId="1" applyNumberFormat="1" applyFont="1" applyBorder="1"/>
    <xf numFmtId="168" fontId="0" fillId="0" borderId="0" xfId="2" applyNumberFormat="1" applyFont="1"/>
    <xf numFmtId="0" fontId="14" fillId="0" borderId="0" xfId="0" applyFont="1"/>
    <xf numFmtId="0" fontId="18" fillId="0" borderId="0" xfId="0" applyFont="1"/>
    <xf numFmtId="0" fontId="11" fillId="0" borderId="0" xfId="0" applyFont="1"/>
    <xf numFmtId="0" fontId="19" fillId="16" borderId="0" xfId="0" applyFont="1" applyFill="1" applyAlignment="1">
      <alignment horizontal="left" vertical="center" wrapText="1"/>
    </xf>
    <xf numFmtId="0" fontId="19" fillId="16" borderId="0" xfId="0" applyFont="1" applyFill="1" applyAlignment="1">
      <alignment horizontal="center" vertical="center" wrapText="1"/>
    </xf>
    <xf numFmtId="166" fontId="2" fillId="0" borderId="0" xfId="2" applyNumberFormat="1" applyFont="1"/>
    <xf numFmtId="0" fontId="0" fillId="0" borderId="2" xfId="0" quotePrefix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5" fillId="0" borderId="1" xfId="0" applyFont="1" applyBorder="1" applyAlignment="1">
      <alignment horizontal="center"/>
    </xf>
    <xf numFmtId="0" fontId="3" fillId="11" borderId="0" xfId="0" applyFont="1" applyFill="1"/>
    <xf numFmtId="170" fontId="0" fillId="0" borderId="0" xfId="1" applyNumberFormat="1" applyFont="1"/>
    <xf numFmtId="0" fontId="22" fillId="0" borderId="1" xfId="0" applyFont="1" applyBorder="1" applyAlignment="1">
      <alignment horizontal="center"/>
    </xf>
    <xf numFmtId="166" fontId="0" fillId="11" borderId="0" xfId="2" applyNumberFormat="1" applyFont="1" applyFill="1" applyBorder="1"/>
    <xf numFmtId="166" fontId="0" fillId="11" borderId="0" xfId="0" applyNumberFormat="1" applyFill="1"/>
    <xf numFmtId="0" fontId="0" fillId="19" borderId="0" xfId="0" applyFill="1"/>
    <xf numFmtId="0" fontId="23" fillId="0" borderId="0" xfId="0" applyFont="1"/>
    <xf numFmtId="0" fontId="24" fillId="0" borderId="0" xfId="0" applyFont="1"/>
    <xf numFmtId="164" fontId="21" fillId="14" borderId="0" xfId="2" applyFont="1" applyFill="1" applyBorder="1"/>
    <xf numFmtId="164" fontId="21" fillId="14" borderId="8" xfId="2" applyFont="1" applyFill="1" applyBorder="1"/>
    <xf numFmtId="168" fontId="12" fillId="11" borderId="0" xfId="2" applyNumberFormat="1" applyFont="1" applyFill="1" applyBorder="1"/>
    <xf numFmtId="0" fontId="0" fillId="0" borderId="14" xfId="0" applyBorder="1"/>
    <xf numFmtId="0" fontId="0" fillId="0" borderId="19" xfId="0" applyBorder="1"/>
    <xf numFmtId="0" fontId="2" fillId="0" borderId="19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14" borderId="6" xfId="0" applyFill="1" applyBorder="1"/>
    <xf numFmtId="0" fontId="0" fillId="14" borderId="0" xfId="0" applyFill="1"/>
    <xf numFmtId="164" fontId="9" fillId="0" borderId="0" xfId="2" applyFont="1" applyBorder="1"/>
    <xf numFmtId="164" fontId="9" fillId="0" borderId="8" xfId="2" applyFont="1" applyBorder="1"/>
    <xf numFmtId="164" fontId="24" fillId="0" borderId="0" xfId="2" applyFont="1" applyBorder="1"/>
    <xf numFmtId="164" fontId="25" fillId="0" borderId="0" xfId="2" applyFont="1" applyBorder="1"/>
    <xf numFmtId="164" fontId="24" fillId="0" borderId="8" xfId="2" applyFont="1" applyBorder="1"/>
    <xf numFmtId="0" fontId="0" fillId="14" borderId="18" xfId="0" applyFill="1" applyBorder="1"/>
    <xf numFmtId="0" fontId="2" fillId="0" borderId="7" xfId="0" applyFont="1" applyBorder="1" applyAlignment="1">
      <alignment horizontal="center"/>
    </xf>
    <xf numFmtId="164" fontId="0" fillId="0" borderId="5" xfId="2" applyFont="1" applyBorder="1"/>
    <xf numFmtId="164" fontId="9" fillId="14" borderId="5" xfId="2" applyFont="1" applyFill="1" applyBorder="1"/>
    <xf numFmtId="164" fontId="9" fillId="0" borderId="5" xfId="2" applyFont="1" applyBorder="1"/>
    <xf numFmtId="164" fontId="24" fillId="0" borderId="5" xfId="2" applyFont="1" applyBorder="1"/>
    <xf numFmtId="164" fontId="2" fillId="14" borderId="13" xfId="2" applyFont="1" applyFill="1" applyBorder="1"/>
    <xf numFmtId="164" fontId="25" fillId="0" borderId="5" xfId="2" applyFont="1" applyBorder="1"/>
    <xf numFmtId="164" fontId="21" fillId="14" borderId="5" xfId="2" applyFont="1" applyFill="1" applyBorder="1"/>
    <xf numFmtId="0" fontId="16" fillId="14" borderId="6" xfId="0" applyFont="1" applyFill="1" applyBorder="1"/>
    <xf numFmtId="171" fontId="1" fillId="0" borderId="8" xfId="0" applyNumberFormat="1" applyFont="1" applyBorder="1" applyAlignment="1">
      <alignment vertical="center"/>
    </xf>
    <xf numFmtId="164" fontId="1" fillId="14" borderId="5" xfId="2" applyFont="1" applyFill="1" applyBorder="1"/>
    <xf numFmtId="164" fontId="1" fillId="0" borderId="5" xfId="2" applyFont="1" applyBorder="1"/>
    <xf numFmtId="164" fontId="1" fillId="0" borderId="0" xfId="2" applyFont="1" applyBorder="1"/>
    <xf numFmtId="164" fontId="1" fillId="0" borderId="8" xfId="2" applyFont="1" applyBorder="1"/>
    <xf numFmtId="166" fontId="15" fillId="14" borderId="5" xfId="2" applyNumberFormat="1" applyFont="1" applyFill="1" applyBorder="1" applyAlignment="1" applyProtection="1">
      <alignment vertical="center"/>
    </xf>
    <xf numFmtId="166" fontId="15" fillId="14" borderId="5" xfId="2" applyNumberFormat="1" applyFont="1" applyFill="1" applyBorder="1" applyAlignment="1">
      <alignment vertical="center"/>
    </xf>
    <xf numFmtId="166" fontId="15" fillId="0" borderId="5" xfId="2" applyNumberFormat="1" applyFont="1" applyBorder="1" applyAlignment="1" applyProtection="1">
      <alignment vertical="center"/>
    </xf>
    <xf numFmtId="166" fontId="15" fillId="0" borderId="5" xfId="2" applyNumberFormat="1" applyFont="1" applyBorder="1" applyAlignment="1">
      <alignment vertical="center"/>
    </xf>
    <xf numFmtId="166" fontId="15" fillId="0" borderId="0" xfId="2" applyNumberFormat="1" applyFont="1" applyBorder="1" applyAlignment="1">
      <alignment vertical="center"/>
    </xf>
    <xf numFmtId="166" fontId="15" fillId="0" borderId="8" xfId="2" applyNumberFormat="1" applyFont="1" applyBorder="1" applyAlignment="1">
      <alignment vertical="center"/>
    </xf>
    <xf numFmtId="0" fontId="2" fillId="14" borderId="6" xfId="0" applyFont="1" applyFill="1" applyBorder="1"/>
    <xf numFmtId="0" fontId="2" fillId="14" borderId="0" xfId="0" applyFont="1" applyFill="1"/>
    <xf numFmtId="164" fontId="11" fillId="0" borderId="0" xfId="2" applyFont="1" applyBorder="1"/>
    <xf numFmtId="164" fontId="11" fillId="0" borderId="5" xfId="2" applyFont="1" applyBorder="1"/>
    <xf numFmtId="0" fontId="2" fillId="14" borderId="16" xfId="0" applyFont="1" applyFill="1" applyBorder="1"/>
    <xf numFmtId="0" fontId="8" fillId="5" borderId="4" xfId="0" applyFont="1" applyFill="1" applyBorder="1"/>
    <xf numFmtId="0" fontId="21" fillId="5" borderId="2" xfId="0" applyFont="1" applyFill="1" applyBorder="1"/>
    <xf numFmtId="164" fontId="11" fillId="8" borderId="5" xfId="2" applyFont="1" applyFill="1" applyBorder="1"/>
    <xf numFmtId="0" fontId="2" fillId="8" borderId="6" xfId="0" applyFont="1" applyFill="1" applyBorder="1"/>
    <xf numFmtId="0" fontId="2" fillId="8" borderId="0" xfId="0" applyFont="1" applyFill="1"/>
    <xf numFmtId="164" fontId="2" fillId="8" borderId="5" xfId="2" applyFont="1" applyFill="1" applyBorder="1"/>
    <xf numFmtId="164" fontId="0" fillId="8" borderId="5" xfId="2" applyFont="1" applyFill="1" applyBorder="1"/>
    <xf numFmtId="0" fontId="2" fillId="8" borderId="16" xfId="0" applyFont="1" applyFill="1" applyBorder="1"/>
    <xf numFmtId="0" fontId="2" fillId="8" borderId="18" xfId="0" applyFont="1" applyFill="1" applyBorder="1"/>
    <xf numFmtId="164" fontId="2" fillId="8" borderId="13" xfId="2" applyFont="1" applyFill="1" applyBorder="1"/>
    <xf numFmtId="0" fontId="13" fillId="5" borderId="0" xfId="0" applyFont="1" applyFill="1" applyAlignment="1">
      <alignment horizontal="center"/>
    </xf>
    <xf numFmtId="0" fontId="6" fillId="0" borderId="0" xfId="0" applyFont="1"/>
    <xf numFmtId="166" fontId="11" fillId="0" borderId="0" xfId="2" applyNumberFormat="1" applyFont="1"/>
    <xf numFmtId="9" fontId="11" fillId="0" borderId="0" xfId="1" applyFont="1"/>
    <xf numFmtId="0" fontId="0" fillId="13" borderId="0" xfId="0" applyFill="1"/>
    <xf numFmtId="0" fontId="22" fillId="13" borderId="0" xfId="0" applyFont="1" applyFill="1"/>
    <xf numFmtId="0" fontId="11" fillId="13" borderId="0" xfId="0" applyFont="1" applyFill="1"/>
    <xf numFmtId="166" fontId="11" fillId="13" borderId="0" xfId="2" applyNumberFormat="1" applyFont="1" applyFill="1"/>
    <xf numFmtId="166" fontId="11" fillId="13" borderId="18" xfId="2" applyNumberFormat="1" applyFont="1" applyFill="1" applyBorder="1"/>
    <xf numFmtId="166" fontId="22" fillId="13" borderId="0" xfId="2" applyNumberFormat="1" applyFont="1" applyFill="1"/>
    <xf numFmtId="0" fontId="22" fillId="13" borderId="0" xfId="0" applyFont="1" applyFill="1" applyAlignment="1">
      <alignment horizontal="center"/>
    </xf>
    <xf numFmtId="0" fontId="0" fillId="20" borderId="0" xfId="0" applyFill="1"/>
    <xf numFmtId="0" fontId="22" fillId="20" borderId="0" xfId="0" applyFont="1" applyFill="1"/>
    <xf numFmtId="0" fontId="11" fillId="20" borderId="0" xfId="0" applyFont="1" applyFill="1"/>
    <xf numFmtId="166" fontId="11" fillId="20" borderId="0" xfId="2" applyNumberFormat="1" applyFont="1" applyFill="1"/>
    <xf numFmtId="166" fontId="11" fillId="20" borderId="18" xfId="2" applyNumberFormat="1" applyFont="1" applyFill="1" applyBorder="1"/>
    <xf numFmtId="166" fontId="22" fillId="20" borderId="0" xfId="2" applyNumberFormat="1" applyFont="1" applyFill="1"/>
    <xf numFmtId="0" fontId="22" fillId="7" borderId="0" xfId="0" applyFont="1" applyFill="1"/>
    <xf numFmtId="0" fontId="11" fillId="7" borderId="0" xfId="0" applyFont="1" applyFill="1"/>
    <xf numFmtId="166" fontId="11" fillId="7" borderId="0" xfId="2" applyNumberFormat="1" applyFont="1" applyFill="1"/>
    <xf numFmtId="166" fontId="11" fillId="7" borderId="18" xfId="2" applyNumberFormat="1" applyFont="1" applyFill="1" applyBorder="1"/>
    <xf numFmtId="0" fontId="11" fillId="7" borderId="0" xfId="0" applyFont="1" applyFill="1" applyAlignment="1">
      <alignment horizontal="right"/>
    </xf>
    <xf numFmtId="166" fontId="22" fillId="7" borderId="0" xfId="0" applyNumberFormat="1" applyFont="1" applyFill="1"/>
    <xf numFmtId="166" fontId="22" fillId="7" borderId="0" xfId="2" applyNumberFormat="1" applyFont="1" applyFill="1"/>
    <xf numFmtId="0" fontId="22" fillId="7" borderId="0" xfId="0" applyFont="1" applyFill="1" applyAlignment="1">
      <alignment horizontal="right"/>
    </xf>
    <xf numFmtId="166" fontId="22" fillId="7" borderId="20" xfId="0" applyNumberFormat="1" applyFont="1" applyFill="1" applyBorder="1"/>
    <xf numFmtId="0" fontId="22" fillId="7" borderId="0" xfId="0" applyFont="1" applyFill="1" applyAlignment="1">
      <alignment horizontal="center"/>
    </xf>
    <xf numFmtId="164" fontId="11" fillId="20" borderId="0" xfId="2" applyFont="1" applyFill="1"/>
    <xf numFmtId="0" fontId="28" fillId="5" borderId="1" xfId="0" applyFont="1" applyFill="1" applyBorder="1" applyAlignment="1">
      <alignment horizontal="center"/>
    </xf>
    <xf numFmtId="0" fontId="22" fillId="21" borderId="0" xfId="0" applyFont="1" applyFill="1"/>
    <xf numFmtId="0" fontId="11" fillId="21" borderId="0" xfId="0" applyFont="1" applyFill="1"/>
    <xf numFmtId="0" fontId="11" fillId="21" borderId="0" xfId="0" applyFont="1" applyFill="1" applyAlignment="1">
      <alignment horizontal="center"/>
    </xf>
    <xf numFmtId="166" fontId="11" fillId="21" borderId="0" xfId="2" applyNumberFormat="1" applyFont="1" applyFill="1"/>
    <xf numFmtId="9" fontId="11" fillId="21" borderId="0" xfId="1" applyFont="1" applyFill="1"/>
    <xf numFmtId="0" fontId="11" fillId="21" borderId="18" xfId="0" applyFont="1" applyFill="1" applyBorder="1"/>
    <xf numFmtId="166" fontId="11" fillId="21" borderId="18" xfId="2" applyNumberFormat="1" applyFont="1" applyFill="1" applyBorder="1"/>
    <xf numFmtId="165" fontId="11" fillId="21" borderId="18" xfId="1" applyNumberFormat="1" applyFont="1" applyFill="1" applyBorder="1"/>
    <xf numFmtId="166" fontId="22" fillId="21" borderId="0" xfId="0" applyNumberFormat="1" applyFont="1" applyFill="1"/>
    <xf numFmtId="9" fontId="22" fillId="21" borderId="0" xfId="1" applyFont="1" applyFill="1"/>
    <xf numFmtId="0" fontId="22" fillId="22" borderId="0" xfId="0" applyFont="1" applyFill="1"/>
    <xf numFmtId="0" fontId="11" fillId="22" borderId="0" xfId="0" applyFont="1" applyFill="1"/>
    <xf numFmtId="0" fontId="11" fillId="22" borderId="0" xfId="0" applyFont="1" applyFill="1" applyAlignment="1">
      <alignment horizontal="center"/>
    </xf>
    <xf numFmtId="166" fontId="11" fillId="22" borderId="0" xfId="2" applyNumberFormat="1" applyFont="1" applyFill="1"/>
    <xf numFmtId="9" fontId="11" fillId="22" borderId="0" xfId="1" applyFont="1" applyFill="1"/>
    <xf numFmtId="0" fontId="11" fillId="22" borderId="18" xfId="0" applyFont="1" applyFill="1" applyBorder="1"/>
    <xf numFmtId="166" fontId="11" fillId="22" borderId="18" xfId="2" applyNumberFormat="1" applyFont="1" applyFill="1" applyBorder="1"/>
    <xf numFmtId="9" fontId="11" fillId="22" borderId="18" xfId="1" applyFont="1" applyFill="1" applyBorder="1"/>
    <xf numFmtId="166" fontId="22" fillId="22" borderId="0" xfId="0" applyNumberFormat="1" applyFont="1" applyFill="1"/>
    <xf numFmtId="9" fontId="22" fillId="22" borderId="0" xfId="1" applyFont="1" applyFill="1"/>
    <xf numFmtId="0" fontId="22" fillId="12" borderId="0" xfId="0" applyFont="1" applyFill="1"/>
    <xf numFmtId="0" fontId="22" fillId="12" borderId="0" xfId="0" applyFont="1" applyFill="1" applyAlignment="1">
      <alignment horizontal="center"/>
    </xf>
    <xf numFmtId="0" fontId="11" fillId="12" borderId="0" xfId="0" applyFont="1" applyFill="1"/>
    <xf numFmtId="166" fontId="11" fillId="12" borderId="0" xfId="2" applyNumberFormat="1" applyFont="1" applyFill="1"/>
    <xf numFmtId="9" fontId="11" fillId="12" borderId="0" xfId="1" applyFont="1" applyFill="1"/>
    <xf numFmtId="0" fontId="11" fillId="12" borderId="18" xfId="0" applyFont="1" applyFill="1" applyBorder="1"/>
    <xf numFmtId="166" fontId="11" fillId="12" borderId="0" xfId="2" applyNumberFormat="1" applyFont="1" applyFill="1" applyBorder="1"/>
    <xf numFmtId="9" fontId="11" fillId="12" borderId="18" xfId="1" applyFont="1" applyFill="1" applyBorder="1"/>
    <xf numFmtId="0" fontId="11" fillId="12" borderId="0" xfId="0" applyFont="1" applyFill="1" applyAlignment="1">
      <alignment horizontal="right"/>
    </xf>
    <xf numFmtId="166" fontId="22" fillId="12" borderId="20" xfId="0" applyNumberFormat="1" applyFont="1" applyFill="1" applyBorder="1"/>
    <xf numFmtId="0" fontId="0" fillId="15" borderId="0" xfId="0" applyFill="1"/>
    <xf numFmtId="0" fontId="22" fillId="15" borderId="0" xfId="0" applyFont="1" applyFill="1" applyAlignment="1">
      <alignment horizontal="center"/>
    </xf>
    <xf numFmtId="0" fontId="22" fillId="15" borderId="0" xfId="0" applyFont="1" applyFill="1"/>
    <xf numFmtId="0" fontId="11" fillId="15" borderId="0" xfId="0" applyFont="1" applyFill="1"/>
    <xf numFmtId="166" fontId="11" fillId="15" borderId="0" xfId="2" applyNumberFormat="1" applyFont="1" applyFill="1"/>
    <xf numFmtId="0" fontId="11" fillId="15" borderId="0" xfId="0" applyFont="1" applyFill="1" applyAlignment="1">
      <alignment horizontal="center"/>
    </xf>
    <xf numFmtId="9" fontId="11" fillId="15" borderId="0" xfId="1" applyFont="1" applyFill="1"/>
    <xf numFmtId="166" fontId="22" fillId="15" borderId="0" xfId="0" applyNumberFormat="1" applyFont="1" applyFill="1"/>
    <xf numFmtId="9" fontId="22" fillId="15" borderId="0" xfId="1" applyFont="1" applyFill="1"/>
    <xf numFmtId="0" fontId="0" fillId="23" borderId="0" xfId="0" applyFill="1"/>
    <xf numFmtId="0" fontId="22" fillId="23" borderId="0" xfId="0" applyFont="1" applyFill="1"/>
    <xf numFmtId="0" fontId="11" fillId="23" borderId="0" xfId="0" applyFont="1" applyFill="1"/>
    <xf numFmtId="166" fontId="11" fillId="23" borderId="0" xfId="2" applyNumberFormat="1" applyFont="1" applyFill="1"/>
    <xf numFmtId="166" fontId="11" fillId="23" borderId="18" xfId="2" applyNumberFormat="1" applyFont="1" applyFill="1" applyBorder="1"/>
    <xf numFmtId="166" fontId="22" fillId="23" borderId="0" xfId="0" applyNumberFormat="1" applyFont="1" applyFill="1"/>
    <xf numFmtId="0" fontId="22" fillId="3" borderId="0" xfId="0" applyFont="1" applyFill="1"/>
    <xf numFmtId="0" fontId="11" fillId="3" borderId="0" xfId="0" applyFont="1" applyFill="1"/>
    <xf numFmtId="166" fontId="11" fillId="3" borderId="0" xfId="2" applyNumberFormat="1" applyFont="1" applyFill="1"/>
    <xf numFmtId="166" fontId="11" fillId="3" borderId="18" xfId="2" applyNumberFormat="1" applyFont="1" applyFill="1" applyBorder="1"/>
    <xf numFmtId="166" fontId="11" fillId="3" borderId="0" xfId="0" applyNumberFormat="1" applyFont="1" applyFill="1"/>
    <xf numFmtId="166" fontId="22" fillId="3" borderId="0" xfId="0" applyNumberFormat="1" applyFont="1" applyFill="1"/>
    <xf numFmtId="166" fontId="22" fillId="23" borderId="0" xfId="2" applyNumberFormat="1" applyFont="1" applyFill="1"/>
    <xf numFmtId="0" fontId="11" fillId="23" borderId="0" xfId="0" applyFont="1" applyFill="1" applyAlignment="1">
      <alignment horizontal="center"/>
    </xf>
    <xf numFmtId="9" fontId="11" fillId="23" borderId="0" xfId="1" applyFont="1" applyFill="1"/>
    <xf numFmtId="0" fontId="11" fillId="23" borderId="18" xfId="0" applyFont="1" applyFill="1" applyBorder="1"/>
    <xf numFmtId="9" fontId="11" fillId="23" borderId="18" xfId="1" applyFont="1" applyFill="1" applyBorder="1"/>
    <xf numFmtId="9" fontId="22" fillId="23" borderId="0" xfId="1" applyFont="1" applyFill="1"/>
    <xf numFmtId="0" fontId="22" fillId="19" borderId="0" xfId="0" applyFont="1" applyFill="1"/>
    <xf numFmtId="0" fontId="11" fillId="19" borderId="0" xfId="0" applyFont="1" applyFill="1"/>
    <xf numFmtId="9" fontId="11" fillId="19" borderId="0" xfId="1" applyFont="1" applyFill="1"/>
    <xf numFmtId="0" fontId="11" fillId="19" borderId="18" xfId="0" applyFont="1" applyFill="1" applyBorder="1"/>
    <xf numFmtId="0" fontId="22" fillId="19" borderId="18" xfId="0" applyFont="1" applyFill="1" applyBorder="1"/>
    <xf numFmtId="9" fontId="22" fillId="19" borderId="0" xfId="1" applyFont="1" applyFill="1"/>
    <xf numFmtId="9" fontId="22" fillId="19" borderId="18" xfId="1" applyFont="1" applyFill="1" applyBorder="1"/>
    <xf numFmtId="0" fontId="29" fillId="25" borderId="0" xfId="0" applyFont="1" applyFill="1"/>
    <xf numFmtId="0" fontId="18" fillId="25" borderId="0" xfId="0" applyFont="1" applyFill="1"/>
    <xf numFmtId="0" fontId="22" fillId="25" borderId="0" xfId="0" applyFont="1" applyFill="1"/>
    <xf numFmtId="9" fontId="22" fillId="25" borderId="0" xfId="1" applyFont="1" applyFill="1"/>
    <xf numFmtId="9" fontId="22" fillId="25" borderId="18" xfId="1" applyFont="1" applyFill="1" applyBorder="1"/>
    <xf numFmtId="0" fontId="11" fillId="25" borderId="0" xfId="0" applyFont="1" applyFill="1"/>
    <xf numFmtId="9" fontId="11" fillId="25" borderId="0" xfId="1" applyFont="1" applyFill="1"/>
    <xf numFmtId="0" fontId="22" fillId="25" borderId="18" xfId="0" quotePrefix="1" applyFont="1" applyFill="1" applyBorder="1"/>
    <xf numFmtId="0" fontId="11" fillId="24" borderId="19" xfId="0" applyFont="1" applyFill="1" applyBorder="1"/>
    <xf numFmtId="0" fontId="11" fillId="24" borderId="15" xfId="0" applyFont="1" applyFill="1" applyBorder="1"/>
    <xf numFmtId="0" fontId="11" fillId="24" borderId="0" xfId="0" applyFont="1" applyFill="1"/>
    <xf numFmtId="0" fontId="11" fillId="24" borderId="8" xfId="0" applyFont="1" applyFill="1" applyBorder="1"/>
    <xf numFmtId="0" fontId="11" fillId="24" borderId="18" xfId="0" applyFont="1" applyFill="1" applyBorder="1"/>
    <xf numFmtId="0" fontId="11" fillId="24" borderId="17" xfId="0" applyFont="1" applyFill="1" applyBorder="1"/>
    <xf numFmtId="0" fontId="11" fillId="10" borderId="14" xfId="0" applyFont="1" applyFill="1" applyBorder="1"/>
    <xf numFmtId="0" fontId="11" fillId="10" borderId="19" xfId="0" applyFont="1" applyFill="1" applyBorder="1"/>
    <xf numFmtId="0" fontId="0" fillId="10" borderId="19" xfId="0" applyFill="1" applyBorder="1"/>
    <xf numFmtId="0" fontId="0" fillId="10" borderId="15" xfId="0" applyFill="1" applyBorder="1"/>
    <xf numFmtId="0" fontId="11" fillId="10" borderId="16" xfId="0" applyFont="1" applyFill="1" applyBorder="1"/>
    <xf numFmtId="0" fontId="11" fillId="10" borderId="18" xfId="0" applyFont="1" applyFill="1" applyBorder="1"/>
    <xf numFmtId="0" fontId="0" fillId="10" borderId="18" xfId="0" applyFill="1" applyBorder="1"/>
    <xf numFmtId="0" fontId="0" fillId="10" borderId="17" xfId="0" applyFill="1" applyBorder="1"/>
    <xf numFmtId="166" fontId="11" fillId="15" borderId="0" xfId="2" applyNumberFormat="1" applyFont="1" applyFill="1" applyBorder="1"/>
    <xf numFmtId="168" fontId="9" fillId="0" borderId="0" xfId="2" applyNumberFormat="1" applyFont="1" applyFill="1" applyBorder="1" applyAlignment="1">
      <alignment horizontal="center"/>
    </xf>
    <xf numFmtId="168" fontId="2" fillId="0" borderId="8" xfId="2" applyNumberFormat="1" applyFont="1" applyBorder="1"/>
    <xf numFmtId="168" fontId="2" fillId="11" borderId="8" xfId="2" applyNumberFormat="1" applyFont="1" applyFill="1" applyBorder="1"/>
    <xf numFmtId="10" fontId="3" fillId="0" borderId="1" xfId="1" applyNumberFormat="1" applyFont="1" applyBorder="1"/>
    <xf numFmtId="166" fontId="2" fillId="0" borderId="0" xfId="0" applyNumberFormat="1" applyFont="1"/>
    <xf numFmtId="0" fontId="18" fillId="20" borderId="14" xfId="0" applyFont="1" applyFill="1" applyBorder="1"/>
    <xf numFmtId="0" fontId="0" fillId="20" borderId="19" xfId="0" applyFill="1" applyBorder="1"/>
    <xf numFmtId="0" fontId="0" fillId="20" borderId="15" xfId="0" applyFill="1" applyBorder="1"/>
    <xf numFmtId="0" fontId="0" fillId="20" borderId="6" xfId="0" applyFill="1" applyBorder="1"/>
    <xf numFmtId="0" fontId="0" fillId="20" borderId="16" xfId="0" applyFill="1" applyBorder="1"/>
    <xf numFmtId="0" fontId="0" fillId="20" borderId="18" xfId="0" applyFill="1" applyBorder="1"/>
    <xf numFmtId="9" fontId="0" fillId="20" borderId="17" xfId="1" applyFont="1" applyFill="1" applyBorder="1"/>
    <xf numFmtId="0" fontId="18" fillId="24" borderId="14" xfId="0" applyFont="1" applyFill="1" applyBorder="1"/>
    <xf numFmtId="0" fontId="0" fillId="24" borderId="19" xfId="0" applyFill="1" applyBorder="1"/>
    <xf numFmtId="0" fontId="0" fillId="24" borderId="15" xfId="0" applyFill="1" applyBorder="1"/>
    <xf numFmtId="0" fontId="0" fillId="24" borderId="0" xfId="0" applyFill="1"/>
    <xf numFmtId="0" fontId="0" fillId="24" borderId="16" xfId="0" applyFill="1" applyBorder="1"/>
    <xf numFmtId="0" fontId="0" fillId="24" borderId="18" xfId="0" applyFill="1" applyBorder="1"/>
    <xf numFmtId="9" fontId="0" fillId="24" borderId="17" xfId="0" applyNumberFormat="1" applyFill="1" applyBorder="1"/>
    <xf numFmtId="0" fontId="30" fillId="0" borderId="0" xfId="0" applyFont="1"/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2" xfId="0" applyFont="1" applyBorder="1"/>
    <xf numFmtId="0" fontId="11" fillId="0" borderId="0" xfId="0" applyFont="1" applyAlignment="1">
      <alignment horizontal="center"/>
    </xf>
    <xf numFmtId="0" fontId="11" fillId="9" borderId="15" xfId="0" applyFont="1" applyFill="1" applyBorder="1" applyAlignment="1">
      <alignment horizontal="center"/>
    </xf>
    <xf numFmtId="166" fontId="22" fillId="0" borderId="0" xfId="0" applyNumberFormat="1" applyFont="1" applyAlignment="1">
      <alignment horizontal="center"/>
    </xf>
    <xf numFmtId="0" fontId="22" fillId="0" borderId="0" xfId="0" applyFont="1"/>
    <xf numFmtId="166" fontId="11" fillId="0" borderId="0" xfId="0" applyNumberFormat="1" applyFont="1"/>
    <xf numFmtId="166" fontId="22" fillId="0" borderId="0" xfId="0" applyNumberFormat="1" applyFont="1"/>
    <xf numFmtId="0" fontId="22" fillId="0" borderId="1" xfId="0" applyFont="1" applyBorder="1"/>
    <xf numFmtId="0" fontId="11" fillId="11" borderId="1" xfId="0" applyFont="1" applyFill="1" applyBorder="1"/>
    <xf numFmtId="165" fontId="11" fillId="11" borderId="1" xfId="1" applyNumberFormat="1" applyFont="1" applyFill="1" applyBorder="1"/>
    <xf numFmtId="165" fontId="22" fillId="11" borderId="1" xfId="1" applyNumberFormat="1" applyFont="1" applyFill="1" applyBorder="1"/>
    <xf numFmtId="3" fontId="3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/>
    </xf>
    <xf numFmtId="164" fontId="11" fillId="0" borderId="1" xfId="2" applyFont="1" applyBorder="1" applyAlignment="1">
      <alignment horizontal="left"/>
    </xf>
    <xf numFmtId="164" fontId="11" fillId="0" borderId="1" xfId="2" applyFont="1" applyBorder="1"/>
    <xf numFmtId="164" fontId="11" fillId="0" borderId="1" xfId="0" applyNumberFormat="1" applyFont="1" applyBorder="1"/>
    <xf numFmtId="3" fontId="32" fillId="0" borderId="0" xfId="0" applyNumberFormat="1" applyFont="1" applyAlignment="1">
      <alignment horizontal="left" wrapText="1"/>
    </xf>
    <xf numFmtId="164" fontId="11" fillId="0" borderId="0" xfId="0" applyNumberFormat="1" applyFont="1"/>
    <xf numFmtId="164" fontId="11" fillId="0" borderId="1" xfId="2" applyFont="1" applyBorder="1" applyAlignment="1">
      <alignment horizontal="center"/>
    </xf>
    <xf numFmtId="165" fontId="11" fillId="0" borderId="1" xfId="1" applyNumberFormat="1" applyFont="1" applyBorder="1"/>
    <xf numFmtId="3" fontId="33" fillId="0" borderId="1" xfId="0" applyNumberFormat="1" applyFont="1" applyBorder="1" applyAlignment="1">
      <alignment horizontal="left" wrapText="1"/>
    </xf>
    <xf numFmtId="3" fontId="33" fillId="0" borderId="13" xfId="0" applyNumberFormat="1" applyFont="1" applyBorder="1" applyAlignment="1">
      <alignment horizontal="left" wrapText="1"/>
    </xf>
    <xf numFmtId="0" fontId="11" fillId="11" borderId="0" xfId="0" applyFont="1" applyFill="1"/>
    <xf numFmtId="0" fontId="11" fillId="0" borderId="0" xfId="0" applyFont="1" applyAlignment="1">
      <alignment horizontal="right"/>
    </xf>
    <xf numFmtId="168" fontId="11" fillId="11" borderId="1" xfId="2" applyNumberFormat="1" applyFont="1" applyFill="1" applyBorder="1"/>
    <xf numFmtId="168" fontId="11" fillId="0" borderId="1" xfId="2" applyNumberFormat="1" applyFont="1" applyBorder="1" applyAlignment="1">
      <alignment horizontal="left"/>
    </xf>
    <xf numFmtId="168" fontId="11" fillId="0" borderId="1" xfId="2" applyNumberFormat="1" applyFont="1" applyBorder="1"/>
    <xf numFmtId="0" fontId="22" fillId="11" borderId="0" xfId="0" applyFont="1" applyFill="1"/>
    <xf numFmtId="0" fontId="22" fillId="11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/>
    </xf>
    <xf numFmtId="0" fontId="11" fillId="11" borderId="0" xfId="0" quotePrefix="1" applyFont="1" applyFill="1"/>
    <xf numFmtId="0" fontId="11" fillId="0" borderId="7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1" fillId="0" borderId="13" xfId="0" applyFont="1" applyBorder="1" applyAlignment="1">
      <alignment horizontal="left"/>
    </xf>
    <xf numFmtId="0" fontId="11" fillId="0" borderId="7" xfId="0" applyFont="1" applyBorder="1"/>
    <xf numFmtId="0" fontId="22" fillId="0" borderId="4" xfId="0" applyFont="1" applyBorder="1" applyAlignment="1">
      <alignment horizontal="center"/>
    </xf>
    <xf numFmtId="0" fontId="11" fillId="0" borderId="2" xfId="0" applyFont="1" applyBorder="1"/>
    <xf numFmtId="0" fontId="11" fillId="0" borderId="4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" fillId="6" borderId="14" xfId="0" applyFont="1" applyFill="1" applyBorder="1"/>
    <xf numFmtId="168" fontId="0" fillId="6" borderId="19" xfId="2" applyNumberFormat="1" applyFont="1" applyFill="1" applyBorder="1"/>
    <xf numFmtId="164" fontId="0" fillId="6" borderId="19" xfId="0" applyNumberFormat="1" applyFill="1" applyBorder="1"/>
    <xf numFmtId="168" fontId="2" fillId="6" borderId="15" xfId="0" applyNumberFormat="1" applyFont="1" applyFill="1" applyBorder="1"/>
    <xf numFmtId="0" fontId="2" fillId="0" borderId="6" xfId="0" applyFont="1" applyBorder="1"/>
    <xf numFmtId="168" fontId="2" fillId="0" borderId="8" xfId="0" applyNumberFormat="1" applyFont="1" applyBorder="1"/>
    <xf numFmtId="0" fontId="2" fillId="6" borderId="16" xfId="0" applyFont="1" applyFill="1" applyBorder="1"/>
    <xf numFmtId="168" fontId="0" fillId="6" borderId="18" xfId="2" applyNumberFormat="1" applyFont="1" applyFill="1" applyBorder="1"/>
    <xf numFmtId="164" fontId="0" fillId="6" borderId="18" xfId="0" applyNumberFormat="1" applyFill="1" applyBorder="1"/>
    <xf numFmtId="168" fontId="2" fillId="6" borderId="17" xfId="0" applyNumberFormat="1" applyFont="1" applyFill="1" applyBorder="1"/>
    <xf numFmtId="168" fontId="22" fillId="0" borderId="1" xfId="0" applyNumberFormat="1" applyFont="1" applyBorder="1"/>
    <xf numFmtId="9" fontId="0" fillId="0" borderId="3" xfId="1" applyFont="1" applyBorder="1"/>
    <xf numFmtId="9" fontId="0" fillId="0" borderId="4" xfId="1" applyFont="1" applyBorder="1"/>
    <xf numFmtId="168" fontId="0" fillId="0" borderId="6" xfId="0" applyNumberFormat="1" applyBorder="1"/>
    <xf numFmtId="166" fontId="0" fillId="0" borderId="6" xfId="2" applyNumberFormat="1" applyFont="1" applyBorder="1"/>
    <xf numFmtId="168" fontId="2" fillId="12" borderId="6" xfId="2" applyNumberFormat="1" applyFont="1" applyFill="1" applyBorder="1"/>
    <xf numFmtId="168" fontId="0" fillId="0" borderId="16" xfId="0" applyNumberFormat="1" applyBorder="1"/>
    <xf numFmtId="168" fontId="0" fillId="0" borderId="17" xfId="0" applyNumberFormat="1" applyBorder="1"/>
    <xf numFmtId="9" fontId="0" fillId="0" borderId="0" xfId="1" applyFont="1" applyBorder="1"/>
    <xf numFmtId="164" fontId="39" fillId="9" borderId="14" xfId="0" applyNumberFormat="1" applyFont="1" applyFill="1" applyBorder="1"/>
    <xf numFmtId="10" fontId="2" fillId="9" borderId="19" xfId="1" applyNumberFormat="1" applyFont="1" applyFill="1" applyBorder="1"/>
    <xf numFmtId="164" fontId="0" fillId="9" borderId="6" xfId="0" applyNumberFormat="1" applyFill="1" applyBorder="1"/>
    <xf numFmtId="10" fontId="2" fillId="9" borderId="0" xfId="1" applyNumberFormat="1" applyFont="1" applyFill="1" applyBorder="1"/>
    <xf numFmtId="165" fontId="0" fillId="9" borderId="8" xfId="1" applyNumberFormat="1" applyFont="1" applyFill="1" applyBorder="1"/>
    <xf numFmtId="0" fontId="0" fillId="9" borderId="0" xfId="0" applyFill="1"/>
    <xf numFmtId="0" fontId="0" fillId="9" borderId="16" xfId="0" applyFill="1" applyBorder="1"/>
    <xf numFmtId="0" fontId="0" fillId="9" borderId="18" xfId="0" applyFill="1" applyBorder="1"/>
    <xf numFmtId="166" fontId="0" fillId="9" borderId="18" xfId="2" applyNumberFormat="1" applyFont="1" applyFill="1" applyBorder="1"/>
    <xf numFmtId="9" fontId="0" fillId="9" borderId="19" xfId="1" applyFont="1" applyFill="1" applyBorder="1" applyAlignment="1">
      <alignment horizontal="center"/>
    </xf>
    <xf numFmtId="168" fontId="9" fillId="0" borderId="0" xfId="2" applyNumberFormat="1" applyFont="1" applyBorder="1"/>
    <xf numFmtId="9" fontId="9" fillId="0" borderId="3" xfId="1" applyFont="1" applyBorder="1"/>
    <xf numFmtId="165" fontId="2" fillId="20" borderId="8" xfId="1" applyNumberFormat="1" applyFont="1" applyFill="1" applyBorder="1"/>
    <xf numFmtId="10" fontId="2" fillId="20" borderId="8" xfId="1" applyNumberFormat="1" applyFont="1" applyFill="1" applyBorder="1"/>
    <xf numFmtId="10" fontId="2" fillId="20" borderId="17" xfId="1" applyNumberFormat="1" applyFont="1" applyFill="1" applyBorder="1"/>
    <xf numFmtId="9" fontId="2" fillId="24" borderId="8" xfId="1" applyFont="1" applyFill="1" applyBorder="1"/>
    <xf numFmtId="9" fontId="2" fillId="24" borderId="17" xfId="1" applyFont="1" applyFill="1" applyBorder="1"/>
    <xf numFmtId="166" fontId="0" fillId="9" borderId="0" xfId="1" applyNumberFormat="1" applyFont="1" applyFill="1" applyBorder="1"/>
    <xf numFmtId="166" fontId="0" fillId="9" borderId="18" xfId="0" applyNumberFormat="1" applyFill="1" applyBorder="1"/>
    <xf numFmtId="165" fontId="0" fillId="9" borderId="17" xfId="1" applyNumberFormat="1" applyFont="1" applyFill="1" applyBorder="1"/>
    <xf numFmtId="9" fontId="0" fillId="9" borderId="17" xfId="1" applyFont="1" applyFill="1" applyBorder="1"/>
    <xf numFmtId="166" fontId="0" fillId="9" borderId="18" xfId="1" applyNumberFormat="1" applyFont="1" applyFill="1" applyBorder="1"/>
    <xf numFmtId="166" fontId="2" fillId="9" borderId="18" xfId="2" applyNumberFormat="1" applyFont="1" applyFill="1" applyBorder="1"/>
    <xf numFmtId="9" fontId="11" fillId="9" borderId="19" xfId="1" applyFont="1" applyFill="1" applyBorder="1" applyAlignment="1">
      <alignment horizontal="center"/>
    </xf>
    <xf numFmtId="165" fontId="2" fillId="9" borderId="8" xfId="1" applyNumberFormat="1" applyFont="1" applyFill="1" applyBorder="1"/>
    <xf numFmtId="165" fontId="2" fillId="9" borderId="17" xfId="1" applyNumberFormat="1" applyFont="1" applyFill="1" applyBorder="1"/>
    <xf numFmtId="0" fontId="6" fillId="24" borderId="6" xfId="0" applyFont="1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vertical="center" wrapText="1"/>
    </xf>
    <xf numFmtId="166" fontId="2" fillId="11" borderId="1" xfId="0" applyNumberFormat="1" applyFont="1" applyFill="1" applyBorder="1"/>
    <xf numFmtId="165" fontId="2" fillId="11" borderId="1" xfId="1" applyNumberFormat="1" applyFont="1" applyFill="1" applyBorder="1"/>
    <xf numFmtId="166" fontId="0" fillId="11" borderId="1" xfId="2" applyNumberFormat="1" applyFont="1" applyFill="1" applyBorder="1"/>
    <xf numFmtId="166" fontId="2" fillId="11" borderId="1" xfId="2" applyNumberFormat="1" applyFont="1" applyFill="1" applyBorder="1"/>
    <xf numFmtId="166" fontId="1" fillId="11" borderId="1" xfId="2" applyNumberFormat="1" applyFont="1" applyFill="1" applyBorder="1"/>
    <xf numFmtId="165" fontId="1" fillId="11" borderId="1" xfId="1" applyNumberFormat="1" applyFont="1" applyFill="1" applyBorder="1"/>
    <xf numFmtId="10" fontId="1" fillId="11" borderId="1" xfId="1" applyNumberFormat="1" applyFont="1" applyFill="1" applyBorder="1"/>
    <xf numFmtId="170" fontId="1" fillId="11" borderId="1" xfId="1" applyNumberFormat="1" applyFont="1" applyFill="1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166" fontId="16" fillId="11" borderId="1" xfId="2" applyNumberFormat="1" applyFont="1" applyFill="1" applyBorder="1"/>
    <xf numFmtId="165" fontId="16" fillId="11" borderId="1" xfId="1" applyNumberFormat="1" applyFont="1" applyFill="1" applyBorder="1"/>
    <xf numFmtId="0" fontId="3" fillId="11" borderId="1" xfId="0" applyFont="1" applyFill="1" applyBorder="1"/>
    <xf numFmtId="9" fontId="2" fillId="11" borderId="1" xfId="1" applyFont="1" applyFill="1" applyBorder="1"/>
    <xf numFmtId="9" fontId="1" fillId="11" borderId="1" xfId="1" applyFont="1" applyFill="1" applyBorder="1"/>
    <xf numFmtId="0" fontId="40" fillId="0" borderId="0" xfId="0" applyFont="1"/>
    <xf numFmtId="172" fontId="40" fillId="0" borderId="0" xfId="2" applyNumberFormat="1" applyFont="1" applyBorder="1" applyAlignment="1">
      <alignment horizontal="center" vertical="center"/>
    </xf>
    <xf numFmtId="166" fontId="24" fillId="0" borderId="0" xfId="2" applyNumberFormat="1" applyFont="1" applyAlignment="1">
      <alignment horizontal="center"/>
    </xf>
    <xf numFmtId="0" fontId="11" fillId="0" borderId="0" xfId="0" applyFont="1" applyAlignment="1">
      <alignment horizontal="left"/>
    </xf>
    <xf numFmtId="0" fontId="31" fillId="0" borderId="0" xfId="0" applyFont="1"/>
    <xf numFmtId="0" fontId="11" fillId="0" borderId="1" xfId="0" applyFont="1" applyBorder="1"/>
    <xf numFmtId="168" fontId="0" fillId="0" borderId="19" xfId="0" applyNumberFormat="1" applyBorder="1"/>
    <xf numFmtId="168" fontId="0" fillId="0" borderId="15" xfId="0" applyNumberFormat="1" applyBorder="1"/>
    <xf numFmtId="0" fontId="11" fillId="27" borderId="14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7" borderId="15" xfId="0" applyFont="1" applyFill="1" applyBorder="1" applyAlignment="1">
      <alignment horizontal="center"/>
    </xf>
    <xf numFmtId="164" fontId="11" fillId="27" borderId="0" xfId="0" applyNumberFormat="1" applyFont="1" applyFill="1"/>
    <xf numFmtId="164" fontId="11" fillId="27" borderId="8" xfId="0" applyNumberFormat="1" applyFont="1" applyFill="1" applyBorder="1"/>
    <xf numFmtId="164" fontId="11" fillId="27" borderId="18" xfId="0" applyNumberFormat="1" applyFont="1" applyFill="1" applyBorder="1"/>
    <xf numFmtId="164" fontId="11" fillId="27" borderId="17" xfId="0" applyNumberFormat="1" applyFont="1" applyFill="1" applyBorder="1"/>
    <xf numFmtId="166" fontId="11" fillId="27" borderId="6" xfId="2" applyNumberFormat="1" applyFont="1" applyFill="1" applyBorder="1"/>
    <xf numFmtId="0" fontId="11" fillId="27" borderId="0" xfId="0" applyFont="1" applyFill="1"/>
    <xf numFmtId="164" fontId="22" fillId="27" borderId="8" xfId="0" applyNumberFormat="1" applyFont="1" applyFill="1" applyBorder="1"/>
    <xf numFmtId="168" fontId="11" fillId="27" borderId="0" xfId="0" applyNumberFormat="1" applyFont="1" applyFill="1"/>
    <xf numFmtId="168" fontId="11" fillId="27" borderId="8" xfId="0" applyNumberFormat="1" applyFont="1" applyFill="1" applyBorder="1"/>
    <xf numFmtId="168" fontId="11" fillId="27" borderId="18" xfId="0" applyNumberFormat="1" applyFont="1" applyFill="1" applyBorder="1"/>
    <xf numFmtId="168" fontId="11" fillId="27" borderId="17" xfId="0" applyNumberFormat="1" applyFont="1" applyFill="1" applyBorder="1"/>
    <xf numFmtId="168" fontId="22" fillId="27" borderId="8" xfId="0" applyNumberFormat="1" applyFont="1" applyFill="1" applyBorder="1"/>
    <xf numFmtId="0" fontId="11" fillId="27" borderId="9" xfId="0" applyFont="1" applyFill="1" applyBorder="1"/>
    <xf numFmtId="0" fontId="11" fillId="27" borderId="10" xfId="0" applyFont="1" applyFill="1" applyBorder="1"/>
    <xf numFmtId="0" fontId="22" fillId="27" borderId="2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8" xfId="0" applyFont="1" applyFill="1" applyBorder="1" applyAlignment="1">
      <alignment horizontal="center"/>
    </xf>
    <xf numFmtId="0" fontId="11" fillId="27" borderId="16" xfId="0" applyFont="1" applyFill="1" applyBorder="1" applyAlignment="1">
      <alignment horizontal="center"/>
    </xf>
    <xf numFmtId="0" fontId="11" fillId="27" borderId="17" xfId="0" applyFont="1" applyFill="1" applyBorder="1" applyAlignment="1">
      <alignment horizontal="center"/>
    </xf>
    <xf numFmtId="0" fontId="11" fillId="27" borderId="6" xfId="0" applyFont="1" applyFill="1" applyBorder="1"/>
    <xf numFmtId="0" fontId="11" fillId="27" borderId="8" xfId="0" applyFont="1" applyFill="1" applyBorder="1"/>
    <xf numFmtId="164" fontId="11" fillId="27" borderId="16" xfId="2" applyFont="1" applyFill="1" applyBorder="1"/>
    <xf numFmtId="166" fontId="11" fillId="27" borderId="17" xfId="0" applyNumberFormat="1" applyFont="1" applyFill="1" applyBorder="1" applyAlignment="1">
      <alignment horizontal="center"/>
    </xf>
    <xf numFmtId="164" fontId="11" fillId="4" borderId="8" xfId="0" applyNumberFormat="1" applyFont="1" applyFill="1" applyBorder="1"/>
    <xf numFmtId="168" fontId="11" fillId="4" borderId="8" xfId="0" applyNumberFormat="1" applyFont="1" applyFill="1" applyBorder="1"/>
    <xf numFmtId="168" fontId="11" fillId="4" borderId="17" xfId="0" applyNumberFormat="1" applyFont="1" applyFill="1" applyBorder="1"/>
    <xf numFmtId="166" fontId="22" fillId="4" borderId="9" xfId="0" applyNumberFormat="1" applyFont="1" applyFill="1" applyBorder="1"/>
    <xf numFmtId="168" fontId="22" fillId="4" borderId="10" xfId="0" applyNumberFormat="1" applyFont="1" applyFill="1" applyBorder="1"/>
    <xf numFmtId="168" fontId="22" fillId="4" borderId="11" xfId="0" applyNumberFormat="1" applyFont="1" applyFill="1" applyBorder="1"/>
    <xf numFmtId="0" fontId="11" fillId="15" borderId="14" xfId="0" applyFont="1" applyFill="1" applyBorder="1" applyAlignment="1">
      <alignment horizontal="center"/>
    </xf>
    <xf numFmtId="0" fontId="11" fillId="15" borderId="19" xfId="0" applyFont="1" applyFill="1" applyBorder="1" applyAlignment="1">
      <alignment horizontal="center"/>
    </xf>
    <xf numFmtId="0" fontId="11" fillId="15" borderId="15" xfId="0" applyFont="1" applyFill="1" applyBorder="1" applyAlignment="1">
      <alignment horizontal="center"/>
    </xf>
    <xf numFmtId="164" fontId="11" fillId="15" borderId="0" xfId="2" applyFont="1" applyFill="1" applyBorder="1"/>
    <xf numFmtId="164" fontId="11" fillId="15" borderId="8" xfId="0" applyNumberFormat="1" applyFont="1" applyFill="1" applyBorder="1"/>
    <xf numFmtId="164" fontId="11" fillId="15" borderId="18" xfId="2" applyFont="1" applyFill="1" applyBorder="1"/>
    <xf numFmtId="164" fontId="11" fillId="15" borderId="17" xfId="0" applyNumberFormat="1" applyFont="1" applyFill="1" applyBorder="1"/>
    <xf numFmtId="166" fontId="22" fillId="15" borderId="6" xfId="0" applyNumberFormat="1" applyFont="1" applyFill="1" applyBorder="1"/>
    <xf numFmtId="164" fontId="22" fillId="15" borderId="0" xfId="0" applyNumberFormat="1" applyFont="1" applyFill="1"/>
    <xf numFmtId="164" fontId="22" fillId="15" borderId="8" xfId="0" applyNumberFormat="1" applyFont="1" applyFill="1" applyBorder="1"/>
    <xf numFmtId="168" fontId="11" fillId="15" borderId="0" xfId="2" applyNumberFormat="1" applyFont="1" applyFill="1" applyBorder="1"/>
    <xf numFmtId="168" fontId="11" fillId="15" borderId="8" xfId="0" applyNumberFormat="1" applyFont="1" applyFill="1" applyBorder="1"/>
    <xf numFmtId="168" fontId="11" fillId="15" borderId="18" xfId="2" applyNumberFormat="1" applyFont="1" applyFill="1" applyBorder="1"/>
    <xf numFmtId="168" fontId="11" fillId="15" borderId="17" xfId="0" applyNumberFormat="1" applyFont="1" applyFill="1" applyBorder="1"/>
    <xf numFmtId="168" fontId="22" fillId="15" borderId="0" xfId="0" applyNumberFormat="1" applyFont="1" applyFill="1"/>
    <xf numFmtId="168" fontId="22" fillId="15" borderId="8" xfId="0" applyNumberFormat="1" applyFont="1" applyFill="1" applyBorder="1"/>
    <xf numFmtId="168" fontId="22" fillId="15" borderId="10" xfId="0" applyNumberFormat="1" applyFont="1" applyFill="1" applyBorder="1"/>
    <xf numFmtId="168" fontId="22" fillId="15" borderId="11" xfId="0" applyNumberFormat="1" applyFont="1" applyFill="1" applyBorder="1"/>
    <xf numFmtId="166" fontId="11" fillId="15" borderId="16" xfId="2" applyNumberFormat="1" applyFont="1" applyFill="1" applyBorder="1"/>
    <xf numFmtId="0" fontId="11" fillId="15" borderId="6" xfId="0" applyFont="1" applyFill="1" applyBorder="1"/>
    <xf numFmtId="169" fontId="11" fillId="15" borderId="0" xfId="0" applyNumberFormat="1" applyFont="1" applyFill="1"/>
    <xf numFmtId="169" fontId="11" fillId="15" borderId="18" xfId="0" applyNumberFormat="1" applyFont="1" applyFill="1" applyBorder="1"/>
    <xf numFmtId="166" fontId="22" fillId="15" borderId="16" xfId="0" applyNumberFormat="1" applyFont="1" applyFill="1" applyBorder="1"/>
    <xf numFmtId="169" fontId="22" fillId="15" borderId="16" xfId="2" applyNumberFormat="1" applyFont="1" applyFill="1" applyBorder="1"/>
    <xf numFmtId="164" fontId="22" fillId="15" borderId="13" xfId="2" applyFont="1" applyFill="1" applyBorder="1"/>
    <xf numFmtId="164" fontId="11" fillId="15" borderId="0" xfId="0" applyNumberFormat="1" applyFont="1" applyFill="1" applyAlignment="1">
      <alignment horizontal="center"/>
    </xf>
    <xf numFmtId="166" fontId="11" fillId="15" borderId="0" xfId="0" applyNumberFormat="1" applyFont="1" applyFill="1" applyAlignment="1">
      <alignment horizontal="center"/>
    </xf>
    <xf numFmtId="166" fontId="11" fillId="15" borderId="18" xfId="0" applyNumberFormat="1" applyFont="1" applyFill="1" applyBorder="1" applyAlignment="1">
      <alignment horizontal="center"/>
    </xf>
    <xf numFmtId="3" fontId="35" fillId="15" borderId="16" xfId="0" applyNumberFormat="1" applyFont="1" applyFill="1" applyBorder="1" applyAlignment="1">
      <alignment horizontal="right" vertical="center"/>
    </xf>
    <xf numFmtId="0" fontId="11" fillId="24" borderId="0" xfId="0" applyFont="1" applyFill="1" applyAlignment="1">
      <alignment horizontal="center"/>
    </xf>
    <xf numFmtId="167" fontId="11" fillId="24" borderId="0" xfId="2" applyNumberFormat="1" applyFont="1" applyFill="1" applyBorder="1"/>
    <xf numFmtId="164" fontId="11" fillId="24" borderId="0" xfId="2" applyFont="1" applyFill="1" applyBorder="1"/>
    <xf numFmtId="165" fontId="11" fillId="24" borderId="0" xfId="1" applyNumberFormat="1" applyFont="1" applyFill="1" applyBorder="1"/>
    <xf numFmtId="167" fontId="11" fillId="24" borderId="18" xfId="2" applyNumberFormat="1" applyFont="1" applyFill="1" applyBorder="1"/>
    <xf numFmtId="164" fontId="11" fillId="24" borderId="18" xfId="2" applyFont="1" applyFill="1" applyBorder="1"/>
    <xf numFmtId="165" fontId="11" fillId="24" borderId="18" xfId="1" applyNumberFormat="1" applyFont="1" applyFill="1" applyBorder="1"/>
    <xf numFmtId="0" fontId="11" fillId="24" borderId="10" xfId="0" applyFont="1" applyFill="1" applyBorder="1"/>
    <xf numFmtId="165" fontId="22" fillId="24" borderId="10" xfId="1" applyNumberFormat="1" applyFont="1" applyFill="1" applyBorder="1"/>
    <xf numFmtId="0" fontId="11" fillId="24" borderId="14" xfId="0" applyFont="1" applyFill="1" applyBorder="1" applyAlignment="1">
      <alignment horizontal="center"/>
    </xf>
    <xf numFmtId="0" fontId="11" fillId="24" borderId="19" xfId="0" applyFont="1" applyFill="1" applyBorder="1" applyAlignment="1">
      <alignment horizontal="center"/>
    </xf>
    <xf numFmtId="165" fontId="11" fillId="24" borderId="16" xfId="1" applyNumberFormat="1" applyFont="1" applyFill="1" applyBorder="1" applyAlignment="1">
      <alignment horizontal="center"/>
    </xf>
    <xf numFmtId="168" fontId="11" fillId="24" borderId="18" xfId="0" applyNumberFormat="1" applyFont="1" applyFill="1" applyBorder="1" applyAlignment="1">
      <alignment horizontal="center"/>
    </xf>
    <xf numFmtId="165" fontId="11" fillId="24" borderId="0" xfId="1" applyNumberFormat="1" applyFont="1" applyFill="1" applyBorder="1" applyAlignment="1">
      <alignment horizontal="center"/>
    </xf>
    <xf numFmtId="168" fontId="11" fillId="24" borderId="0" xfId="0" applyNumberFormat="1" applyFont="1" applyFill="1"/>
    <xf numFmtId="165" fontId="22" fillId="24" borderId="0" xfId="1" applyNumberFormat="1" applyFont="1" applyFill="1" applyBorder="1" applyAlignment="1">
      <alignment horizontal="center"/>
    </xf>
    <xf numFmtId="168" fontId="22" fillId="24" borderId="0" xfId="0" applyNumberFormat="1" applyFont="1" applyFill="1"/>
    <xf numFmtId="0" fontId="22" fillId="24" borderId="8" xfId="0" applyFont="1" applyFill="1" applyBorder="1" applyAlignment="1">
      <alignment horizontal="center"/>
    </xf>
    <xf numFmtId="0" fontId="11" fillId="24" borderId="15" xfId="0" applyFont="1" applyFill="1" applyBorder="1" applyAlignment="1">
      <alignment horizontal="center"/>
    </xf>
    <xf numFmtId="165" fontId="11" fillId="24" borderId="8" xfId="1" applyNumberFormat="1" applyFont="1" applyFill="1" applyBorder="1" applyAlignment="1">
      <alignment horizontal="center"/>
    </xf>
    <xf numFmtId="165" fontId="11" fillId="24" borderId="17" xfId="1" applyNumberFormat="1" applyFont="1" applyFill="1" applyBorder="1" applyAlignment="1">
      <alignment horizontal="center"/>
    </xf>
    <xf numFmtId="167" fontId="11" fillId="24" borderId="16" xfId="2" applyNumberFormat="1" applyFont="1" applyFill="1" applyBorder="1"/>
    <xf numFmtId="165" fontId="11" fillId="24" borderId="17" xfId="1" applyNumberFormat="1" applyFont="1" applyFill="1" applyBorder="1"/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Alignment="1">
      <alignment horizontal="center"/>
    </xf>
    <xf numFmtId="0" fontId="11" fillId="26" borderId="8" xfId="0" applyFont="1" applyFill="1" applyBorder="1" applyAlignment="1">
      <alignment horizontal="center"/>
    </xf>
    <xf numFmtId="0" fontId="11" fillId="26" borderId="8" xfId="0" applyFont="1" applyFill="1" applyBorder="1"/>
    <xf numFmtId="0" fontId="11" fillId="26" borderId="17" xfId="0" applyFont="1" applyFill="1" applyBorder="1"/>
    <xf numFmtId="166" fontId="11" fillId="26" borderId="6" xfId="2" applyNumberFormat="1" applyFont="1" applyFill="1" applyBorder="1"/>
    <xf numFmtId="164" fontId="11" fillId="26" borderId="0" xfId="0" applyNumberFormat="1" applyFont="1" applyFill="1"/>
    <xf numFmtId="164" fontId="11" fillId="26" borderId="8" xfId="0" applyNumberFormat="1" applyFont="1" applyFill="1" applyBorder="1"/>
    <xf numFmtId="168" fontId="11" fillId="26" borderId="0" xfId="0" applyNumberFormat="1" applyFont="1" applyFill="1"/>
    <xf numFmtId="168" fontId="11" fillId="26" borderId="8" xfId="0" applyNumberFormat="1" applyFont="1" applyFill="1" applyBorder="1"/>
    <xf numFmtId="168" fontId="22" fillId="26" borderId="10" xfId="0" applyNumberFormat="1" applyFont="1" applyFill="1" applyBorder="1"/>
    <xf numFmtId="168" fontId="22" fillId="26" borderId="11" xfId="0" applyNumberFormat="1" applyFont="1" applyFill="1" applyBorder="1"/>
    <xf numFmtId="0" fontId="11" fillId="26" borderId="1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1" fillId="26" borderId="15" xfId="0" applyFont="1" applyFill="1" applyBorder="1" applyAlignment="1">
      <alignment horizontal="center"/>
    </xf>
    <xf numFmtId="164" fontId="11" fillId="26" borderId="18" xfId="0" applyNumberFormat="1" applyFont="1" applyFill="1" applyBorder="1"/>
    <xf numFmtId="164" fontId="11" fillId="26" borderId="17" xfId="0" applyNumberFormat="1" applyFont="1" applyFill="1" applyBorder="1"/>
    <xf numFmtId="0" fontId="11" fillId="26" borderId="16" xfId="0" applyFont="1" applyFill="1" applyBorder="1" applyAlignment="1">
      <alignment horizontal="center"/>
    </xf>
    <xf numFmtId="164" fontId="11" fillId="26" borderId="8" xfId="0" applyNumberFormat="1" applyFont="1" applyFill="1" applyBorder="1" applyAlignment="1">
      <alignment horizontal="center"/>
    </xf>
    <xf numFmtId="166" fontId="22" fillId="26" borderId="1" xfId="2" applyNumberFormat="1" applyFont="1" applyFill="1" applyBorder="1"/>
    <xf numFmtId="166" fontId="11" fillId="27" borderId="0" xfId="2" applyNumberFormat="1" applyFont="1" applyFill="1" applyBorder="1" applyAlignment="1">
      <alignment horizontal="center"/>
    </xf>
    <xf numFmtId="168" fontId="11" fillId="27" borderId="0" xfId="2" applyNumberFormat="1" applyFont="1" applyFill="1" applyBorder="1" applyAlignment="1">
      <alignment horizontal="center"/>
    </xf>
    <xf numFmtId="168" fontId="11" fillId="27" borderId="8" xfId="0" applyNumberFormat="1" applyFont="1" applyFill="1" applyBorder="1" applyAlignment="1">
      <alignment horizontal="center"/>
    </xf>
    <xf numFmtId="166" fontId="11" fillId="27" borderId="18" xfId="2" applyNumberFormat="1" applyFont="1" applyFill="1" applyBorder="1" applyAlignment="1">
      <alignment horizontal="center"/>
    </xf>
    <xf numFmtId="168" fontId="11" fillId="27" borderId="17" xfId="0" applyNumberFormat="1" applyFont="1" applyFill="1" applyBorder="1" applyAlignment="1">
      <alignment horizontal="center"/>
    </xf>
    <xf numFmtId="3" fontId="35" fillId="27" borderId="18" xfId="0" applyNumberFormat="1" applyFont="1" applyFill="1" applyBorder="1" applyAlignment="1">
      <alignment vertical="center"/>
    </xf>
    <xf numFmtId="166" fontId="9" fillId="0" borderId="0" xfId="0" applyNumberFormat="1" applyFont="1"/>
    <xf numFmtId="9" fontId="9" fillId="0" borderId="0" xfId="1" applyFont="1"/>
    <xf numFmtId="10" fontId="9" fillId="0" borderId="0" xfId="1" applyNumberFormat="1" applyFont="1"/>
    <xf numFmtId="0" fontId="11" fillId="4" borderId="6" xfId="0" applyFont="1" applyFill="1" applyBorder="1" applyAlignment="1">
      <alignment horizontal="center"/>
    </xf>
    <xf numFmtId="0" fontId="11" fillId="4" borderId="0" xfId="0" applyFont="1" applyFill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6" xfId="0" applyFont="1" applyFill="1" applyBorder="1"/>
    <xf numFmtId="0" fontId="11" fillId="4" borderId="0" xfId="0" applyFont="1" applyFill="1"/>
    <xf numFmtId="0" fontId="11" fillId="4" borderId="8" xfId="0" applyFont="1" applyFill="1" applyBorder="1"/>
    <xf numFmtId="0" fontId="11" fillId="4" borderId="16" xfId="0" applyFont="1" applyFill="1" applyBorder="1"/>
    <xf numFmtId="0" fontId="11" fillId="4" borderId="18" xfId="0" applyFont="1" applyFill="1" applyBorder="1"/>
    <xf numFmtId="0" fontId="11" fillId="4" borderId="17" xfId="0" applyFont="1" applyFill="1" applyBorder="1"/>
    <xf numFmtId="166" fontId="11" fillId="4" borderId="6" xfId="0" applyNumberFormat="1" applyFont="1" applyFill="1" applyBorder="1"/>
    <xf numFmtId="164" fontId="11" fillId="4" borderId="0" xfId="0" applyNumberFormat="1" applyFont="1" applyFill="1"/>
    <xf numFmtId="168" fontId="11" fillId="4" borderId="0" xfId="0" applyNumberFormat="1" applyFont="1" applyFill="1"/>
    <xf numFmtId="166" fontId="11" fillId="4" borderId="16" xfId="0" applyNumberFormat="1" applyFont="1" applyFill="1" applyBorder="1"/>
    <xf numFmtId="168" fontId="11" fillId="4" borderId="18" xfId="0" applyNumberFormat="1" applyFont="1" applyFill="1" applyBorder="1"/>
    <xf numFmtId="166" fontId="11" fillId="4" borderId="0" xfId="0" applyNumberFormat="1" applyFont="1" applyFill="1"/>
    <xf numFmtId="166" fontId="22" fillId="4" borderId="2" xfId="0" applyNumberFormat="1" applyFont="1" applyFill="1" applyBorder="1"/>
    <xf numFmtId="168" fontId="22" fillId="4" borderId="3" xfId="0" applyNumberFormat="1" applyFont="1" applyFill="1" applyBorder="1"/>
    <xf numFmtId="168" fontId="22" fillId="4" borderId="4" xfId="0" applyNumberFormat="1" applyFont="1" applyFill="1" applyBorder="1"/>
    <xf numFmtId="164" fontId="11" fillId="4" borderId="0" xfId="0" applyNumberFormat="1" applyFont="1" applyFill="1" applyAlignment="1">
      <alignment horizontal="center"/>
    </xf>
    <xf numFmtId="164" fontId="11" fillId="4" borderId="8" xfId="0" applyNumberFormat="1" applyFont="1" applyFill="1" applyBorder="1" applyAlignment="1">
      <alignment horizontal="center"/>
    </xf>
    <xf numFmtId="166" fontId="22" fillId="4" borderId="1" xfId="2" applyNumberFormat="1" applyFont="1" applyFill="1" applyBorder="1"/>
    <xf numFmtId="0" fontId="11" fillId="28" borderId="7" xfId="0" applyFont="1" applyFill="1" applyBorder="1" applyAlignment="1">
      <alignment horizontal="left"/>
    </xf>
    <xf numFmtId="0" fontId="11" fillId="28" borderId="15" xfId="0" applyFont="1" applyFill="1" applyBorder="1"/>
    <xf numFmtId="0" fontId="11" fillId="28" borderId="1" xfId="0" applyFont="1" applyFill="1" applyBorder="1" applyAlignment="1">
      <alignment horizontal="center"/>
    </xf>
    <xf numFmtId="0" fontId="11" fillId="28" borderId="1" xfId="0" applyFont="1" applyFill="1" applyBorder="1"/>
    <xf numFmtId="173" fontId="11" fillId="28" borderId="1" xfId="0" applyNumberFormat="1" applyFont="1" applyFill="1" applyBorder="1"/>
    <xf numFmtId="0" fontId="37" fillId="28" borderId="14" xfId="3" applyFill="1" applyBorder="1"/>
    <xf numFmtId="0" fontId="0" fillId="28" borderId="19" xfId="0" applyFill="1" applyBorder="1"/>
    <xf numFmtId="0" fontId="37" fillId="28" borderId="6" xfId="3" applyFill="1" applyBorder="1"/>
    <xf numFmtId="0" fontId="0" fillId="28" borderId="0" xfId="0" applyFill="1"/>
    <xf numFmtId="0" fontId="37" fillId="28" borderId="16" xfId="3" applyFill="1" applyBorder="1"/>
    <xf numFmtId="0" fontId="0" fillId="28" borderId="18" xfId="0" applyFill="1" applyBorder="1"/>
    <xf numFmtId="0" fontId="38" fillId="28" borderId="16" xfId="3" applyFont="1" applyFill="1" applyBorder="1" applyAlignment="1">
      <alignment horizontal="right"/>
    </xf>
    <xf numFmtId="166" fontId="2" fillId="28" borderId="1" xfId="0" applyNumberFormat="1" applyFont="1" applyFill="1" applyBorder="1"/>
    <xf numFmtId="0" fontId="0" fillId="28" borderId="14" xfId="0" applyFill="1" applyBorder="1"/>
    <xf numFmtId="0" fontId="17" fillId="28" borderId="19" xfId="0" applyFont="1" applyFill="1" applyBorder="1" applyAlignment="1">
      <alignment horizontal="center"/>
    </xf>
    <xf numFmtId="0" fontId="17" fillId="28" borderId="15" xfId="0" applyFont="1" applyFill="1" applyBorder="1" applyAlignment="1">
      <alignment horizontal="center"/>
    </xf>
    <xf numFmtId="0" fontId="2" fillId="28" borderId="6" xfId="0" applyFont="1" applyFill="1" applyBorder="1"/>
    <xf numFmtId="166" fontId="0" fillId="28" borderId="0" xfId="0" applyNumberFormat="1" applyFill="1"/>
    <xf numFmtId="164" fontId="0" fillId="28" borderId="8" xfId="0" applyNumberFormat="1" applyFill="1" applyBorder="1"/>
    <xf numFmtId="0" fontId="0" fillId="28" borderId="6" xfId="0" applyFill="1" applyBorder="1"/>
    <xf numFmtId="0" fontId="0" fillId="28" borderId="8" xfId="0" applyFill="1" applyBorder="1"/>
    <xf numFmtId="0" fontId="0" fillId="28" borderId="17" xfId="0" applyFill="1" applyBorder="1"/>
    <xf numFmtId="0" fontId="0" fillId="28" borderId="16" xfId="0" applyFill="1" applyBorder="1"/>
    <xf numFmtId="164" fontId="0" fillId="28" borderId="17" xfId="0" applyNumberFormat="1" applyFill="1" applyBorder="1"/>
    <xf numFmtId="166" fontId="0" fillId="28" borderId="15" xfId="0" applyNumberFormat="1" applyFill="1" applyBorder="1"/>
    <xf numFmtId="0" fontId="0" fillId="28" borderId="4" xfId="0" applyFill="1" applyBorder="1"/>
    <xf numFmtId="166" fontId="0" fillId="28" borderId="17" xfId="0" applyNumberFormat="1" applyFill="1" applyBorder="1"/>
    <xf numFmtId="0" fontId="7" fillId="18" borderId="2" xfId="0" applyFont="1" applyFill="1" applyBorder="1"/>
    <xf numFmtId="0" fontId="18" fillId="0" borderId="14" xfId="0" applyFont="1" applyBorder="1" applyAlignment="1">
      <alignment horizontal="left"/>
    </xf>
    <xf numFmtId="0" fontId="0" fillId="0" borderId="15" xfId="0" applyBorder="1"/>
    <xf numFmtId="0" fontId="0" fillId="0" borderId="17" xfId="0" applyBorder="1"/>
    <xf numFmtId="166" fontId="11" fillId="0" borderId="6" xfId="2" applyNumberFormat="1" applyFont="1" applyBorder="1"/>
    <xf numFmtId="0" fontId="11" fillId="0" borderId="6" xfId="0" applyFont="1" applyBorder="1"/>
    <xf numFmtId="0" fontId="11" fillId="0" borderId="19" xfId="0" applyFont="1" applyBorder="1"/>
    <xf numFmtId="0" fontId="15" fillId="0" borderId="0" xfId="0" applyFont="1"/>
    <xf numFmtId="0" fontId="15" fillId="0" borderId="18" xfId="0" applyFont="1" applyBorder="1"/>
    <xf numFmtId="0" fontId="15" fillId="0" borderId="6" xfId="0" applyFont="1" applyBorder="1"/>
    <xf numFmtId="0" fontId="15" fillId="0" borderId="0" xfId="0" quotePrefix="1" applyFont="1"/>
    <xf numFmtId="166" fontId="15" fillId="0" borderId="0" xfId="2" applyNumberFormat="1" applyFont="1" applyBorder="1"/>
    <xf numFmtId="0" fontId="11" fillId="0" borderId="16" xfId="0" applyFont="1" applyBorder="1"/>
    <xf numFmtId="0" fontId="11" fillId="0" borderId="18" xfId="0" applyFont="1" applyBorder="1"/>
    <xf numFmtId="1" fontId="15" fillId="0" borderId="0" xfId="0" applyNumberFormat="1" applyFont="1"/>
    <xf numFmtId="0" fontId="11" fillId="0" borderId="8" xfId="0" applyFont="1" applyBorder="1"/>
    <xf numFmtId="0" fontId="15" fillId="0" borderId="8" xfId="0" applyFont="1" applyBorder="1"/>
    <xf numFmtId="0" fontId="8" fillId="3" borderId="5" xfId="0" applyFont="1" applyFill="1" applyBorder="1" applyAlignment="1">
      <alignment horizontal="center"/>
    </xf>
    <xf numFmtId="3" fontId="15" fillId="15" borderId="5" xfId="0" applyNumberFormat="1" applyFont="1" applyFill="1" applyBorder="1" applyAlignment="1">
      <alignment horizontal="center"/>
    </xf>
    <xf numFmtId="174" fontId="35" fillId="15" borderId="5" xfId="0" applyNumberFormat="1" applyFont="1" applyFill="1" applyBorder="1" applyAlignment="1">
      <alignment horizontal="center"/>
    </xf>
    <xf numFmtId="0" fontId="22" fillId="15" borderId="1" xfId="0" applyFont="1" applyFill="1" applyBorder="1" applyAlignment="1">
      <alignment horizontal="center" vertical="center" wrapText="1"/>
    </xf>
    <xf numFmtId="3" fontId="42" fillId="15" borderId="5" xfId="0" applyNumberFormat="1" applyFont="1" applyFill="1" applyBorder="1" applyAlignment="1">
      <alignment horizontal="center"/>
    </xf>
    <xf numFmtId="3" fontId="35" fillId="15" borderId="5" xfId="0" applyNumberFormat="1" applyFont="1" applyFill="1" applyBorder="1" applyAlignment="1">
      <alignment horizontal="center"/>
    </xf>
    <xf numFmtId="3" fontId="43" fillId="15" borderId="5" xfId="0" applyNumberFormat="1" applyFont="1" applyFill="1" applyBorder="1" applyAlignment="1">
      <alignment horizontal="center"/>
    </xf>
    <xf numFmtId="174" fontId="15" fillId="15" borderId="5" xfId="0" applyNumberFormat="1" applyFont="1" applyFill="1" applyBorder="1" applyAlignment="1">
      <alignment horizontal="center"/>
    </xf>
    <xf numFmtId="0" fontId="15" fillId="0" borderId="0" xfId="0" quotePrefix="1" applyFont="1" applyAlignment="1">
      <alignment horizontal="center"/>
    </xf>
    <xf numFmtId="0" fontId="15" fillId="0" borderId="18" xfId="0" applyFont="1" applyBorder="1" applyAlignment="1">
      <alignment horizontal="center"/>
    </xf>
    <xf numFmtId="0" fontId="15" fillId="0" borderId="16" xfId="0" applyFont="1" applyBorder="1"/>
    <xf numFmtId="164" fontId="15" fillId="0" borderId="18" xfId="0" applyNumberFormat="1" applyFont="1" applyBorder="1"/>
    <xf numFmtId="0" fontId="20" fillId="0" borderId="0" xfId="0" applyFont="1"/>
    <xf numFmtId="0" fontId="35" fillId="0" borderId="4" xfId="0" applyFont="1" applyBorder="1"/>
    <xf numFmtId="166" fontId="15" fillId="0" borderId="18" xfId="2" applyNumberFormat="1" applyFont="1" applyBorder="1"/>
    <xf numFmtId="1" fontId="0" fillId="22" borderId="7" xfId="0" applyNumberFormat="1" applyFill="1" applyBorder="1" applyAlignment="1">
      <alignment horizontal="center"/>
    </xf>
    <xf numFmtId="1" fontId="0" fillId="22" borderId="5" xfId="0" applyNumberFormat="1" applyFill="1" applyBorder="1" applyAlignment="1">
      <alignment horizontal="center"/>
    </xf>
    <xf numFmtId="168" fontId="0" fillId="22" borderId="7" xfId="0" applyNumberFormat="1" applyFill="1" applyBorder="1" applyAlignment="1">
      <alignment horizontal="center"/>
    </xf>
    <xf numFmtId="168" fontId="0" fillId="22" borderId="5" xfId="0" applyNumberFormat="1" applyFill="1" applyBorder="1" applyAlignment="1">
      <alignment horizontal="center"/>
    </xf>
    <xf numFmtId="166" fontId="0" fillId="14" borderId="7" xfId="2" applyNumberFormat="1" applyFont="1" applyFill="1" applyBorder="1"/>
    <xf numFmtId="166" fontId="0" fillId="14" borderId="5" xfId="2" applyNumberFormat="1" applyFont="1" applyFill="1" applyBorder="1"/>
    <xf numFmtId="168" fontId="0" fillId="14" borderId="7" xfId="2" applyNumberFormat="1" applyFont="1" applyFill="1" applyBorder="1"/>
    <xf numFmtId="168" fontId="0" fillId="14" borderId="5" xfId="2" applyNumberFormat="1" applyFont="1" applyFill="1" applyBorder="1"/>
    <xf numFmtId="0" fontId="17" fillId="22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/>
    </xf>
    <xf numFmtId="0" fontId="22" fillId="0" borderId="4" xfId="0" applyFont="1" applyBorder="1"/>
    <xf numFmtId="0" fontId="17" fillId="8" borderId="1" xfId="0" applyFont="1" applyFill="1" applyBorder="1" applyAlignment="1">
      <alignment horizontal="center" vertical="center" wrapText="1"/>
    </xf>
    <xf numFmtId="1" fontId="0" fillId="8" borderId="7" xfId="0" applyNumberFormat="1" applyFill="1" applyBorder="1"/>
    <xf numFmtId="164" fontId="0" fillId="8" borderId="7" xfId="0" applyNumberFormat="1" applyFill="1" applyBorder="1"/>
    <xf numFmtId="1" fontId="0" fillId="8" borderId="5" xfId="0" applyNumberFormat="1" applyFill="1" applyBorder="1"/>
    <xf numFmtId="164" fontId="0" fillId="8" borderId="5" xfId="0" applyNumberFormat="1" applyFill="1" applyBorder="1"/>
    <xf numFmtId="164" fontId="35" fillId="5" borderId="2" xfId="2" applyFont="1" applyFill="1" applyBorder="1"/>
    <xf numFmtId="164" fontId="22" fillId="5" borderId="2" xfId="2" applyFont="1" applyFill="1" applyBorder="1"/>
    <xf numFmtId="166" fontId="11" fillId="6" borderId="6" xfId="2" applyNumberFormat="1" applyFont="1" applyFill="1" applyBorder="1"/>
    <xf numFmtId="165" fontId="11" fillId="6" borderId="8" xfId="1" applyNumberFormat="1" applyFont="1" applyFill="1" applyBorder="1"/>
    <xf numFmtId="166" fontId="11" fillId="18" borderId="6" xfId="2" applyNumberFormat="1" applyFont="1" applyFill="1" applyBorder="1"/>
    <xf numFmtId="165" fontId="11" fillId="18" borderId="8" xfId="1" applyNumberFormat="1" applyFont="1" applyFill="1" applyBorder="1"/>
    <xf numFmtId="166" fontId="11" fillId="6" borderId="16" xfId="2" applyNumberFormat="1" applyFont="1" applyFill="1" applyBorder="1"/>
    <xf numFmtId="165" fontId="11" fillId="6" borderId="17" xfId="1" applyNumberFormat="1" applyFont="1" applyFill="1" applyBorder="1"/>
    <xf numFmtId="166" fontId="22" fillId="6" borderId="16" xfId="2" applyNumberFormat="1" applyFont="1" applyFill="1" applyBorder="1"/>
    <xf numFmtId="165" fontId="22" fillId="6" borderId="17" xfId="1" applyNumberFormat="1" applyFont="1" applyFill="1" applyBorder="1"/>
    <xf numFmtId="166" fontId="11" fillId="17" borderId="6" xfId="2" applyNumberFormat="1" applyFont="1" applyFill="1" applyBorder="1"/>
    <xf numFmtId="165" fontId="11" fillId="17" borderId="8" xfId="1" applyNumberFormat="1" applyFont="1" applyFill="1" applyBorder="1"/>
    <xf numFmtId="166" fontId="22" fillId="18" borderId="6" xfId="2" applyNumberFormat="1" applyFont="1" applyFill="1" applyBorder="1"/>
    <xf numFmtId="10" fontId="11" fillId="18" borderId="8" xfId="1" applyNumberFormat="1" applyFont="1" applyFill="1" applyBorder="1"/>
    <xf numFmtId="166" fontId="11" fillId="17" borderId="16" xfId="2" applyNumberFormat="1" applyFont="1" applyFill="1" applyBorder="1"/>
    <xf numFmtId="165" fontId="11" fillId="17" borderId="17" xfId="1" applyNumberFormat="1" applyFont="1" applyFill="1" applyBorder="1"/>
    <xf numFmtId="166" fontId="22" fillId="17" borderId="16" xfId="2" applyNumberFormat="1" applyFont="1" applyFill="1" applyBorder="1"/>
    <xf numFmtId="165" fontId="22" fillId="17" borderId="17" xfId="1" applyNumberFormat="1" applyFont="1" applyFill="1" applyBorder="1"/>
    <xf numFmtId="0" fontId="11" fillId="18" borderId="5" xfId="0" applyFont="1" applyFill="1" applyBorder="1"/>
    <xf numFmtId="0" fontId="11" fillId="0" borderId="13" xfId="0" applyFont="1" applyBorder="1"/>
    <xf numFmtId="0" fontId="22" fillId="0" borderId="13" xfId="0" applyFont="1" applyBorder="1"/>
    <xf numFmtId="0" fontId="17" fillId="0" borderId="1" xfId="0" applyFont="1" applyBorder="1"/>
    <xf numFmtId="0" fontId="29" fillId="0" borderId="0" xfId="0" applyFont="1"/>
    <xf numFmtId="0" fontId="44" fillId="0" borderId="0" xfId="0" applyFont="1"/>
    <xf numFmtId="164" fontId="11" fillId="0" borderId="0" xfId="2" applyFont="1"/>
    <xf numFmtId="164" fontId="22" fillId="5" borderId="0" xfId="0" applyNumberFormat="1" applyFont="1" applyFill="1"/>
    <xf numFmtId="0" fontId="11" fillId="5" borderId="0" xfId="0" applyFont="1" applyFill="1"/>
    <xf numFmtId="0" fontId="11" fillId="0" borderId="0" xfId="0" quotePrefix="1" applyFont="1"/>
    <xf numFmtId="0" fontId="17" fillId="29" borderId="1" xfId="0" applyFont="1" applyFill="1" applyBorder="1" applyAlignment="1">
      <alignment horizontal="center" vertical="center" wrapText="1"/>
    </xf>
    <xf numFmtId="166" fontId="0" fillId="29" borderId="7" xfId="2" applyNumberFormat="1" applyFont="1" applyFill="1" applyBorder="1"/>
    <xf numFmtId="166" fontId="0" fillId="29" borderId="5" xfId="2" applyNumberFormat="1" applyFont="1" applyFill="1" applyBorder="1"/>
    <xf numFmtId="10" fontId="0" fillId="9" borderId="17" xfId="1" applyNumberFormat="1" applyFont="1" applyFill="1" applyBorder="1"/>
    <xf numFmtId="0" fontId="6" fillId="27" borderId="14" xfId="0" applyFont="1" applyFill="1" applyBorder="1"/>
    <xf numFmtId="0" fontId="0" fillId="27" borderId="19" xfId="0" applyFill="1" applyBorder="1"/>
    <xf numFmtId="164" fontId="2" fillId="27" borderId="15" xfId="0" applyNumberFormat="1" applyFont="1" applyFill="1" applyBorder="1"/>
    <xf numFmtId="0" fontId="6" fillId="27" borderId="6" xfId="0" applyFont="1" applyFill="1" applyBorder="1"/>
    <xf numFmtId="0" fontId="0" fillId="27" borderId="0" xfId="0" applyFill="1"/>
    <xf numFmtId="166" fontId="0" fillId="27" borderId="8" xfId="2" applyNumberFormat="1" applyFont="1" applyFill="1" applyBorder="1"/>
    <xf numFmtId="0" fontId="0" fillId="27" borderId="16" xfId="0" applyFill="1" applyBorder="1"/>
    <xf numFmtId="0" fontId="0" fillId="27" borderId="18" xfId="0" applyFill="1" applyBorder="1"/>
    <xf numFmtId="164" fontId="0" fillId="27" borderId="17" xfId="2" applyFont="1" applyFill="1" applyBorder="1"/>
    <xf numFmtId="0" fontId="0" fillId="2" borderId="14" xfId="0" applyFill="1" applyBorder="1"/>
    <xf numFmtId="164" fontId="0" fillId="0" borderId="6" xfId="0" applyNumberFormat="1" applyBorder="1"/>
    <xf numFmtId="168" fontId="0" fillId="0" borderId="6" xfId="2" applyNumberFormat="1" applyFont="1" applyBorder="1"/>
    <xf numFmtId="168" fontId="0" fillId="11" borderId="6" xfId="2" applyNumberFormat="1" applyFont="1" applyFill="1" applyBorder="1"/>
    <xf numFmtId="164" fontId="0" fillId="0" borderId="6" xfId="2" applyFont="1" applyBorder="1"/>
    <xf numFmtId="0" fontId="0" fillId="2" borderId="6" xfId="0" applyFill="1" applyBorder="1"/>
    <xf numFmtId="164" fontId="2" fillId="12" borderId="6" xfId="2" applyFont="1" applyFill="1" applyBorder="1"/>
    <xf numFmtId="168" fontId="0" fillId="2" borderId="6" xfId="0" applyNumberFormat="1" applyFill="1" applyBorder="1"/>
    <xf numFmtId="0" fontId="45" fillId="0" borderId="19" xfId="0" applyFont="1" applyBorder="1" applyAlignment="1">
      <alignment vertical="center"/>
    </xf>
    <xf numFmtId="0" fontId="3" fillId="2" borderId="7" xfId="0" applyFont="1" applyFill="1" applyBorder="1"/>
    <xf numFmtId="0" fontId="2" fillId="4" borderId="5" xfId="0" applyFont="1" applyFill="1" applyBorder="1"/>
    <xf numFmtId="0" fontId="6" fillId="12" borderId="5" xfId="0" applyFont="1" applyFill="1" applyBorder="1"/>
    <xf numFmtId="0" fontId="6" fillId="4" borderId="5" xfId="0" applyFont="1" applyFill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12" borderId="5" xfId="0" applyFont="1" applyFill="1" applyBorder="1"/>
    <xf numFmtId="0" fontId="6" fillId="4" borderId="13" xfId="0" applyFont="1" applyFill="1" applyBorder="1"/>
    <xf numFmtId="0" fontId="6" fillId="4" borderId="1" xfId="0" applyFont="1" applyFill="1" applyBorder="1"/>
    <xf numFmtId="0" fontId="45" fillId="0" borderId="0" xfId="0" applyFont="1"/>
    <xf numFmtId="164" fontId="11" fillId="27" borderId="14" xfId="2" applyFont="1" applyFill="1" applyBorder="1"/>
    <xf numFmtId="166" fontId="11" fillId="15" borderId="14" xfId="0" applyNumberFormat="1" applyFont="1" applyFill="1" applyBorder="1"/>
    <xf numFmtId="169" fontId="11" fillId="15" borderId="19" xfId="2" applyNumberFormat="1" applyFont="1" applyFill="1" applyBorder="1"/>
    <xf numFmtId="164" fontId="11" fillId="15" borderId="15" xfId="2" applyFont="1" applyFill="1" applyBorder="1"/>
    <xf numFmtId="166" fontId="22" fillId="27" borderId="16" xfId="2" applyNumberFormat="1" applyFont="1" applyFill="1" applyBorder="1" applyAlignment="1">
      <alignment horizontal="center"/>
    </xf>
    <xf numFmtId="168" fontId="22" fillId="15" borderId="18" xfId="2" applyNumberFormat="1" applyFont="1" applyFill="1" applyBorder="1"/>
    <xf numFmtId="168" fontId="22" fillId="15" borderId="17" xfId="0" applyNumberFormat="1" applyFont="1" applyFill="1" applyBorder="1"/>
    <xf numFmtId="164" fontId="24" fillId="0" borderId="0" xfId="0" applyNumberFormat="1" applyFont="1"/>
    <xf numFmtId="166" fontId="24" fillId="0" borderId="0" xfId="0" applyNumberFormat="1" applyFont="1"/>
    <xf numFmtId="0" fontId="22" fillId="0" borderId="6" xfId="0" applyFont="1" applyBorder="1" applyAlignment="1">
      <alignment horizontal="center"/>
    </xf>
    <xf numFmtId="166" fontId="24" fillId="0" borderId="0" xfId="2" applyNumberFormat="1" applyFont="1"/>
    <xf numFmtId="3" fontId="0" fillId="0" borderId="0" xfId="0" applyNumberFormat="1"/>
    <xf numFmtId="167" fontId="0" fillId="0" borderId="0" xfId="2" applyNumberFormat="1" applyFont="1"/>
    <xf numFmtId="10" fontId="0" fillId="0" borderId="0" xfId="1" applyNumberFormat="1" applyFont="1" applyBorder="1"/>
    <xf numFmtId="170" fontId="0" fillId="0" borderId="0" xfId="1" applyNumberFormat="1" applyFont="1" applyBorder="1"/>
    <xf numFmtId="168" fontId="11" fillId="5" borderId="18" xfId="2" applyNumberFormat="1" applyFont="1" applyFill="1" applyBorder="1"/>
    <xf numFmtId="0" fontId="12" fillId="0" borderId="19" xfId="0" applyFont="1" applyBorder="1" applyAlignment="1">
      <alignment vertical="center"/>
    </xf>
    <xf numFmtId="166" fontId="11" fillId="5" borderId="8" xfId="2" applyNumberFormat="1" applyFont="1" applyFill="1" applyBorder="1"/>
    <xf numFmtId="3" fontId="46" fillId="11" borderId="1" xfId="0" applyNumberFormat="1" applyFont="1" applyFill="1" applyBorder="1" applyAlignment="1">
      <alignment vertical="center"/>
    </xf>
    <xf numFmtId="3" fontId="35" fillId="5" borderId="6" xfId="0" applyNumberFormat="1" applyFont="1" applyFill="1" applyBorder="1" applyAlignment="1">
      <alignment vertical="center"/>
    </xf>
    <xf numFmtId="3" fontId="46" fillId="11" borderId="13" xfId="0" applyNumberFormat="1" applyFont="1" applyFill="1" applyBorder="1" applyAlignment="1">
      <alignment horizontal="right" vertical="center"/>
    </xf>
    <xf numFmtId="3" fontId="35" fillId="5" borderId="16" xfId="0" applyNumberFormat="1" applyFont="1" applyFill="1" applyBorder="1" applyAlignment="1">
      <alignment horizontal="right" vertical="center"/>
    </xf>
    <xf numFmtId="3" fontId="35" fillId="5" borderId="16" xfId="0" applyNumberFormat="1" applyFont="1" applyFill="1" applyBorder="1"/>
    <xf numFmtId="3" fontId="46" fillId="0" borderId="5" xfId="0" applyNumberFormat="1" applyFont="1" applyBorder="1" applyAlignment="1">
      <alignment vertical="center"/>
    </xf>
    <xf numFmtId="166" fontId="22" fillId="5" borderId="0" xfId="2" applyNumberFormat="1" applyFont="1" applyFill="1" applyBorder="1"/>
    <xf numFmtId="3" fontId="46" fillId="0" borderId="1" xfId="0" applyNumberFormat="1" applyFont="1" applyBorder="1" applyAlignment="1">
      <alignment vertical="center"/>
    </xf>
    <xf numFmtId="166" fontId="22" fillId="5" borderId="16" xfId="2" applyNumberFormat="1" applyFont="1" applyFill="1" applyBorder="1"/>
    <xf numFmtId="166" fontId="11" fillId="5" borderId="6" xfId="2" applyNumberFormat="1" applyFont="1" applyFill="1" applyBorder="1"/>
    <xf numFmtId="166" fontId="11" fillId="5" borderId="6" xfId="2" applyNumberFormat="1" applyFont="1" applyFill="1" applyBorder="1" applyAlignment="1">
      <alignment horizontal="center"/>
    </xf>
    <xf numFmtId="3" fontId="9" fillId="5" borderId="16" xfId="0" applyNumberFormat="1" applyFont="1" applyFill="1" applyBorder="1" applyAlignment="1">
      <alignment horizontal="center" vertical="center"/>
    </xf>
    <xf numFmtId="166" fontId="11" fillId="26" borderId="16" xfId="2" applyNumberFormat="1" applyFont="1" applyFill="1" applyBorder="1"/>
    <xf numFmtId="0" fontId="11" fillId="11" borderId="0" xfId="0" applyFont="1" applyFill="1" applyAlignment="1">
      <alignment horizontal="center"/>
    </xf>
    <xf numFmtId="166" fontId="11" fillId="27" borderId="0" xfId="2" applyNumberFormat="1" applyFont="1" applyFill="1" applyBorder="1"/>
    <xf numFmtId="166" fontId="22" fillId="5" borderId="6" xfId="2" applyNumberFormat="1" applyFont="1" applyFill="1" applyBorder="1"/>
    <xf numFmtId="166" fontId="22" fillId="5" borderId="18" xfId="2" applyNumberFormat="1" applyFont="1" applyFill="1" applyBorder="1"/>
    <xf numFmtId="0" fontId="22" fillId="3" borderId="1" xfId="0" applyFont="1" applyFill="1" applyBorder="1"/>
    <xf numFmtId="166" fontId="11" fillId="5" borderId="6" xfId="0" applyNumberFormat="1" applyFont="1" applyFill="1" applyBorder="1"/>
    <xf numFmtId="166" fontId="22" fillId="27" borderId="11" xfId="0" applyNumberFormat="1" applyFont="1" applyFill="1" applyBorder="1"/>
    <xf numFmtId="166" fontId="11" fillId="5" borderId="16" xfId="0" applyNumberFormat="1" applyFont="1" applyFill="1" applyBorder="1"/>
    <xf numFmtId="166" fontId="11" fillId="5" borderId="16" xfId="2" applyNumberFormat="1" applyFont="1" applyFill="1" applyBorder="1"/>
    <xf numFmtId="166" fontId="22" fillId="28" borderId="17" xfId="0" applyNumberFormat="1" applyFont="1" applyFill="1" applyBorder="1"/>
    <xf numFmtId="166" fontId="11" fillId="28" borderId="0" xfId="0" applyNumberFormat="1" applyFont="1" applyFill="1"/>
    <xf numFmtId="166" fontId="22" fillId="28" borderId="1" xfId="0" applyNumberFormat="1" applyFont="1" applyFill="1" applyBorder="1"/>
    <xf numFmtId="166" fontId="11" fillId="28" borderId="18" xfId="0" applyNumberFormat="1" applyFont="1" applyFill="1" applyBorder="1"/>
    <xf numFmtId="166" fontId="22" fillId="5" borderId="15" xfId="2" applyNumberFormat="1" applyFont="1" applyFill="1" applyBorder="1"/>
    <xf numFmtId="166" fontId="0" fillId="5" borderId="15" xfId="0" applyNumberFormat="1" applyFill="1" applyBorder="1"/>
    <xf numFmtId="175" fontId="0" fillId="5" borderId="0" xfId="2" applyNumberFormat="1" applyFont="1" applyFill="1"/>
    <xf numFmtId="166" fontId="2" fillId="5" borderId="8" xfId="0" applyNumberFormat="1" applyFont="1" applyFill="1" applyBorder="1"/>
    <xf numFmtId="0" fontId="47" fillId="7" borderId="0" xfId="0" applyFont="1" applyFill="1"/>
    <xf numFmtId="166" fontId="11" fillId="7" borderId="0" xfId="2" applyNumberFormat="1" applyFont="1" applyFill="1" applyBorder="1"/>
    <xf numFmtId="0" fontId="24" fillId="13" borderId="0" xfId="0" applyFont="1" applyFill="1"/>
    <xf numFmtId="0" fontId="41" fillId="7" borderId="0" xfId="0" applyFont="1" applyFill="1" applyAlignment="1">
      <alignment horizontal="center"/>
    </xf>
    <xf numFmtId="0" fontId="41" fillId="13" borderId="0" xfId="0" applyFont="1" applyFill="1" applyAlignment="1">
      <alignment horizontal="center"/>
    </xf>
    <xf numFmtId="0" fontId="47" fillId="20" borderId="0" xfId="0" applyFont="1" applyFill="1" applyAlignment="1">
      <alignment horizontal="center"/>
    </xf>
    <xf numFmtId="166" fontId="22" fillId="20" borderId="21" xfId="0" applyNumberFormat="1" applyFont="1" applyFill="1" applyBorder="1"/>
    <xf numFmtId="166" fontId="22" fillId="13" borderId="21" xfId="0" applyNumberFormat="1" applyFont="1" applyFill="1" applyBorder="1"/>
    <xf numFmtId="0" fontId="47" fillId="22" borderId="0" xfId="0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6" fontId="24" fillId="25" borderId="0" xfId="2" applyNumberFormat="1" applyFont="1" applyFill="1"/>
    <xf numFmtId="166" fontId="24" fillId="25" borderId="18" xfId="2" applyNumberFormat="1" applyFont="1" applyFill="1" applyBorder="1"/>
    <xf numFmtId="166" fontId="48" fillId="25" borderId="0" xfId="0" applyNumberFormat="1" applyFont="1" applyFill="1"/>
    <xf numFmtId="166" fontId="48" fillId="25" borderId="0" xfId="2" applyNumberFormat="1" applyFont="1" applyFill="1"/>
    <xf numFmtId="0" fontId="24" fillId="25" borderId="0" xfId="0" applyFont="1" applyFill="1"/>
    <xf numFmtId="166" fontId="24" fillId="25" borderId="0" xfId="2" applyNumberFormat="1" applyFont="1" applyFill="1" applyBorder="1"/>
    <xf numFmtId="166" fontId="24" fillId="25" borderId="20" xfId="0" applyNumberFormat="1" applyFont="1" applyFill="1" applyBorder="1"/>
    <xf numFmtId="0" fontId="0" fillId="25" borderId="0" xfId="0" applyFill="1"/>
    <xf numFmtId="0" fontId="22" fillId="25" borderId="0" xfId="0" applyFont="1" applyFill="1" applyAlignment="1">
      <alignment horizontal="center"/>
    </xf>
    <xf numFmtId="166" fontId="11" fillId="25" borderId="0" xfId="2" applyNumberFormat="1" applyFont="1" applyFill="1"/>
    <xf numFmtId="166" fontId="11" fillId="25" borderId="18" xfId="2" applyNumberFormat="1" applyFont="1" applyFill="1" applyBorder="1"/>
    <xf numFmtId="166" fontId="22" fillId="25" borderId="0" xfId="0" applyNumberFormat="1" applyFont="1" applyFill="1"/>
    <xf numFmtId="0" fontId="47" fillId="30" borderId="0" xfId="0" applyFont="1" applyFill="1" applyAlignment="1">
      <alignment horizontal="center"/>
    </xf>
    <xf numFmtId="166" fontId="24" fillId="30" borderId="0" xfId="2" applyNumberFormat="1" applyFont="1" applyFill="1"/>
    <xf numFmtId="166" fontId="24" fillId="30" borderId="18" xfId="2" applyNumberFormat="1" applyFont="1" applyFill="1" applyBorder="1"/>
    <xf numFmtId="0" fontId="24" fillId="30" borderId="0" xfId="0" applyFont="1" applyFill="1"/>
    <xf numFmtId="166" fontId="24" fillId="30" borderId="1" xfId="0" applyNumberFormat="1" applyFont="1" applyFill="1" applyBorder="1"/>
    <xf numFmtId="0" fontId="24" fillId="30" borderId="0" xfId="0" applyFont="1" applyFill="1" applyAlignment="1">
      <alignment horizontal="center"/>
    </xf>
    <xf numFmtId="166" fontId="24" fillId="30" borderId="0" xfId="0" applyNumberFormat="1" applyFont="1" applyFill="1"/>
    <xf numFmtId="0" fontId="47" fillId="31" borderId="0" xfId="0" applyFont="1" applyFill="1" applyAlignment="1">
      <alignment horizontal="center"/>
    </xf>
    <xf numFmtId="166" fontId="24" fillId="31" borderId="0" xfId="2" applyNumberFormat="1" applyFont="1" applyFill="1"/>
    <xf numFmtId="0" fontId="24" fillId="31" borderId="0" xfId="0" applyFont="1" applyFill="1"/>
    <xf numFmtId="166" fontId="24" fillId="31" borderId="18" xfId="2" applyNumberFormat="1" applyFont="1" applyFill="1" applyBorder="1"/>
    <xf numFmtId="166" fontId="24" fillId="31" borderId="1" xfId="0" applyNumberFormat="1" applyFont="1" applyFill="1" applyBorder="1"/>
    <xf numFmtId="164" fontId="24" fillId="31" borderId="0" xfId="2" applyFont="1" applyFill="1"/>
    <xf numFmtId="0" fontId="25" fillId="31" borderId="0" xfId="0" applyFont="1" applyFill="1" applyAlignment="1">
      <alignment horizontal="center"/>
    </xf>
    <xf numFmtId="0" fontId="24" fillId="31" borderId="0" xfId="0" applyFont="1" applyFill="1" applyAlignment="1">
      <alignment horizontal="center"/>
    </xf>
    <xf numFmtId="166" fontId="24" fillId="31" borderId="0" xfId="0" applyNumberFormat="1" applyFont="1" applyFill="1"/>
    <xf numFmtId="0" fontId="41" fillId="23" borderId="0" xfId="0" applyFont="1" applyFill="1" applyAlignment="1">
      <alignment horizontal="center"/>
    </xf>
    <xf numFmtId="166" fontId="2" fillId="23" borderId="21" xfId="2" applyNumberFormat="1" applyFont="1" applyFill="1" applyBorder="1"/>
    <xf numFmtId="0" fontId="41" fillId="32" borderId="0" xfId="0" applyFont="1" applyFill="1" applyAlignment="1">
      <alignment horizontal="center"/>
    </xf>
    <xf numFmtId="166" fontId="24" fillId="32" borderId="0" xfId="2" applyNumberFormat="1" applyFont="1" applyFill="1"/>
    <xf numFmtId="166" fontId="24" fillId="32" borderId="18" xfId="2" applyNumberFormat="1" applyFont="1" applyFill="1" applyBorder="1"/>
    <xf numFmtId="166" fontId="24" fillId="32" borderId="1" xfId="2" applyNumberFormat="1" applyFont="1" applyFill="1" applyBorder="1"/>
    <xf numFmtId="0" fontId="24" fillId="32" borderId="0" xfId="0" applyFont="1" applyFill="1"/>
    <xf numFmtId="0" fontId="24" fillId="32" borderId="0" xfId="0" applyFont="1" applyFill="1" applyAlignment="1">
      <alignment horizontal="center"/>
    </xf>
    <xf numFmtId="166" fontId="24" fillId="32" borderId="0" xfId="0" applyNumberFormat="1" applyFont="1" applyFill="1"/>
    <xf numFmtId="166" fontId="24" fillId="15" borderId="0" xfId="2" applyNumberFormat="1" applyFont="1" applyFill="1"/>
    <xf numFmtId="166" fontId="24" fillId="15" borderId="0" xfId="2" applyNumberFormat="1" applyFont="1" applyFill="1" applyBorder="1"/>
    <xf numFmtId="0" fontId="24" fillId="15" borderId="0" xfId="0" applyFont="1" applyFill="1"/>
    <xf numFmtId="0" fontId="24" fillId="15" borderId="0" xfId="0" applyFont="1" applyFill="1" applyAlignment="1">
      <alignment horizontal="center"/>
    </xf>
    <xf numFmtId="166" fontId="48" fillId="15" borderId="0" xfId="0" applyNumberFormat="1" applyFont="1" applyFill="1"/>
    <xf numFmtId="166" fontId="0" fillId="15" borderId="21" xfId="0" applyNumberFormat="1" applyFill="1" applyBorder="1"/>
    <xf numFmtId="166" fontId="24" fillId="15" borderId="1" xfId="0" applyNumberFormat="1" applyFont="1" applyFill="1" applyBorder="1"/>
    <xf numFmtId="0" fontId="12" fillId="1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7" fillId="3" borderId="0" xfId="0" applyFont="1" applyFill="1" applyAlignment="1">
      <alignment horizontal="center"/>
    </xf>
    <xf numFmtId="0" fontId="22" fillId="26" borderId="2" xfId="0" applyFont="1" applyFill="1" applyBorder="1"/>
    <xf numFmtId="0" fontId="22" fillId="26" borderId="4" xfId="0" applyFont="1" applyFill="1" applyBorder="1"/>
    <xf numFmtId="0" fontId="22" fillId="4" borderId="3" xfId="0" applyFont="1" applyFill="1" applyBorder="1"/>
    <xf numFmtId="0" fontId="22" fillId="4" borderId="4" xfId="0" applyFont="1" applyFill="1" applyBorder="1"/>
    <xf numFmtId="0" fontId="11" fillId="24" borderId="6" xfId="0" applyFont="1" applyFill="1" applyBorder="1" applyAlignment="1">
      <alignment horizontal="center"/>
    </xf>
    <xf numFmtId="0" fontId="11" fillId="24" borderId="16" xfId="0" applyFont="1" applyFill="1" applyBorder="1" applyAlignment="1">
      <alignment horizontal="center"/>
    </xf>
    <xf numFmtId="164" fontId="11" fillId="24" borderId="16" xfId="2" applyFont="1" applyFill="1" applyBorder="1"/>
    <xf numFmtId="169" fontId="11" fillId="24" borderId="6" xfId="2" applyNumberFormat="1" applyFont="1" applyFill="1" applyBorder="1" applyAlignment="1">
      <alignment horizontal="center"/>
    </xf>
    <xf numFmtId="169" fontId="11" fillId="24" borderId="16" xfId="2" applyNumberFormat="1" applyFont="1" applyFill="1" applyBorder="1" applyAlignment="1">
      <alignment horizontal="center"/>
    </xf>
    <xf numFmtId="164" fontId="0" fillId="24" borderId="5" xfId="0" applyNumberFormat="1" applyFill="1" applyBorder="1"/>
    <xf numFmtId="164" fontId="0" fillId="24" borderId="13" xfId="0" applyNumberFormat="1" applyFill="1" applyBorder="1"/>
    <xf numFmtId="0" fontId="0" fillId="24" borderId="13" xfId="0" applyFill="1" applyBorder="1"/>
    <xf numFmtId="0" fontId="11" fillId="24" borderId="7" xfId="0" applyFont="1" applyFill="1" applyBorder="1" applyAlignment="1">
      <alignment horizontal="center"/>
    </xf>
    <xf numFmtId="164" fontId="11" fillId="26" borderId="6" xfId="2" applyFont="1" applyFill="1" applyBorder="1" applyAlignment="1">
      <alignment horizontal="center"/>
    </xf>
    <xf numFmtId="166" fontId="22" fillId="4" borderId="4" xfId="2" applyNumberFormat="1" applyFont="1" applyFill="1" applyBorder="1"/>
    <xf numFmtId="168" fontId="11" fillId="0" borderId="1" xfId="0" applyNumberFormat="1" applyFont="1" applyBorder="1"/>
    <xf numFmtId="169" fontId="11" fillId="26" borderId="0" xfId="0" applyNumberFormat="1" applyFont="1" applyFill="1"/>
    <xf numFmtId="175" fontId="0" fillId="0" borderId="0" xfId="2" applyNumberFormat="1" applyFont="1"/>
    <xf numFmtId="175" fontId="24" fillId="0" borderId="0" xfId="2" applyNumberFormat="1" applyFont="1"/>
    <xf numFmtId="175" fontId="0" fillId="0" borderId="0" xfId="0" applyNumberFormat="1"/>
    <xf numFmtId="168" fontId="22" fillId="5" borderId="1" xfId="2" applyNumberFormat="1" applyFont="1" applyFill="1" applyBorder="1"/>
    <xf numFmtId="168" fontId="11" fillId="5" borderId="1" xfId="2" applyNumberFormat="1" applyFont="1" applyFill="1" applyBorder="1" applyAlignment="1">
      <alignment horizontal="left"/>
    </xf>
    <xf numFmtId="169" fontId="11" fillId="0" borderId="1" xfId="0" applyNumberFormat="1" applyFont="1" applyBorder="1"/>
    <xf numFmtId="0" fontId="11" fillId="33" borderId="1" xfId="0" applyFont="1" applyFill="1" applyBorder="1"/>
    <xf numFmtId="0" fontId="0" fillId="17" borderId="6" xfId="0" applyFill="1" applyBorder="1"/>
    <xf numFmtId="168" fontId="0" fillId="17" borderId="0" xfId="2" applyNumberFormat="1" applyFont="1" applyFill="1" applyBorder="1"/>
    <xf numFmtId="168" fontId="0" fillId="17" borderId="0" xfId="0" applyNumberFormat="1" applyFill="1"/>
    <xf numFmtId="0" fontId="0" fillId="17" borderId="0" xfId="0" applyFill="1"/>
    <xf numFmtId="9" fontId="12" fillId="0" borderId="2" xfId="1" applyFont="1" applyBorder="1"/>
    <xf numFmtId="9" fontId="12" fillId="0" borderId="3" xfId="1" applyFont="1" applyBorder="1"/>
    <xf numFmtId="0" fontId="0" fillId="34" borderId="0" xfId="0" applyFill="1"/>
    <xf numFmtId="0" fontId="2" fillId="34" borderId="0" xfId="0" applyFont="1" applyFill="1"/>
    <xf numFmtId="172" fontId="40" fillId="34" borderId="0" xfId="2" applyNumberFormat="1" applyFont="1" applyFill="1" applyBorder="1" applyAlignment="1">
      <alignment horizontal="center" vertical="center"/>
    </xf>
    <xf numFmtId="0" fontId="11" fillId="34" borderId="0" xfId="0" applyFont="1" applyFill="1"/>
    <xf numFmtId="166" fontId="11" fillId="34" borderId="0" xfId="0" applyNumberFormat="1" applyFont="1" applyFill="1"/>
    <xf numFmtId="3" fontId="11" fillId="34" borderId="0" xfId="0" applyNumberFormat="1" applyFont="1" applyFill="1"/>
    <xf numFmtId="166" fontId="11" fillId="34" borderId="0" xfId="2" applyNumberFormat="1" applyFont="1" applyFill="1"/>
    <xf numFmtId="165" fontId="11" fillId="34" borderId="0" xfId="0" applyNumberFormat="1" applyFont="1" applyFill="1"/>
    <xf numFmtId="0" fontId="22" fillId="34" borderId="0" xfId="0" applyFont="1" applyFill="1"/>
    <xf numFmtId="166" fontId="22" fillId="34" borderId="0" xfId="0" applyNumberFormat="1" applyFont="1" applyFill="1"/>
    <xf numFmtId="175" fontId="11" fillId="34" borderId="0" xfId="0" applyNumberFormat="1" applyFont="1" applyFill="1"/>
    <xf numFmtId="10" fontId="22" fillId="34" borderId="0" xfId="1" applyNumberFormat="1" applyFont="1" applyFill="1"/>
    <xf numFmtId="165" fontId="22" fillId="34" borderId="0" xfId="1" applyNumberFormat="1" applyFont="1" applyFill="1"/>
    <xf numFmtId="3" fontId="46" fillId="11" borderId="1" xfId="0" applyNumberFormat="1" applyFont="1" applyFill="1" applyBorder="1" applyAlignment="1">
      <alignment horizontal="right" vertical="center"/>
    </xf>
    <xf numFmtId="166" fontId="11" fillId="5" borderId="16" xfId="2" applyNumberFormat="1" applyFont="1" applyFill="1" applyBorder="1" applyAlignment="1">
      <alignment horizontal="center"/>
    </xf>
    <xf numFmtId="166" fontId="47" fillId="14" borderId="0" xfId="2" applyNumberFormat="1" applyFont="1" applyFill="1" applyBorder="1" applyAlignment="1">
      <alignment vertical="center"/>
    </xf>
    <xf numFmtId="166" fontId="47" fillId="14" borderId="5" xfId="2" applyNumberFormat="1" applyFont="1" applyFill="1" applyBorder="1" applyAlignment="1" applyProtection="1">
      <alignment vertical="center"/>
    </xf>
    <xf numFmtId="166" fontId="47" fillId="14" borderId="5" xfId="2" applyNumberFormat="1" applyFont="1" applyFill="1" applyBorder="1" applyAlignment="1">
      <alignment vertical="center"/>
    </xf>
    <xf numFmtId="171" fontId="12" fillId="14" borderId="8" xfId="0" applyNumberFormat="1" applyFont="1" applyFill="1" applyBorder="1" applyAlignment="1">
      <alignment vertical="center"/>
    </xf>
    <xf numFmtId="166" fontId="47" fillId="0" borderId="0" xfId="2" applyNumberFormat="1" applyFont="1" applyBorder="1" applyAlignment="1" applyProtection="1">
      <alignment vertical="center"/>
    </xf>
    <xf numFmtId="166" fontId="47" fillId="0" borderId="5" xfId="2" applyNumberFormat="1" applyFont="1" applyBorder="1" applyAlignment="1" applyProtection="1">
      <alignment vertical="center"/>
    </xf>
    <xf numFmtId="171" fontId="12" fillId="0" borderId="8" xfId="0" applyNumberFormat="1" applyFont="1" applyBorder="1" applyAlignment="1">
      <alignment vertical="center"/>
    </xf>
    <xf numFmtId="166" fontId="1" fillId="14" borderId="0" xfId="2" applyNumberFormat="1" applyFont="1" applyFill="1" applyBorder="1"/>
    <xf numFmtId="166" fontId="1" fillId="14" borderId="5" xfId="2" applyNumberFormat="1" applyFont="1" applyFill="1" applyBorder="1"/>
    <xf numFmtId="166" fontId="1" fillId="14" borderId="8" xfId="2" applyNumberFormat="1" applyFont="1" applyFill="1" applyBorder="1"/>
    <xf numFmtId="166" fontId="21" fillId="14" borderId="0" xfId="2" applyNumberFormat="1" applyFont="1" applyFill="1" applyBorder="1"/>
    <xf numFmtId="166" fontId="21" fillId="14" borderId="5" xfId="2" applyNumberFormat="1" applyFont="1" applyFill="1" applyBorder="1"/>
    <xf numFmtId="166" fontId="21" fillId="14" borderId="8" xfId="2" applyNumberFormat="1" applyFont="1" applyFill="1" applyBorder="1"/>
    <xf numFmtId="166" fontId="9" fillId="14" borderId="0" xfId="2" applyNumberFormat="1" applyFont="1" applyFill="1" applyBorder="1"/>
    <xf numFmtId="166" fontId="9" fillId="14" borderId="5" xfId="2" applyNumberFormat="1" applyFont="1" applyFill="1" applyBorder="1"/>
    <xf numFmtId="166" fontId="2" fillId="14" borderId="18" xfId="2" applyNumberFormat="1" applyFont="1" applyFill="1" applyBorder="1"/>
    <xf numFmtId="166" fontId="2" fillId="14" borderId="13" xfId="2" applyNumberFormat="1" applyFont="1" applyFill="1" applyBorder="1"/>
    <xf numFmtId="166" fontId="2" fillId="14" borderId="17" xfId="2" applyNumberFormat="1" applyFont="1" applyFill="1" applyBorder="1"/>
    <xf numFmtId="166" fontId="11" fillId="8" borderId="0" xfId="2" applyNumberFormat="1" applyFont="1" applyFill="1" applyBorder="1"/>
    <xf numFmtId="166" fontId="11" fillId="8" borderId="5" xfId="2" applyNumberFormat="1" applyFont="1" applyFill="1" applyBorder="1"/>
    <xf numFmtId="166" fontId="11" fillId="8" borderId="8" xfId="2" applyNumberFormat="1" applyFont="1" applyFill="1" applyBorder="1"/>
    <xf numFmtId="166" fontId="11" fillId="0" borderId="0" xfId="2" applyNumberFormat="1" applyFont="1" applyBorder="1"/>
    <xf numFmtId="166" fontId="11" fillId="0" borderId="5" xfId="2" applyNumberFormat="1" applyFont="1" applyBorder="1"/>
    <xf numFmtId="166" fontId="11" fillId="0" borderId="8" xfId="2" applyNumberFormat="1" applyFont="1" applyBorder="1"/>
    <xf numFmtId="166" fontId="0" fillId="0" borderId="5" xfId="0" applyNumberFormat="1" applyBorder="1"/>
    <xf numFmtId="166" fontId="0" fillId="0" borderId="8" xfId="0" applyNumberFormat="1" applyBorder="1"/>
    <xf numFmtId="166" fontId="2" fillId="8" borderId="0" xfId="2" applyNumberFormat="1" applyFont="1" applyFill="1" applyBorder="1"/>
    <xf numFmtId="166" fontId="2" fillId="8" borderId="5" xfId="2" applyNumberFormat="1" applyFont="1" applyFill="1" applyBorder="1"/>
    <xf numFmtId="166" fontId="2" fillId="8" borderId="8" xfId="2" applyNumberFormat="1" applyFont="1" applyFill="1" applyBorder="1"/>
    <xf numFmtId="166" fontId="0" fillId="0" borderId="5" xfId="2" applyNumberFormat="1" applyFont="1" applyBorder="1"/>
    <xf numFmtId="166" fontId="0" fillId="0" borderId="8" xfId="2" applyNumberFormat="1" applyFont="1" applyBorder="1"/>
    <xf numFmtId="166" fontId="0" fillId="8" borderId="0" xfId="2" applyNumberFormat="1" applyFont="1" applyFill="1" applyBorder="1"/>
    <xf numFmtId="166" fontId="0" fillId="8" borderId="5" xfId="2" applyNumberFormat="1" applyFont="1" applyFill="1" applyBorder="1"/>
    <xf numFmtId="166" fontId="0" fillId="8" borderId="8" xfId="2" applyNumberFormat="1" applyFont="1" applyFill="1" applyBorder="1"/>
    <xf numFmtId="166" fontId="2" fillId="8" borderId="18" xfId="2" applyNumberFormat="1" applyFont="1" applyFill="1" applyBorder="1"/>
    <xf numFmtId="166" fontId="2" fillId="8" borderId="13" xfId="2" applyNumberFormat="1" applyFont="1" applyFill="1" applyBorder="1"/>
    <xf numFmtId="166" fontId="2" fillId="8" borderId="17" xfId="2" applyNumberFormat="1" applyFont="1" applyFill="1" applyBorder="1"/>
    <xf numFmtId="0" fontId="2" fillId="35" borderId="0" xfId="0" applyFont="1" applyFill="1"/>
    <xf numFmtId="0" fontId="2" fillId="35" borderId="0" xfId="0" applyFont="1" applyFill="1" applyAlignment="1">
      <alignment horizontal="center"/>
    </xf>
    <xf numFmtId="0" fontId="0" fillId="35" borderId="0" xfId="0" applyFill="1"/>
    <xf numFmtId="3" fontId="0" fillId="35" borderId="0" xfId="0" applyNumberFormat="1" applyFill="1"/>
    <xf numFmtId="0" fontId="0" fillId="35" borderId="18" xfId="0" applyFill="1" applyBorder="1"/>
    <xf numFmtId="3" fontId="0" fillId="35" borderId="18" xfId="0" applyNumberFormat="1" applyFill="1" applyBorder="1"/>
    <xf numFmtId="3" fontId="2" fillId="35" borderId="0" xfId="0" applyNumberFormat="1" applyFont="1" applyFill="1"/>
    <xf numFmtId="166" fontId="17" fillId="0" borderId="0" xfId="0" applyNumberFormat="1" applyFont="1"/>
    <xf numFmtId="166" fontId="17" fillId="0" borderId="18" xfId="0" applyNumberFormat="1" applyFont="1" applyBorder="1"/>
    <xf numFmtId="166" fontId="0" fillId="0" borderId="18" xfId="2" applyNumberFormat="1" applyFont="1" applyBorder="1"/>
    <xf numFmtId="164" fontId="2" fillId="0" borderId="14" xfId="2" applyFont="1" applyBorder="1"/>
    <xf numFmtId="164" fontId="2" fillId="0" borderId="19" xfId="2" applyFont="1" applyBorder="1"/>
    <xf numFmtId="0" fontId="2" fillId="0" borderId="19" xfId="0" applyFont="1" applyBorder="1"/>
    <xf numFmtId="0" fontId="2" fillId="0" borderId="15" xfId="0" applyFont="1" applyBorder="1"/>
    <xf numFmtId="164" fontId="0" fillId="0" borderId="8" xfId="2" applyFont="1" applyBorder="1"/>
    <xf numFmtId="166" fontId="0" fillId="0" borderId="16" xfId="2" applyNumberFormat="1" applyFont="1" applyBorder="1"/>
    <xf numFmtId="166" fontId="0" fillId="0" borderId="17" xfId="2" applyNumberFormat="1" applyFont="1" applyBorder="1"/>
    <xf numFmtId="168" fontId="11" fillId="27" borderId="18" xfId="2" applyNumberFormat="1" applyFont="1" applyFill="1" applyBorder="1" applyAlignment="1">
      <alignment horizontal="center"/>
    </xf>
    <xf numFmtId="3" fontId="2" fillId="0" borderId="0" xfId="0" applyNumberFormat="1" applyFont="1"/>
    <xf numFmtId="3" fontId="11" fillId="0" borderId="18" xfId="0" applyNumberFormat="1" applyFont="1" applyBorder="1"/>
    <xf numFmtId="165" fontId="11" fillId="0" borderId="0" xfId="1" applyNumberFormat="1" applyFont="1"/>
    <xf numFmtId="169" fontId="35" fillId="15" borderId="1" xfId="2" applyNumberFormat="1" applyFont="1" applyFill="1" applyBorder="1" applyAlignment="1">
      <alignment horizontal="right" vertical="center"/>
    </xf>
    <xf numFmtId="166" fontId="0" fillId="0" borderId="19" xfId="0" applyNumberFormat="1" applyBorder="1"/>
    <xf numFmtId="166" fontId="0" fillId="9" borderId="0" xfId="0" applyNumberFormat="1" applyFill="1"/>
    <xf numFmtId="168" fontId="0" fillId="17" borderId="0" xfId="0" quotePrefix="1" applyNumberFormat="1" applyFill="1"/>
    <xf numFmtId="166" fontId="11" fillId="27" borderId="16" xfId="2" applyNumberFormat="1" applyFont="1" applyFill="1" applyBorder="1"/>
    <xf numFmtId="166" fontId="11" fillId="15" borderId="6" xfId="2" applyNumberFormat="1" applyFont="1" applyFill="1" applyBorder="1"/>
    <xf numFmtId="0" fontId="7" fillId="18" borderId="2" xfId="0" applyFont="1" applyFill="1" applyBorder="1" applyAlignment="1">
      <alignment horizontal="center"/>
    </xf>
    <xf numFmtId="0" fontId="7" fillId="18" borderId="3" xfId="0" applyFont="1" applyFill="1" applyBorder="1" applyAlignment="1">
      <alignment horizontal="center"/>
    </xf>
    <xf numFmtId="0" fontId="7" fillId="18" borderId="4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18" fillId="19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2" fillId="23" borderId="2" xfId="0" applyFont="1" applyFill="1" applyBorder="1" applyAlignment="1">
      <alignment horizontal="center"/>
    </xf>
    <xf numFmtId="0" fontId="22" fillId="23" borderId="3" xfId="0" applyFont="1" applyFill="1" applyBorder="1" applyAlignment="1">
      <alignment horizontal="center"/>
    </xf>
    <xf numFmtId="0" fontId="22" fillId="23" borderId="4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20" borderId="2" xfId="0" applyFont="1" applyFill="1" applyBorder="1" applyAlignment="1">
      <alignment horizontal="center"/>
    </xf>
    <xf numFmtId="0" fontId="2" fillId="20" borderId="3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5" borderId="3" xfId="0" applyFont="1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22" fillId="15" borderId="2" xfId="0" applyFont="1" applyFill="1" applyBorder="1" applyAlignment="1">
      <alignment horizontal="center"/>
    </xf>
    <xf numFmtId="0" fontId="22" fillId="15" borderId="3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22" fillId="27" borderId="2" xfId="0" applyFont="1" applyFill="1" applyBorder="1" applyAlignment="1">
      <alignment horizontal="center"/>
    </xf>
    <xf numFmtId="0" fontId="22" fillId="27" borderId="3" xfId="0" applyFont="1" applyFill="1" applyBorder="1" applyAlignment="1">
      <alignment horizontal="center"/>
    </xf>
    <xf numFmtId="0" fontId="22" fillId="27" borderId="4" xfId="0" applyFont="1" applyFill="1" applyBorder="1" applyAlignment="1">
      <alignment horizontal="center"/>
    </xf>
    <xf numFmtId="0" fontId="0" fillId="24" borderId="6" xfId="0" applyFill="1" applyBorder="1" applyAlignment="1">
      <alignment horizontal="center"/>
    </xf>
    <xf numFmtId="0" fontId="0" fillId="24" borderId="0" xfId="0" applyFill="1" applyAlignment="1">
      <alignment horizontal="center"/>
    </xf>
    <xf numFmtId="0" fontId="0" fillId="24" borderId="8" xfId="0" applyFill="1" applyBorder="1" applyAlignment="1">
      <alignment horizontal="center"/>
    </xf>
    <xf numFmtId="0" fontId="22" fillId="15" borderId="4" xfId="0" applyFont="1" applyFill="1" applyBorder="1" applyAlignment="1">
      <alignment horizontal="center"/>
    </xf>
    <xf numFmtId="0" fontId="22" fillId="24" borderId="2" xfId="0" applyFont="1" applyFill="1" applyBorder="1" applyAlignment="1">
      <alignment horizontal="center"/>
    </xf>
    <xf numFmtId="0" fontId="22" fillId="24" borderId="3" xfId="0" applyFont="1" applyFill="1" applyBorder="1" applyAlignment="1">
      <alignment horizontal="center"/>
    </xf>
    <xf numFmtId="0" fontId="22" fillId="24" borderId="4" xfId="0" applyFont="1" applyFill="1" applyBorder="1" applyAlignment="1">
      <alignment horizontal="center"/>
    </xf>
    <xf numFmtId="0" fontId="0" fillId="28" borderId="6" xfId="0" applyFill="1" applyBorder="1" applyAlignment="1">
      <alignment horizontal="center"/>
    </xf>
    <xf numFmtId="0" fontId="0" fillId="28" borderId="0" xfId="0" applyFill="1" applyAlignment="1">
      <alignment horizontal="center"/>
    </xf>
    <xf numFmtId="0" fontId="0" fillId="28" borderId="8" xfId="0" applyFill="1" applyBorder="1" applyAlignment="1">
      <alignment horizontal="center"/>
    </xf>
    <xf numFmtId="0" fontId="2" fillId="28" borderId="6" xfId="0" applyFont="1" applyFill="1" applyBorder="1" applyAlignment="1">
      <alignment horizontal="center"/>
    </xf>
    <xf numFmtId="0" fontId="2" fillId="28" borderId="0" xfId="0" applyFont="1" applyFill="1" applyAlignment="1">
      <alignment horizontal="center"/>
    </xf>
    <xf numFmtId="0" fontId="2" fillId="28" borderId="14" xfId="0" applyFont="1" applyFill="1" applyBorder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22" fillId="26" borderId="2" xfId="0" applyFont="1" applyFill="1" applyBorder="1" applyAlignment="1">
      <alignment horizontal="center"/>
    </xf>
    <xf numFmtId="0" fontId="22" fillId="26" borderId="3" xfId="0" applyFont="1" applyFill="1" applyBorder="1" applyAlignment="1">
      <alignment horizontal="center"/>
    </xf>
    <xf numFmtId="0" fontId="22" fillId="26" borderId="4" xfId="0" applyFont="1" applyFill="1" applyBorder="1" applyAlignment="1">
      <alignment horizontal="center"/>
    </xf>
    <xf numFmtId="0" fontId="22" fillId="24" borderId="19" xfId="0" applyFont="1" applyFill="1" applyBorder="1" applyAlignment="1">
      <alignment horizontal="center"/>
    </xf>
    <xf numFmtId="0" fontId="22" fillId="24" borderId="15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0" fontId="22" fillId="4" borderId="3" xfId="0" applyFont="1" applyFill="1" applyBorder="1" applyAlignment="1">
      <alignment horizontal="center"/>
    </xf>
    <xf numFmtId="0" fontId="22" fillId="4" borderId="4" xfId="0" applyFont="1" applyFill="1" applyBorder="1" applyAlignment="1">
      <alignment horizontal="center"/>
    </xf>
    <xf numFmtId="166" fontId="11" fillId="5" borderId="6" xfId="2" applyNumberFormat="1" applyFont="1" applyFill="1" applyBorder="1" applyAlignment="1">
      <alignment horizontal="center" vertical="center"/>
    </xf>
    <xf numFmtId="166" fontId="11" fillId="5" borderId="16" xfId="2" applyNumberFormat="1" applyFont="1" applyFill="1" applyBorder="1" applyAlignment="1">
      <alignment horizontal="center" vertical="center"/>
    </xf>
    <xf numFmtId="164" fontId="11" fillId="26" borderId="0" xfId="0" applyNumberFormat="1" applyFont="1" applyFill="1" applyAlignment="1">
      <alignment horizontal="center" vertical="center"/>
    </xf>
    <xf numFmtId="164" fontId="11" fillId="26" borderId="18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43" fontId="2" fillId="0" borderId="8" xfId="2" applyNumberFormat="1" applyFont="1" applyBorder="1"/>
    <xf numFmtId="43" fontId="14" fillId="12" borderId="1" xfId="2" applyNumberFormat="1" applyFont="1" applyFill="1" applyBorder="1"/>
  </cellXfs>
  <cellStyles count="5">
    <cellStyle name="Milliers" xfId="2" builtinId="3"/>
    <cellStyle name="Normal" xfId="0" builtinId="0"/>
    <cellStyle name="Normal 2 2" xfId="3" xr:uid="{00000000-0005-0000-0000-000002000000}"/>
    <cellStyle name="Normal 5" xfId="4" xr:uid="{00000000-0005-0000-0000-000003000000}"/>
    <cellStyle name="Pourcentage" xfId="1" builtinId="5"/>
  </cellStyles>
  <dxfs count="1">
    <dxf>
      <border outline="0">
        <bottom style="thin">
          <color indexed="64"/>
        </bottom>
      </border>
    </dxf>
  </dxfs>
  <tableStyles count="0" defaultTableStyle="TableStyleMedium9" defaultPivotStyle="PivotStyleLight16"/>
  <colors>
    <mruColors>
      <color rgb="FF66FF3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2021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492"/>
          <c:h val="0.67800941227320044"/>
        </c:manualLayout>
      </c:layout>
      <c:pie3DChart>
        <c:varyColors val="1"/>
        <c:ser>
          <c:idx val="0"/>
          <c:order val="0"/>
          <c:tx>
            <c:strRef>
              <c:f>'Energy Balance-2021'!$A$98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5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3F-4B4A-8C89-4D277ECE848F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D53F-4B4A-8C89-4D277ECE848F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D53F-4B4A-8C89-4D277ECE848F}"/>
                </c:ext>
              </c:extLst>
            </c:dLbl>
            <c:dLbl>
              <c:idx val="3"/>
              <c:layout>
                <c:manualLayout>
                  <c:x val="0.16749409006682425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53F-4B4A-8C89-4D277ECE848F}"/>
                </c:ext>
              </c:extLst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53F-4B4A-8C89-4D277ECE848F}"/>
                </c:ext>
              </c:extLst>
            </c:dLbl>
            <c:dLbl>
              <c:idx val="5"/>
              <c:layout>
                <c:manualLayout>
                  <c:x val="0.114612943785451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53F-4B4A-8C89-4D277ECE8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Balance-2021'!$A$102:$A$108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Balance-2021'!$B$102:$B$108</c:f>
              <c:numCache>
                <c:formatCode>_(* #,##0_);_(* \(#,##0\);_(* "-"??_);_(@_)</c:formatCode>
                <c:ptCount val="7"/>
                <c:pt idx="0">
                  <c:v>32613.447581437227</c:v>
                </c:pt>
                <c:pt idx="1">
                  <c:v>3352.469419175</c:v>
                </c:pt>
                <c:pt idx="2">
                  <c:v>1963.9150495200004</c:v>
                </c:pt>
                <c:pt idx="3">
                  <c:v>28100.407820182543</c:v>
                </c:pt>
                <c:pt idx="4">
                  <c:v>16014.386160666296</c:v>
                </c:pt>
                <c:pt idx="5">
                  <c:v>12584.488542654948</c:v>
                </c:pt>
                <c:pt idx="6">
                  <c:v>2194.899192129285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F-4B4A-8C89-4D277ECE848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ln>
      <a:noFill/>
    </a:ln>
  </c:sp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C0AA-4763-BC69-031B7D0868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AA-4763-BC69-031B7D0868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0AA-4763-BC69-031B7D0868B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AA-4763-BC69-031B7D0868B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0AA-4763-BC69-031B7D0868B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AA-4763-BC69-031B7D0868B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0AA-4763-BC69-031B7D0868B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AA-4763-BC69-031B7D0868B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C0AA-4763-BC69-031B7D0868B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AA-4763-BC69-031B7D0868B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C0AA-4763-BC69-031B7D0868BA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C0AA-4763-BC69-031B7D0868BA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0AA-4763-BC69-031B7D0868BA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0AA-4763-BC69-031B7D0868B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LPG
3.3%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0AA-4763-BC69-031B7D0868BA}"/>
                </c:ext>
              </c:extLst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0.90%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0AA-4763-BC69-031B7D0868BA}"/>
                </c:ext>
              </c:extLst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0AA-4763-BC69-031B7D0868BA}"/>
                </c:ext>
              </c:extLst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0.45%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0AA-4763-BC69-031B7D0868B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0.05%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0AA-4763-BC69-031B7D0868BA}"/>
                </c:ext>
              </c:extLst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0AA-4763-BC69-031B7D0868B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0.04%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0AA-4763-BC69-031B7D0868B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0AA-4763-BC69-031B7D0868B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AA-4763-BC69-031B7D0868BA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621.97143599999993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AA-4763-BC69-031B7D0868B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Balance-2021'!$A$75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FF21-40C8-ABFB-C556783A0D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21-40C8-ABFB-C556783A0D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F21-40C8-ABFB-C556783A0D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21-40C8-ABFB-C556783A0D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F21-40C8-ABFB-C556783A0DB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21-40C8-ABFB-C556783A0DB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F21-40C8-ABFB-C556783A0DB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F21-40C8-ABFB-C556783A0DB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F21-40C8-ABFB-C556783A0DB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F21-40C8-ABFB-C556783A0DB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F21-40C8-ABFB-C556783A0DB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ELECTRICITY
41.5%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F21-40C8-ABFB-C556783A0DB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Gasoline
23.4%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F21-40C8-ABFB-C556783A0DB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LPG
5.5%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F21-40C8-ABFB-C556783A0DB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Fuel Oil
4.4%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F21-40C8-ABFB-C556783A0DB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Jet A1
1.9%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F21-40C8-ABFB-C556783A0DB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Solar Heat
0.08%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F21-40C8-ABFB-C556783A0DB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Kerosene
0.01%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F21-40C8-ABFB-C556783A0DB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Biomass
0.06%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F21-40C8-ABFB-C556783A0DB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Avgas
0.09%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FF21-40C8-ABFB-C556783A0DB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Other
0.2%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FF21-40C8-ABFB-C556783A0DB6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Balance-2021'!$A$78:$A$87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Balance-2021'!$B$78:$B$87</c:f>
              <c:numCache>
                <c:formatCode>_(* #,##0_);_(* \(#,##0\);_(* "-"??_);_(@_)</c:formatCode>
                <c:ptCount val="10"/>
                <c:pt idx="0">
                  <c:v>40204.830665548499</c:v>
                </c:pt>
                <c:pt idx="1">
                  <c:v>22668.605844130812</c:v>
                </c:pt>
                <c:pt idx="2">
                  <c:v>22223.683940915689</c:v>
                </c:pt>
                <c:pt idx="3">
                  <c:v>5341.6279152740026</c:v>
                </c:pt>
                <c:pt idx="4">
                  <c:v>4275.1847999999991</c:v>
                </c:pt>
                <c:pt idx="5">
                  <c:v>1869.9154639200003</c:v>
                </c:pt>
                <c:pt idx="6">
                  <c:v>74.367754392501737</c:v>
                </c:pt>
                <c:pt idx="7">
                  <c:v>13.743736432999999</c:v>
                </c:pt>
                <c:pt idx="8">
                  <c:v>58.054059550789468</c:v>
                </c:pt>
                <c:pt idx="9">
                  <c:v>93.999585600000003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F21-40C8-ABFB-C556783A0DB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Structure of Primary Energy Consumption in 2021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dLbls>
            <c:dLbl>
              <c:idx val="0"/>
              <c:layout>
                <c:manualLayout>
                  <c:x val="-0.16577856719952636"/>
                  <c:y val="6.7146282973621504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36-4746-822E-2E6CA7AF0AC6}"/>
                </c:ext>
              </c:extLst>
            </c:dLbl>
            <c:dLbl>
              <c:idx val="1"/>
              <c:layout>
                <c:manualLayout>
                  <c:x val="-0.13735938425103641"/>
                  <c:y val="-5.7553956834532807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36-4746-822E-2E6CA7AF0AC6}"/>
                </c:ext>
              </c:extLst>
            </c:dLbl>
            <c:dLbl>
              <c:idx val="2"/>
              <c:layout>
                <c:manualLayout>
                  <c:x val="0.11367673179396109"/>
                  <c:y val="-9.5923261390887568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36-4746-822E-2E6CA7AF0AC6}"/>
                </c:ext>
              </c:extLst>
            </c:dLbl>
            <c:dLbl>
              <c:idx val="3"/>
              <c:layout>
                <c:manualLayout>
                  <c:x val="0.13262266728204267"/>
                  <c:y val="-4.1567250136898423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36-4746-822E-2E6CA7AF0AC6}"/>
                </c:ext>
              </c:extLst>
            </c:dLbl>
            <c:dLbl>
              <c:idx val="4"/>
              <c:layout>
                <c:manualLayout>
                  <c:x val="0.17048562993424302"/>
                  <c:y val="-1.9184553985546342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36-4746-822E-2E6CA7AF0AC6}"/>
                </c:ext>
              </c:extLst>
            </c:dLbl>
            <c:dLbl>
              <c:idx val="5"/>
              <c:layout>
                <c:manualLayout>
                  <c:x val="0.16577856719952636"/>
                  <c:y val="6.394884092725817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Wind,  437, 0.3%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36-4746-822E-2E6CA7AF0AC6}"/>
                </c:ext>
              </c:extLst>
            </c:dLbl>
            <c:dLbl>
              <c:idx val="6"/>
              <c:layout>
                <c:manualLayout>
                  <c:x val="0.13262266728204267"/>
                  <c:y val="7.03437250199840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PV,  713 , 0.45%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36-4746-822E-2E6CA7AF0AC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736-4746-822E-2E6CA7AF0AC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36-4746-822E-2E6CA7AF0AC6}"/>
                </c:ext>
              </c:extLst>
            </c:dLbl>
            <c:dLbl>
              <c:idx val="9"/>
              <c:layout>
                <c:manualLayout>
                  <c:x val="0.12314979277679119"/>
                  <c:y val="0.1374900079936051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Fuelwood,  58 , 0.04%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36-4746-822E-2E6CA7AF0AC6}"/>
                </c:ext>
              </c:extLst>
            </c:dLbl>
            <c:dLbl>
              <c:idx val="10"/>
              <c:layout>
                <c:manualLayout>
                  <c:x val="3.3155713439905275E-2"/>
                  <c:y val="0.26858513189448646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36-4746-822E-2E6CA7AF0AC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621.97143599999993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36-4746-822E-2E6CA7AF0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00"/>
        <c:holeSize val="74"/>
      </c:doughnutChart>
    </c:plotArea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000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390904090544486"/>
          <c:y val="0.29334125687119073"/>
          <c:w val="0.55218191818911733"/>
          <c:h val="0.67095290447184663"/>
        </c:manualLayout>
      </c:layout>
      <c:pieChart>
        <c:varyColors val="1"/>
        <c:ser>
          <c:idx val="0"/>
          <c:order val="0"/>
          <c:tx>
            <c:strRef>
              <c:f>'Electricity Stat-2021'!$A$38</c:f>
              <c:strCache>
                <c:ptCount val="1"/>
                <c:pt idx="0">
                  <c:v>ELECTRICITY GENERATION MIX IN PUC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0-A6C8-478F-857E-8C1311ACF29E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1-A6C8-478F-857E-8C1311ACF29E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2-A6C8-478F-857E-8C1311ACF29E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A6C8-478F-857E-8C1311ACF29E}"/>
              </c:ext>
            </c:extLst>
          </c:dPt>
          <c:dLbls>
            <c:dLbl>
              <c:idx val="2"/>
              <c:layout>
                <c:manualLayout>
                  <c:x val="2.6976799101883695E-2"/>
                  <c:y val="-2.9077326872602506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C8-478F-857E-8C1311ACF29E}"/>
                </c:ext>
              </c:extLst>
            </c:dLbl>
            <c:dLbl>
              <c:idx val="3"/>
              <c:layout>
                <c:manualLayout>
                  <c:x val="0.18682448343141686"/>
                  <c:y val="-4.384817282455076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8-478F-857E-8C1311ACF29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'Electricity Stat-2021'!$A$41:$A$44</c:f>
              <c:strCache>
                <c:ptCount val="4"/>
                <c:pt idx="0">
                  <c:v>Diesel- Heavy Fuel Oil</c:v>
                </c:pt>
                <c:pt idx="1">
                  <c:v>Diesel- Light Fuel Oil</c:v>
                </c:pt>
                <c:pt idx="2">
                  <c:v>Wind Farm</c:v>
                </c:pt>
                <c:pt idx="3">
                  <c:v>Solar PV</c:v>
                </c:pt>
              </c:strCache>
            </c:strRef>
          </c:cat>
          <c:val>
            <c:numRef>
              <c:f>'Electricity Stat-2021'!$B$41:$B$44</c:f>
              <c:numCache>
                <c:formatCode>_(* #,##0.0_);_(* \(#,##0.0\);_(* "-"??_);_(@_)</c:formatCode>
                <c:ptCount val="4"/>
                <c:pt idx="0">
                  <c:v>378.88785300000001</c:v>
                </c:pt>
                <c:pt idx="1">
                  <c:v>45.231090000000002</c:v>
                </c:pt>
                <c:pt idx="2">
                  <c:v>5.0786179999999996</c:v>
                </c:pt>
                <c:pt idx="3">
                  <c:v>7.412077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C8-478F-857E-8C1311ACF29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315871995442933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Balance-2021'!$A$43</c:f>
              <c:strCache>
                <c:ptCount val="1"/>
                <c:pt idx="0">
                  <c:v>PRIMARY ENERGY CONSUMPTION  (PEC)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87E8-4CCF-9350-649D73B49A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7E8-4CCF-9350-649D73B49A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7E8-4CCF-9350-649D73B49A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7E8-4CCF-9350-649D73B49A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7E8-4CCF-9350-649D73B49A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7E8-4CCF-9350-649D73B49A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7E8-4CCF-9350-649D73B49A0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7E8-4CCF-9350-649D73B49A0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87E8-4CCF-9350-649D73B49A0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7E8-4CCF-9350-649D73B49A0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87E8-4CCF-9350-649D73B49A0D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87E8-4CCF-9350-649D73B49A0D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87E8-4CCF-9350-649D73B49A0D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7E8-4CCF-9350-649D73B49A0D}"/>
                </c:ext>
              </c:extLst>
            </c:dLbl>
            <c:dLbl>
              <c:idx val="4"/>
              <c:layout>
                <c:manualLayout>
                  <c:x val="5.9800915518275884E-2"/>
                  <c:y val="-0.15337447572756141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A1
2.5%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87E8-4CCF-9350-649D73B49A0D}"/>
                </c:ext>
              </c:extLst>
            </c:dLbl>
            <c:dLbl>
              <c:idx val="5"/>
              <c:layout>
                <c:manualLayout>
                  <c:x val="7.0709981420773504E-2"/>
                  <c:y val="7.58260016799049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Wind
0.23%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87E8-4CCF-9350-649D73B49A0D}"/>
                </c:ext>
              </c:extLst>
            </c:dLbl>
            <c:dLbl>
              <c:idx val="6"/>
              <c:layout>
                <c:manualLayout>
                  <c:x val="2.8806748682646616E-2"/>
                  <c:y val="0.1617823739321194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Solar PV
0.19%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87E8-4CCF-9350-649D73B49A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Solar Thermal
0.04%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87E8-4CCF-9350-649D73B49A0D}"/>
                </c:ext>
              </c:extLst>
            </c:dLbl>
            <c:dLbl>
              <c:idx val="8"/>
              <c:layout>
                <c:manualLayout>
                  <c:x val="9.5274180021363966E-2"/>
                  <c:y val="2.6266017190297489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Kerosene
0.01%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87E8-4CCF-9350-649D73B49A0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Fuelwood
0.03%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87E8-4CCF-9350-649D73B49A0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Avgas
0.005%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87E8-4CCF-9350-649D73B49A0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E8-4CCF-9350-649D73B49A0D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Balance-2021'!$A$46:$A$56</c:f>
              <c:strCache>
                <c:ptCount val="11"/>
                <c:pt idx="0">
                  <c:v>Fuel Oil</c:v>
                </c:pt>
                <c:pt idx="1">
                  <c:v>Gasoil</c:v>
                </c:pt>
                <c:pt idx="2">
                  <c:v>Gasoline</c:v>
                </c:pt>
                <c:pt idx="3">
                  <c:v>LPG</c:v>
                </c:pt>
                <c:pt idx="4">
                  <c:v>Jet A1</c:v>
                </c:pt>
                <c:pt idx="5">
                  <c:v>Wind</c:v>
                </c:pt>
                <c:pt idx="6">
                  <c:v>Solar PV</c:v>
                </c:pt>
                <c:pt idx="7">
                  <c:v>Solar Thermal</c:v>
                </c:pt>
                <c:pt idx="8">
                  <c:v>Kerosene</c:v>
                </c:pt>
                <c:pt idx="9">
                  <c:v>Fuelwood</c:v>
                </c:pt>
                <c:pt idx="10">
                  <c:v>Avgas</c:v>
                </c:pt>
              </c:strCache>
            </c:strRef>
          </c:cat>
          <c:val>
            <c:numRef>
              <c:f>'Energy Balance-2021'!$B$46:$B$56</c:f>
              <c:numCache>
                <c:formatCode>_(* #,##0_);_(* \(#,##0\);_(* "-"??_);_(@_)</c:formatCode>
                <c:ptCount val="11"/>
                <c:pt idx="0">
                  <c:v>77421.674003808002</c:v>
                </c:pt>
                <c:pt idx="1">
                  <c:v>46315.740620025856</c:v>
                </c:pt>
                <c:pt idx="2">
                  <c:v>25184.768565869301</c:v>
                </c:pt>
                <c:pt idx="3">
                  <c:v>5152.8407410199998</c:v>
                </c:pt>
                <c:pt idx="4">
                  <c:v>1407.3852262022929</c:v>
                </c:pt>
                <c:pt idx="5">
                  <c:v>436.76114799999999</c:v>
                </c:pt>
                <c:pt idx="6">
                  <c:v>621.97143599999993</c:v>
                </c:pt>
                <c:pt idx="7">
                  <c:v>74.367754392501737</c:v>
                </c:pt>
                <c:pt idx="8">
                  <c:v>22.949671359999989</c:v>
                </c:pt>
                <c:pt idx="9">
                  <c:v>58.054059550789468</c:v>
                </c:pt>
                <c:pt idx="10">
                  <c:v>94.988779199999996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E8-4CCF-9350-649D73B49A0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6559505212550476E-2"/>
          <c:y val="7.2330348102244826E-2"/>
          <c:w val="0.9205709333376314"/>
          <c:h val="0.86986248728651705"/>
        </c:manualLayout>
      </c:layout>
      <c:ofPieChart>
        <c:ofPieType val="pie"/>
        <c:varyColors val="1"/>
        <c:ser>
          <c:idx val="0"/>
          <c:order val="0"/>
          <c:tx>
            <c:strRef>
              <c:f>'Energy Balance-2021'!$A$75</c:f>
              <c:strCache>
                <c:ptCount val="1"/>
                <c:pt idx="0">
                  <c:v>FINAL ENERGY CONSUMPTION  (FEC)</c:v>
                </c:pt>
              </c:strCache>
            </c:strRef>
          </c:tx>
          <c:spPr>
            <a:ln w="127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0-A569-41D5-914B-45A90340D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69-41D5-914B-45A90340D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569-41D5-914B-45A90340D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69-41D5-914B-45A90340D67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A569-41D5-914B-45A90340D67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69-41D5-914B-45A90340D67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A569-41D5-914B-45A90340D67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69-41D5-914B-45A90340D67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A569-41D5-914B-45A90340D67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69-41D5-914B-45A90340D67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2700"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A569-41D5-914B-45A90340D67C}"/>
              </c:ext>
            </c:extLst>
          </c:dPt>
          <c:dLbls>
            <c:dLbl>
              <c:idx val="0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0-A569-41D5-914B-45A90340D67C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569-41D5-914B-45A90340D67C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A569-41D5-914B-45A90340D67C}"/>
                </c:ext>
              </c:extLst>
            </c:dLbl>
            <c:dLbl>
              <c:idx val="3"/>
              <c:layout>
                <c:manualLayout>
                  <c:x val="2.4463708394725611E-3"/>
                  <c:y val="-1.8313335518310703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tx1"/>
                        </a:solidFill>
                      </a:defRPr>
                    </a:pPr>
                    <a:r>
                      <a:rPr lang="en-US">
                        <a:solidFill>
                          <a:schemeClr val="tx1"/>
                        </a:solidFill>
                      </a:rPr>
                      <a:t>LPG
5.5%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569-41D5-914B-45A90340D67C}"/>
                </c:ext>
              </c:extLst>
            </c:dLbl>
            <c:dLbl>
              <c:idx val="4"/>
              <c:layout>
                <c:manualLayout>
                  <c:x val="6.3557282301168042E-2"/>
                  <c:y val="-0.13269550293983337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Fuel</a:t>
                    </a:r>
                    <a:r>
                      <a:rPr lang="en-US" baseline="0"/>
                      <a:t> Oil 3</a:t>
                    </a:r>
                    <a:r>
                      <a:rPr lang="en-US"/>
                      <a:t>.8%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569-41D5-914B-45A90340D67C}"/>
                </c:ext>
              </c:extLst>
            </c:dLbl>
            <c:dLbl>
              <c:idx val="5"/>
              <c:layout>
                <c:manualLayout>
                  <c:x val="4.8171854667648055E-2"/>
                  <c:y val="-0.1164912365583770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Jet A-1
3.5%</a:t>
                    </a: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569-41D5-914B-45A90340D67C}"/>
                </c:ext>
              </c:extLst>
            </c:dLbl>
            <c:dLbl>
              <c:idx val="6"/>
              <c:layout>
                <c:manualLayout>
                  <c:x val="-3.505148662652089E-2"/>
                  <c:y val="-0.16340017208441021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Solar Heat
0.1%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A569-41D5-914B-45A90340D67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Kerosene
0.03%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A569-41D5-914B-45A90340D67C}"/>
                </c:ext>
              </c:extLst>
            </c:dLbl>
            <c:dLbl>
              <c:idx val="8"/>
              <c:layout>
                <c:manualLayout>
                  <c:x val="-4.93459411199859E-2"/>
                  <c:y val="0.16806468773471739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</a:rPr>
                      <a:t>Biomass
0.06%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A569-41D5-914B-45A90340D67C}"/>
                </c:ext>
              </c:extLst>
            </c:dLbl>
            <c:dLbl>
              <c:idx val="9"/>
              <c:layout>
                <c:manualLayout>
                  <c:x val="-6.8115870013737354E-2"/>
                  <c:y val="1.5956304795497984E-2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chemeClr val="bg1"/>
                        </a:solidFill>
                      </a:defRPr>
                    </a:pPr>
                    <a:r>
                      <a:rPr lang="en-US"/>
                      <a:t>Avgas 0.008%</a:t>
                    </a:r>
                  </a:p>
                </c:rich>
              </c:tx>
              <c:spPr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A569-41D5-914B-45A90340D67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69-41D5-914B-45A90340D67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69-41D5-914B-45A90340D67C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Balance-2021'!$A$78:$A$87</c:f>
              <c:strCache>
                <c:ptCount val="10"/>
                <c:pt idx="0">
                  <c:v>ELECTRICITY</c:v>
                </c:pt>
                <c:pt idx="1">
                  <c:v>Gasoline</c:v>
                </c:pt>
                <c:pt idx="2">
                  <c:v>Gasoil</c:v>
                </c:pt>
                <c:pt idx="3">
                  <c:v>LPG</c:v>
                </c:pt>
                <c:pt idx="4">
                  <c:v>Fuel Oil</c:v>
                </c:pt>
                <c:pt idx="5">
                  <c:v>Jet A1</c:v>
                </c:pt>
                <c:pt idx="6">
                  <c:v>Solar Heat</c:v>
                </c:pt>
                <c:pt idx="7">
                  <c:v>Kerosene</c:v>
                </c:pt>
                <c:pt idx="8">
                  <c:v>Biomass</c:v>
                </c:pt>
                <c:pt idx="9">
                  <c:v>Avgas</c:v>
                </c:pt>
              </c:strCache>
            </c:strRef>
          </c:cat>
          <c:val>
            <c:numRef>
              <c:f>'Energy Balance-2021'!$B$78:$B$87</c:f>
              <c:numCache>
                <c:formatCode>_(* #,##0_);_(* \(#,##0\);_(* "-"??_);_(@_)</c:formatCode>
                <c:ptCount val="10"/>
                <c:pt idx="0">
                  <c:v>40204.830665548499</c:v>
                </c:pt>
                <c:pt idx="1">
                  <c:v>22668.605844130812</c:v>
                </c:pt>
                <c:pt idx="2">
                  <c:v>22223.683940915689</c:v>
                </c:pt>
                <c:pt idx="3">
                  <c:v>5341.6279152740026</c:v>
                </c:pt>
                <c:pt idx="4">
                  <c:v>4275.1847999999991</c:v>
                </c:pt>
                <c:pt idx="5">
                  <c:v>1869.9154639200003</c:v>
                </c:pt>
                <c:pt idx="6">
                  <c:v>74.367754392501737</c:v>
                </c:pt>
                <c:pt idx="7">
                  <c:v>13.743736432999999</c:v>
                </c:pt>
                <c:pt idx="8">
                  <c:v>58.054059550789468</c:v>
                </c:pt>
                <c:pt idx="9">
                  <c:v>93.999585600000003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569-41D5-914B-45A90340D67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SECTORIAL FINAL ENERGY CONSUMPTION IN 2019</a:t>
            </a:r>
          </a:p>
        </c:rich>
      </c:tx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5098788184743507E-2"/>
          <c:y val="0.23155386043031689"/>
          <c:w val="0.82528265042348514"/>
          <c:h val="0.67800941227320111"/>
        </c:manualLayout>
      </c:layout>
      <c:pie3DChart>
        <c:varyColors val="1"/>
        <c:ser>
          <c:idx val="0"/>
          <c:order val="0"/>
          <c:tx>
            <c:strRef>
              <c:f>'Energy Balance-2021'!$A$98</c:f>
              <c:strCache>
                <c:ptCount val="1"/>
                <c:pt idx="0">
                  <c:v>SECTORIAL FINAL ENERGY CONSUMPTION</c:v>
                </c:pt>
              </c:strCache>
            </c:strRef>
          </c:tx>
          <c:spPr>
            <a:effectLst>
              <a:outerShdw blurRad="50800" dist="381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dLbls>
            <c:dLbl>
              <c:idx val="0"/>
              <c:layout>
                <c:manualLayout>
                  <c:x val="-0.22594773981811256"/>
                  <c:y val="8.89699146213374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70-4614-8F9F-12D40FB0032E}"/>
                </c:ext>
              </c:extLst>
            </c:dLbl>
            <c:dLbl>
              <c:idx val="1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7670-4614-8F9F-12D40FB0032E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900" b="1"/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7670-4614-8F9F-12D40FB0032E}"/>
                </c:ext>
              </c:extLst>
            </c:dLbl>
            <c:dLbl>
              <c:idx val="3"/>
              <c:layout>
                <c:manualLayout>
                  <c:x val="0.16749409006682436"/>
                  <c:y val="-0.267716453770763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670-4614-8F9F-12D40FB0032E}"/>
                </c:ext>
              </c:extLst>
            </c:dLbl>
            <c:dLbl>
              <c:idx val="4"/>
              <c:layout>
                <c:manualLayout>
                  <c:x val="0.18485879428443674"/>
                  <c:y val="1.8453667052702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70-4614-8F9F-12D40FB0032E}"/>
                </c:ext>
              </c:extLst>
            </c:dLbl>
            <c:dLbl>
              <c:idx val="5"/>
              <c:layout>
                <c:manualLayout>
                  <c:x val="0.11461294378545103"/>
                  <c:y val="8.945898377327529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11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70-4614-8F9F-12D40FB003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'Energy Balance-2021'!$A$102:$A$108</c:f>
              <c:strCache>
                <c:ptCount val="7"/>
                <c:pt idx="0">
                  <c:v>Road Transportation</c:v>
                </c:pt>
                <c:pt idx="1">
                  <c:v>Maritime Transportation</c:v>
                </c:pt>
                <c:pt idx="2">
                  <c:v>Domestic Air Transportation</c:v>
                </c:pt>
                <c:pt idx="3">
                  <c:v>SERVICE</c:v>
                </c:pt>
                <c:pt idx="4">
                  <c:v>RESIDENTIAL</c:v>
                </c:pt>
                <c:pt idx="5">
                  <c:v>INDUSTRY</c:v>
                </c:pt>
                <c:pt idx="6">
                  <c:v>Artisanal Fishing</c:v>
                </c:pt>
              </c:strCache>
            </c:strRef>
          </c:cat>
          <c:val>
            <c:numRef>
              <c:f>'Energy Balance-2021'!$B$102:$B$108</c:f>
              <c:numCache>
                <c:formatCode>_(* #,##0_);_(* \(#,##0\);_(* "-"??_);_(@_)</c:formatCode>
                <c:ptCount val="7"/>
                <c:pt idx="0">
                  <c:v>32613.447581437227</c:v>
                </c:pt>
                <c:pt idx="1">
                  <c:v>3352.469419175</c:v>
                </c:pt>
                <c:pt idx="2">
                  <c:v>1963.9150495200004</c:v>
                </c:pt>
                <c:pt idx="3">
                  <c:v>28100.407820182543</c:v>
                </c:pt>
                <c:pt idx="4">
                  <c:v>16014.386160666296</c:v>
                </c:pt>
                <c:pt idx="5">
                  <c:v>12584.488542654948</c:v>
                </c:pt>
                <c:pt idx="6">
                  <c:v>2194.899192129285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70-4614-8F9F-12D40FB0032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zero"/>
    <c:showDLblsOverMax val="0"/>
  </c:chart>
  <c:spPr>
    <a:ln>
      <a:noFill/>
    </a:ln>
  </c:sp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83344</xdr:colOff>
      <xdr:row>23</xdr:row>
      <xdr:rowOff>83343</xdr:rowOff>
    </xdr:from>
    <xdr:to>
      <xdr:col>21</xdr:col>
      <xdr:colOff>21433</xdr:colOff>
      <xdr:row>25</xdr:row>
      <xdr:rowOff>11906</xdr:rowOff>
    </xdr:to>
    <xdr:sp macro="" textlink="">
      <xdr:nvSpPr>
        <xdr:cNvPr id="7" name="Right Brac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8538032" y="6250781"/>
          <a:ext cx="676276" cy="4286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17971</xdr:colOff>
      <xdr:row>99</xdr:row>
      <xdr:rowOff>26958</xdr:rowOff>
    </xdr:from>
    <xdr:to>
      <xdr:col>12</xdr:col>
      <xdr:colOff>80873</xdr:colOff>
      <xdr:row>120</xdr:row>
      <xdr:rowOff>17972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16399</xdr:colOff>
      <xdr:row>42</xdr:row>
      <xdr:rowOff>22196</xdr:rowOff>
    </xdr:from>
    <xdr:to>
      <xdr:col>12</xdr:col>
      <xdr:colOff>960723</xdr:colOff>
      <xdr:row>62</xdr:row>
      <xdr:rowOff>62676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684719</xdr:colOff>
      <xdr:row>73</xdr:row>
      <xdr:rowOff>166911</xdr:rowOff>
    </xdr:from>
    <xdr:to>
      <xdr:col>12</xdr:col>
      <xdr:colOff>1065719</xdr:colOff>
      <xdr:row>92</xdr:row>
      <xdr:rowOff>33022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835819</xdr:colOff>
      <xdr:row>54</xdr:row>
      <xdr:rowOff>78581</xdr:rowOff>
    </xdr:from>
    <xdr:to>
      <xdr:col>20</xdr:col>
      <xdr:colOff>714375</xdr:colOff>
      <xdr:row>75</xdr:row>
      <xdr:rowOff>11906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0.36412</cdr:x>
      <cdr:y>0.40528</cdr:y>
    </cdr:from>
    <cdr:to>
      <cdr:x>0.62522</cdr:x>
      <cdr:y>0.77938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2626" y="1609726"/>
          <a:ext cx="1400175" cy="14858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Fossil Fuel </a:t>
          </a:r>
        </a:p>
        <a:p xmlns:a="http://schemas.openxmlformats.org/drawingml/2006/main">
          <a:pPr algn="ctr"/>
          <a:r>
            <a:rPr lang="en-US" sz="1100" b="1">
              <a:solidFill>
                <a:schemeClr val="accent2"/>
              </a:solidFill>
            </a:rPr>
            <a:t>155,600 Toe</a:t>
          </a:r>
        </a:p>
        <a:p xmlns:a="http://schemas.openxmlformats.org/drawingml/2006/main">
          <a:pPr algn="ctr"/>
          <a:r>
            <a:rPr lang="en-US" sz="1400" b="1">
              <a:solidFill>
                <a:schemeClr val="accent2"/>
              </a:solidFill>
            </a:rPr>
            <a:t>99.2%</a:t>
          </a:r>
        </a:p>
        <a:p xmlns:a="http://schemas.openxmlformats.org/drawingml/2006/main">
          <a:endParaRPr lang="en-US" sz="1100"/>
        </a:p>
        <a:p xmlns:a="http://schemas.openxmlformats.org/drawingml/2006/main">
          <a:pPr algn="ctr"/>
          <a:endParaRPr lang="en-US" sz="1100" b="1">
            <a:solidFill>
              <a:srgbClr val="00B050"/>
            </a:solidFill>
          </a:endParaRP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Renewable Energy</a:t>
          </a:r>
        </a:p>
        <a:p xmlns:a="http://schemas.openxmlformats.org/drawingml/2006/main">
          <a:pPr algn="ctr"/>
          <a:r>
            <a:rPr lang="en-US" sz="1100" b="1">
              <a:solidFill>
                <a:srgbClr val="00B050"/>
              </a:solidFill>
            </a:rPr>
            <a:t>1,282 Toe</a:t>
          </a:r>
        </a:p>
        <a:p xmlns:a="http://schemas.openxmlformats.org/drawingml/2006/main">
          <a:pPr algn="ctr"/>
          <a:r>
            <a:rPr lang="en-US" sz="1400" b="1">
              <a:solidFill>
                <a:srgbClr val="00B050"/>
              </a:solidFill>
            </a:rPr>
            <a:t>0.8%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666749</xdr:colOff>
      <xdr:row>12</xdr:row>
      <xdr:rowOff>142876</xdr:rowOff>
    </xdr:from>
    <xdr:to>
      <xdr:col>10</xdr:col>
      <xdr:colOff>628650</xdr:colOff>
      <xdr:row>15</xdr:row>
      <xdr:rowOff>180976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401049" y="2514601"/>
          <a:ext cx="676276" cy="6096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0</xdr:colOff>
      <xdr:row>23</xdr:row>
      <xdr:rowOff>190499</xdr:rowOff>
    </xdr:from>
    <xdr:to>
      <xdr:col>10</xdr:col>
      <xdr:colOff>676276</xdr:colOff>
      <xdr:row>29</xdr:row>
      <xdr:rowOff>180974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448675" y="4667249"/>
          <a:ext cx="676276" cy="11334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412750</xdr:colOff>
      <xdr:row>39</xdr:row>
      <xdr:rowOff>66674</xdr:rowOff>
    </xdr:from>
    <xdr:to>
      <xdr:col>12</xdr:col>
      <xdr:colOff>26458</xdr:colOff>
      <xdr:row>55</xdr:row>
      <xdr:rowOff>3174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68</xdr:row>
      <xdr:rowOff>19050</xdr:rowOff>
    </xdr:from>
    <xdr:to>
      <xdr:col>3</xdr:col>
      <xdr:colOff>266700</xdr:colOff>
      <xdr:row>70</xdr:row>
      <xdr:rowOff>180975</xdr:rowOff>
    </xdr:to>
    <xdr:sp macro="" textlink="">
      <xdr:nvSpPr>
        <xdr:cNvPr id="6" name="Right Brac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95600" y="11344275"/>
          <a:ext cx="238125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0</xdr:colOff>
      <xdr:row>65</xdr:row>
      <xdr:rowOff>66675</xdr:rowOff>
    </xdr:from>
    <xdr:to>
      <xdr:col>3</xdr:col>
      <xdr:colOff>161925</xdr:colOff>
      <xdr:row>67</xdr:row>
      <xdr:rowOff>142875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867025" y="10820400"/>
          <a:ext cx="161925" cy="457200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257175</xdr:colOff>
      <xdr:row>66</xdr:row>
      <xdr:rowOff>76200</xdr:rowOff>
    </xdr:from>
    <xdr:to>
      <xdr:col>3</xdr:col>
      <xdr:colOff>847725</xdr:colOff>
      <xdr:row>66</xdr:row>
      <xdr:rowOff>95250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3124200" y="14925675"/>
          <a:ext cx="590550" cy="190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68</xdr:row>
      <xdr:rowOff>133351</xdr:rowOff>
    </xdr:from>
    <xdr:to>
      <xdr:col>3</xdr:col>
      <xdr:colOff>847725</xdr:colOff>
      <xdr:row>68</xdr:row>
      <xdr:rowOff>161925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CxnSpPr/>
      </xdr:nvCxnSpPr>
      <xdr:spPr>
        <a:xfrm flipV="1">
          <a:off x="3143250" y="15363826"/>
          <a:ext cx="571500" cy="28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104775</xdr:rowOff>
    </xdr:from>
    <xdr:to>
      <xdr:col>7</xdr:col>
      <xdr:colOff>200025</xdr:colOff>
      <xdr:row>66</xdr:row>
      <xdr:rowOff>95251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 flipV="1">
          <a:off x="5248275" y="14763750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66</xdr:row>
      <xdr:rowOff>152400</xdr:rowOff>
    </xdr:from>
    <xdr:to>
      <xdr:col>7</xdr:col>
      <xdr:colOff>190500</xdr:colOff>
      <xdr:row>67</xdr:row>
      <xdr:rowOff>114300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CxnSpPr/>
      </xdr:nvCxnSpPr>
      <xdr:spPr>
        <a:xfrm>
          <a:off x="5257800" y="15001875"/>
          <a:ext cx="657225" cy="1524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67</xdr:row>
      <xdr:rowOff>9525</xdr:rowOff>
    </xdr:from>
    <xdr:to>
      <xdr:col>12</xdr:col>
      <xdr:colOff>304800</xdr:colOff>
      <xdr:row>69</xdr:row>
      <xdr:rowOff>171450</xdr:rowOff>
    </xdr:to>
    <xdr:sp macro="" textlink="">
      <xdr:nvSpPr>
        <xdr:cNvPr id="25" name="Right Brac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9229725" y="15049500"/>
          <a:ext cx="247650" cy="542925"/>
        </a:xfrm>
        <a:prstGeom prst="rightBrace">
          <a:avLst>
            <a:gd name="adj1" fmla="val 8333"/>
            <a:gd name="adj2" fmla="val 535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9525</xdr:colOff>
      <xdr:row>63</xdr:row>
      <xdr:rowOff>114300</xdr:rowOff>
    </xdr:from>
    <xdr:to>
      <xdr:col>7</xdr:col>
      <xdr:colOff>209550</xdr:colOff>
      <xdr:row>64</xdr:row>
      <xdr:rowOff>104776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CxnSpPr/>
      </xdr:nvCxnSpPr>
      <xdr:spPr>
        <a:xfrm flipV="1">
          <a:off x="5257800" y="14392275"/>
          <a:ext cx="676275" cy="180976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69</xdr:row>
      <xdr:rowOff>114300</xdr:rowOff>
    </xdr:from>
    <xdr:to>
      <xdr:col>7</xdr:col>
      <xdr:colOff>190500</xdr:colOff>
      <xdr:row>69</xdr:row>
      <xdr:rowOff>123825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V="1">
          <a:off x="5295900" y="15535275"/>
          <a:ext cx="6191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123825</xdr:rowOff>
    </xdr:from>
    <xdr:to>
      <xdr:col>11</xdr:col>
      <xdr:colOff>239475</xdr:colOff>
      <xdr:row>24</xdr:row>
      <xdr:rowOff>30955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419100</xdr:colOff>
      <xdr:row>47</xdr:row>
      <xdr:rowOff>56611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50</xdr:row>
      <xdr:rowOff>180975</xdr:rowOff>
    </xdr:from>
    <xdr:to>
      <xdr:col>9</xdr:col>
      <xdr:colOff>567727</xdr:colOff>
      <xdr:row>72</xdr:row>
      <xdr:rowOff>67214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4" displayName="Table4" ref="A90:E95" totalsRowShown="0" tableBorderDxfId="0">
  <autoFilter ref="A90:E95" xr:uid="{00000000-0009-0000-0100-000004000000}"/>
  <tableColumns count="5">
    <tableColumn id="1" xr3:uid="{00000000-0010-0000-0000-000001000000}" name="Column1"/>
    <tableColumn id="3" xr3:uid="{00000000-0010-0000-0000-000003000000}" name="PUC"/>
    <tableColumn id="4" xr3:uid="{00000000-0010-0000-0000-000004000000}" name="Auto-Prod"/>
    <tableColumn id="5" xr3:uid="{00000000-0010-0000-0000-000005000000}" name="Total"/>
    <tableColumn id="6" xr3:uid="{00000000-0010-0000-0000-000006000000}" name="Total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9"/>
  <sheetViews>
    <sheetView zoomScale="80" zoomScaleNormal="80" workbookViewId="0">
      <pane xSplit="1" ySplit="3" topLeftCell="B75" activePane="bottomRight" state="frozen"/>
      <selection pane="bottomRight" activeCell="O31" sqref="O31"/>
      <selection pane="bottomLeft" activeCell="A5" sqref="A5"/>
      <selection pane="topRight" activeCell="B1" sqref="B1"/>
    </sheetView>
  </sheetViews>
  <sheetFormatPr defaultRowHeight="15"/>
  <cols>
    <col min="1" max="1" width="51.28515625" customWidth="1"/>
    <col min="2" max="2" width="13.85546875" customWidth="1"/>
    <col min="3" max="3" width="11.7109375" customWidth="1"/>
    <col min="4" max="5" width="11.140625" customWidth="1"/>
    <col min="6" max="6" width="10" customWidth="1"/>
    <col min="7" max="7" width="10.85546875" customWidth="1"/>
    <col min="8" max="8" width="9.5703125" bestFit="1" customWidth="1"/>
    <col min="9" max="9" width="13.85546875" customWidth="1"/>
    <col min="10" max="10" width="8.42578125" customWidth="1"/>
    <col min="11" max="11" width="8.28515625" customWidth="1"/>
    <col min="12" max="12" width="8.85546875" customWidth="1"/>
    <col min="13" max="13" width="16.7109375" customWidth="1"/>
    <col min="14" max="14" width="8.5703125" customWidth="1"/>
    <col min="15" max="15" width="16.140625" customWidth="1"/>
    <col min="16" max="16" width="12.28515625" bestFit="1" customWidth="1"/>
    <col min="17" max="17" width="11.5703125" bestFit="1" customWidth="1"/>
    <col min="18" max="18" width="20.140625" customWidth="1"/>
    <col min="19" max="19" width="13" bestFit="1" customWidth="1"/>
    <col min="21" max="21" width="11.140625" bestFit="1" customWidth="1"/>
    <col min="23" max="23" width="4.140625" customWidth="1"/>
    <col min="24" max="24" width="28.140625" customWidth="1"/>
    <col min="25" max="25" width="11.28515625" bestFit="1" customWidth="1"/>
    <col min="30" max="30" width="13.42578125" customWidth="1"/>
    <col min="31" max="31" width="12.28515625" bestFit="1" customWidth="1"/>
    <col min="34" max="34" width="12.140625" bestFit="1" customWidth="1"/>
    <col min="35" max="36" width="11.28515625" bestFit="1" customWidth="1"/>
    <col min="38" max="38" width="18.28515625" customWidth="1"/>
    <col min="39" max="39" width="11.28515625" bestFit="1" customWidth="1"/>
  </cols>
  <sheetData>
    <row r="1" spans="1:20" ht="46.5" customHeight="1">
      <c r="A1" s="372" t="s">
        <v>0</v>
      </c>
      <c r="B1" s="85"/>
      <c r="C1" s="869"/>
      <c r="D1" s="86"/>
      <c r="E1" s="86"/>
      <c r="F1" s="649" t="s">
        <v>1</v>
      </c>
      <c r="G1" s="86"/>
      <c r="H1" s="86"/>
      <c r="I1" s="86"/>
      <c r="J1" s="86"/>
      <c r="K1" s="86"/>
      <c r="L1" s="676"/>
      <c r="M1" s="86"/>
      <c r="N1" s="86"/>
      <c r="O1" s="554"/>
    </row>
    <row r="2" spans="1:20" ht="21">
      <c r="A2" s="373" t="s">
        <v>2</v>
      </c>
      <c r="B2" s="874" t="s">
        <v>3</v>
      </c>
      <c r="C2" s="875"/>
      <c r="D2" s="875"/>
      <c r="E2" s="875"/>
      <c r="F2" s="875"/>
      <c r="G2" s="875"/>
      <c r="H2" s="876"/>
      <c r="I2" s="552" t="s">
        <v>4</v>
      </c>
      <c r="J2" s="874" t="s">
        <v>5</v>
      </c>
      <c r="K2" s="876"/>
      <c r="L2" s="374" t="s">
        <v>6</v>
      </c>
      <c r="M2" s="374" t="s">
        <v>7</v>
      </c>
      <c r="N2" s="374" t="s">
        <v>8</v>
      </c>
      <c r="O2" s="877" t="s">
        <v>9</v>
      </c>
    </row>
    <row r="3" spans="1:20" ht="30">
      <c r="A3" s="43" t="s">
        <v>10</v>
      </c>
      <c r="B3" s="40" t="s">
        <v>11</v>
      </c>
      <c r="C3" s="40" t="s">
        <v>12</v>
      </c>
      <c r="D3" s="40" t="s">
        <v>13</v>
      </c>
      <c r="E3" s="40" t="s">
        <v>14</v>
      </c>
      <c r="F3" s="40" t="s">
        <v>15</v>
      </c>
      <c r="G3" s="40" t="s">
        <v>16</v>
      </c>
      <c r="H3" s="40" t="s">
        <v>17</v>
      </c>
      <c r="I3" s="40" t="s">
        <v>18</v>
      </c>
      <c r="J3" s="40" t="s">
        <v>19</v>
      </c>
      <c r="K3" s="40" t="s">
        <v>20</v>
      </c>
      <c r="L3" s="52" t="s">
        <v>21</v>
      </c>
      <c r="M3" s="40" t="s">
        <v>22</v>
      </c>
      <c r="N3" s="4" t="s">
        <v>22</v>
      </c>
      <c r="O3" s="878"/>
    </row>
    <row r="4" spans="1:20" ht="18">
      <c r="A4" s="650" t="s">
        <v>23</v>
      </c>
      <c r="B4" s="641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2"/>
      <c r="Q4" s="333" t="s">
        <v>24</v>
      </c>
      <c r="R4" s="334"/>
      <c r="S4" s="356" t="s">
        <v>25</v>
      </c>
      <c r="T4" s="276" t="s">
        <v>26</v>
      </c>
    </row>
    <row r="5" spans="1:20" ht="20.100000000000001" customHeight="1">
      <c r="A5" s="651" t="s">
        <v>27</v>
      </c>
      <c r="B5" s="89"/>
      <c r="I5" s="9">
        <f>'Biomass, SWH &amp; Kero'!F40+'Biomass, SWH &amp; Kero'!H40</f>
        <v>58.054059550789468</v>
      </c>
      <c r="J5" s="28">
        <f>'Electricity Stat-2021'!H28+'Electricity Stat-2021'!H36</f>
        <v>621.97143599999993</v>
      </c>
      <c r="K5" s="21">
        <f>'Biomass, SWH &amp; Kero'!L40</f>
        <v>74.367754392501737</v>
      </c>
      <c r="L5" s="21">
        <f>'Electricity Stat-2021'!H21</f>
        <v>436.76114799999999</v>
      </c>
      <c r="N5" s="9"/>
      <c r="O5" s="251">
        <f>SUM(B5:N5)</f>
        <v>1191.1543979432911</v>
      </c>
      <c r="Q5" s="335" t="s">
        <v>28</v>
      </c>
      <c r="R5" s="336"/>
      <c r="S5" s="350">
        <f>SUM(B12:H12)</f>
        <v>155600.34760748543</v>
      </c>
      <c r="T5" s="357">
        <f>S5/$S$7</f>
        <v>0.99240294032069387</v>
      </c>
    </row>
    <row r="6" spans="1:20" ht="20.100000000000001" customHeight="1">
      <c r="A6" s="651" t="s">
        <v>29</v>
      </c>
      <c r="B6" s="642">
        <f>'Petroleum Stat-2021'!I25</f>
        <v>24967.53160509</v>
      </c>
      <c r="C6" s="21">
        <f>'Petroleum Stat-2021'!D25</f>
        <v>217858.43371774498</v>
      </c>
      <c r="D6" s="9">
        <f>'Petroleum Stat-2021'!F25</f>
        <v>84459.450993599996</v>
      </c>
      <c r="E6" s="9">
        <f>'Petroleum Stat-2021'!E25</f>
        <v>25069.405977840001</v>
      </c>
      <c r="F6" s="9">
        <f>'Petroleum Stat-2021'!H25</f>
        <v>5552.6075599999995</v>
      </c>
      <c r="H6" s="9">
        <f>'Petroleum Stat-2021'!G25</f>
        <v>110.9376</v>
      </c>
      <c r="O6" s="252">
        <f t="shared" ref="O6:O12" si="0">SUM(B6:N6)</f>
        <v>358018.36745427496</v>
      </c>
      <c r="Q6" s="335" t="s">
        <v>30</v>
      </c>
      <c r="R6" s="336"/>
      <c r="S6" s="354">
        <f>SUM(I12:L12)</f>
        <v>1191.1543979432911</v>
      </c>
      <c r="T6" s="358">
        <f>S6/$S$7</f>
        <v>7.5970596793061449E-3</v>
      </c>
    </row>
    <row r="7" spans="1:20" ht="20.100000000000001" customHeight="1">
      <c r="A7" s="651" t="s">
        <v>31</v>
      </c>
      <c r="B7" s="643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O7" s="251">
        <f t="shared" si="0"/>
        <v>0</v>
      </c>
      <c r="Q7" s="339"/>
      <c r="R7" s="340"/>
      <c r="S7" s="355">
        <f>SUM(S5:S6)</f>
        <v>156791.50200542872</v>
      </c>
      <c r="T7" s="352">
        <f>S7/$S$7</f>
        <v>1</v>
      </c>
    </row>
    <row r="8" spans="1:20" ht="20.100000000000001" customHeight="1">
      <c r="A8" s="651" t="s">
        <v>32</v>
      </c>
      <c r="B8" s="643"/>
      <c r="C8" s="39">
        <f>-'Petroleum Stat-2021'!D35</f>
        <v>-168765.67476049499</v>
      </c>
      <c r="D8" s="39">
        <f>-'Petroleum Stat-2021'!F35</f>
        <v>-5033.3332627199998</v>
      </c>
      <c r="E8" s="39">
        <f>-'Petroleum Stat-2021'!E35</f>
        <v>-24673.906677878225</v>
      </c>
      <c r="F8" s="28"/>
      <c r="G8" s="28"/>
      <c r="O8" s="251">
        <f t="shared" si="0"/>
        <v>-198472.91470109322</v>
      </c>
    </row>
    <row r="9" spans="1:20" ht="20.100000000000001" customHeight="1">
      <c r="A9" s="651" t="s">
        <v>33</v>
      </c>
      <c r="B9" s="644">
        <f>'Petroleum Stat-2021'!I28</f>
        <v>-925.17482914209995</v>
      </c>
      <c r="C9" s="39">
        <f>'Petroleum Stat-2021'!D28</f>
        <v>-2366.2582868767636</v>
      </c>
      <c r="D9" s="39">
        <f>'Petroleum Stat-2021'!F28</f>
        <v>-1381.3304502719996</v>
      </c>
      <c r="E9" s="39">
        <f>'Petroleum Stat-2021'!E28</f>
        <v>1372.4406412309177</v>
      </c>
      <c r="F9" s="39">
        <f>'Petroleum Stat-2021'!H28</f>
        <v>-327.51750500000003</v>
      </c>
      <c r="G9" s="39">
        <f>'Petroleum Stat-2021'!J28</f>
        <v>-33.838721840000012</v>
      </c>
      <c r="H9" s="35">
        <f>'Petroleum Stat-2021'!G28</f>
        <v>-16.4434176</v>
      </c>
      <c r="O9" s="252">
        <f t="shared" si="0"/>
        <v>-3678.1225694999457</v>
      </c>
      <c r="Q9" s="255" t="s">
        <v>34</v>
      </c>
      <c r="R9" s="256"/>
      <c r="S9" s="257"/>
    </row>
    <row r="10" spans="1:20" ht="20.100000000000001" customHeight="1">
      <c r="A10" s="651" t="s">
        <v>35</v>
      </c>
      <c r="B10" s="644">
        <f>'Petroleum Stat-2021'!I29</f>
        <v>1142.4117899214002</v>
      </c>
      <c r="C10" s="39">
        <f>'Petroleum Stat-2021'!D29</f>
        <v>-410.76005034736835</v>
      </c>
      <c r="D10" s="39">
        <f>'Petroleum Stat-2021'!F29</f>
        <v>-623.11327679999999</v>
      </c>
      <c r="E10" s="39">
        <f>'Petroleum Stat-2021'!E29</f>
        <v>-360.55471499040004</v>
      </c>
      <c r="F10" s="39">
        <f>'Petroleum Stat-2021'!H29</f>
        <v>-72.249313979999783</v>
      </c>
      <c r="G10" s="39">
        <f>'Petroleum Stat-2021'!J29</f>
        <v>0</v>
      </c>
      <c r="H10" s="35">
        <f>'Petroleum Stat-2021'!G29</f>
        <v>0.4945968</v>
      </c>
      <c r="O10" s="252">
        <f t="shared" si="0"/>
        <v>-323.770969396368</v>
      </c>
      <c r="Q10" s="258" t="s">
        <v>36</v>
      </c>
      <c r="R10" s="145"/>
      <c r="S10" s="345">
        <f>M15/$M$21</f>
        <v>0.84440429725456478</v>
      </c>
    </row>
    <row r="11" spans="1:20" ht="20.100000000000001" customHeight="1">
      <c r="A11" s="651" t="s">
        <v>37</v>
      </c>
      <c r="B11" s="644">
        <f>'Petroleum Stat-2021'!C30</f>
        <v>0</v>
      </c>
      <c r="C11" s="84"/>
      <c r="D11" s="39"/>
      <c r="E11" s="39"/>
      <c r="F11" s="39"/>
      <c r="G11" s="39">
        <f>'Petroleum Stat-2021'!J30</f>
        <v>56.788393200000002</v>
      </c>
      <c r="H11" s="35"/>
      <c r="O11" s="252">
        <f t="shared" si="0"/>
        <v>56.788393200000002</v>
      </c>
      <c r="Q11" s="258" t="s">
        <v>38</v>
      </c>
      <c r="R11" s="145"/>
      <c r="S11" s="345">
        <f>M16/$M$21</f>
        <v>0.13108529181471995</v>
      </c>
    </row>
    <row r="12" spans="1:20" ht="20.100000000000001" customHeight="1">
      <c r="A12" s="652" t="s">
        <v>39</v>
      </c>
      <c r="B12" s="329">
        <f>SUM(B5:B11)</f>
        <v>25184.768565869301</v>
      </c>
      <c r="C12" s="34">
        <f t="shared" ref="C12:L12" si="1">SUM(C5:C11)</f>
        <v>46315.740620025856</v>
      </c>
      <c r="D12" s="34">
        <f>SUM(D5:D11)</f>
        <v>77421.674003808002</v>
      </c>
      <c r="E12" s="34">
        <f t="shared" si="1"/>
        <v>1407.3852262022929</v>
      </c>
      <c r="F12" s="34">
        <f t="shared" si="1"/>
        <v>5152.8407410199998</v>
      </c>
      <c r="G12" s="34">
        <f t="shared" si="1"/>
        <v>22.949671359999989</v>
      </c>
      <c r="H12" s="34">
        <f t="shared" si="1"/>
        <v>94.988779199999996</v>
      </c>
      <c r="I12" s="34">
        <f t="shared" si="1"/>
        <v>58.054059550789468</v>
      </c>
      <c r="J12" s="34">
        <f t="shared" si="1"/>
        <v>621.97143599999993</v>
      </c>
      <c r="K12" s="34">
        <f t="shared" si="1"/>
        <v>74.367754392501737</v>
      </c>
      <c r="L12" s="34">
        <f t="shared" si="1"/>
        <v>436.76114799999999</v>
      </c>
      <c r="M12" s="34">
        <f>SUM(M5:M11)</f>
        <v>0</v>
      </c>
      <c r="N12" s="34">
        <f>SUM(N5:N11)</f>
        <v>0</v>
      </c>
      <c r="O12" s="51">
        <f t="shared" si="0"/>
        <v>156791.50200542869</v>
      </c>
      <c r="P12" s="9"/>
      <c r="Q12" s="258" t="s">
        <v>40</v>
      </c>
      <c r="R12" s="145"/>
      <c r="S12" s="345">
        <f>M17/$M$21</f>
        <v>1.4323083316478247E-2</v>
      </c>
    </row>
    <row r="13" spans="1:20" ht="15" customHeight="1">
      <c r="A13" s="653" t="s">
        <v>41</v>
      </c>
      <c r="B13" s="645"/>
      <c r="C13" s="49"/>
      <c r="D13" s="49"/>
      <c r="E13" s="49"/>
      <c r="F13" s="49"/>
      <c r="G13" s="49"/>
      <c r="H13" s="49"/>
      <c r="I13" s="49"/>
      <c r="J13" s="49"/>
      <c r="K13" s="49"/>
      <c r="L13" s="49"/>
      <c r="O13" s="253">
        <f>O5/O12</f>
        <v>7.5970596793061467E-3</v>
      </c>
      <c r="Q13" s="258" t="s">
        <v>42</v>
      </c>
      <c r="R13" s="145"/>
      <c r="S13" s="345">
        <f>M18/$M$21</f>
        <v>1.0111330639891706E-2</v>
      </c>
    </row>
    <row r="14" spans="1:20" ht="20.100000000000001" customHeight="1">
      <c r="A14" s="654" t="s">
        <v>43</v>
      </c>
      <c r="B14" s="64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24"/>
      <c r="Q14" s="258" t="s">
        <v>44</v>
      </c>
      <c r="R14" s="145"/>
      <c r="S14" s="347">
        <f>M19/$M$21</f>
        <v>7.599697434524634E-5</v>
      </c>
    </row>
    <row r="15" spans="1:20" ht="20.100000000000001" customHeight="1">
      <c r="A15" s="651" t="s">
        <v>45</v>
      </c>
      <c r="B15" s="89"/>
      <c r="C15" s="31">
        <f>-'Electricity Stat-2021'!E6-'Electricity Stat-2021'!E10-'Electricity Stat-2021'!E14-'Electricity Stat-2021'!E15</f>
        <v>-10860.759013950001</v>
      </c>
      <c r="D15" s="31">
        <f>-'Electricity Stat-2021'!E7-'Electricity Stat-2021'!E11</f>
        <v>-78852.36575135999</v>
      </c>
      <c r="L15" s="32"/>
      <c r="M15" s="28">
        <f>'Electricity Stat-2021'!H17</f>
        <v>36474.229097999996</v>
      </c>
      <c r="N15" s="10"/>
      <c r="O15" s="23">
        <f t="shared" ref="O15:O20" si="2">SUM(B15:N15)</f>
        <v>-53238.895667309989</v>
      </c>
      <c r="Q15" s="259"/>
      <c r="R15" s="260" t="s">
        <v>46</v>
      </c>
      <c r="S15" s="261">
        <f>SUM(S10:S14)</f>
        <v>0.99999999999999989</v>
      </c>
    </row>
    <row r="16" spans="1:20" ht="20.100000000000001" customHeight="1">
      <c r="A16" s="651" t="s">
        <v>47</v>
      </c>
      <c r="B16" s="89"/>
      <c r="C16" s="28">
        <f>-'Electricity Stat-2021'!E84</f>
        <v>-16317.715122584999</v>
      </c>
      <c r="M16" s="28">
        <f>'Electricity Stat-2021'!K84</f>
        <v>5662.2579735485024</v>
      </c>
      <c r="N16" s="9"/>
      <c r="O16" s="23">
        <f t="shared" si="2"/>
        <v>-10655.457149036498</v>
      </c>
    </row>
    <row r="17" spans="1:40" ht="20.100000000000001" customHeight="1">
      <c r="A17" s="651" t="s">
        <v>48</v>
      </c>
      <c r="B17" s="89"/>
      <c r="J17" s="21">
        <f>-'Electricity Stat-2021'!H28</f>
        <v>-618.68872999999996</v>
      </c>
      <c r="K17" s="21"/>
      <c r="L17" s="21"/>
      <c r="M17" s="28">
        <f>-J17</f>
        <v>618.68872999999996</v>
      </c>
      <c r="O17" s="23">
        <f t="shared" si="2"/>
        <v>0</v>
      </c>
      <c r="Q17" s="255" t="s">
        <v>49</v>
      </c>
      <c r="R17" s="256"/>
      <c r="S17" s="257"/>
    </row>
    <row r="18" spans="1:40" ht="20.100000000000001" customHeight="1">
      <c r="A18" s="651" t="s">
        <v>50</v>
      </c>
      <c r="B18" s="89"/>
      <c r="J18" s="21"/>
      <c r="K18" s="21"/>
      <c r="L18" s="33">
        <f>-'Electricity Stat-2021'!H21</f>
        <v>-436.76114799999999</v>
      </c>
      <c r="M18" s="28">
        <f>-L18</f>
        <v>436.76114799999999</v>
      </c>
      <c r="O18" s="23">
        <f t="shared" si="2"/>
        <v>0</v>
      </c>
      <c r="Q18" s="258" t="s">
        <v>51</v>
      </c>
      <c r="R18" s="145"/>
      <c r="S18" s="346">
        <f>SUM(M17:M19)/(M15+M17+M18+M19)</f>
        <v>2.8208074624383968E-2</v>
      </c>
    </row>
    <row r="19" spans="1:40" ht="20.100000000000001" customHeight="1">
      <c r="A19" s="651" t="s">
        <v>52</v>
      </c>
      <c r="B19" s="89"/>
      <c r="D19" s="9"/>
      <c r="J19" s="28">
        <f>-'Electricity Stat-2021'!H36</f>
        <v>-3.2827059999999997</v>
      </c>
      <c r="K19" s="21"/>
      <c r="L19" s="21"/>
      <c r="M19" s="28">
        <f>-J19</f>
        <v>3.2827059999999997</v>
      </c>
      <c r="O19" s="23">
        <f t="shared" si="2"/>
        <v>0</v>
      </c>
      <c r="Q19" s="259" t="s">
        <v>53</v>
      </c>
      <c r="R19" s="260"/>
      <c r="S19" s="347">
        <f>SUM(M17:M19)/SUM(M15:M19)</f>
        <v>2.4510410930715196E-2</v>
      </c>
    </row>
    <row r="20" spans="1:40" ht="20.100000000000001" customHeight="1">
      <c r="A20" s="651" t="s">
        <v>54</v>
      </c>
      <c r="B20" s="89"/>
      <c r="D20" s="9"/>
      <c r="J20" s="28"/>
      <c r="K20" s="21">
        <f>-K5</f>
        <v>-74.367754392501737</v>
      </c>
      <c r="L20" s="21"/>
      <c r="M20" s="9"/>
      <c r="N20" s="21">
        <f>-K20</f>
        <v>74.367754392501737</v>
      </c>
      <c r="O20" s="23">
        <f t="shared" si="2"/>
        <v>0</v>
      </c>
      <c r="AI20" s="254"/>
      <c r="AJ20" s="32"/>
    </row>
    <row r="21" spans="1:40" ht="20.100000000000001" customHeight="1">
      <c r="A21" s="652" t="s">
        <v>55</v>
      </c>
      <c r="B21" s="647">
        <f t="shared" ref="B21:O21" si="3">SUM(B15:B20)</f>
        <v>0</v>
      </c>
      <c r="C21" s="34">
        <f t="shared" si="3"/>
        <v>-27178.474136534998</v>
      </c>
      <c r="D21" s="34">
        <f t="shared" si="3"/>
        <v>-78852.36575135999</v>
      </c>
      <c r="E21" s="34">
        <f t="shared" si="3"/>
        <v>0</v>
      </c>
      <c r="F21" s="34">
        <f t="shared" si="3"/>
        <v>0</v>
      </c>
      <c r="G21" s="34">
        <f t="shared" si="3"/>
        <v>0</v>
      </c>
      <c r="H21" s="34">
        <f t="shared" si="3"/>
        <v>0</v>
      </c>
      <c r="I21" s="34">
        <f t="shared" si="3"/>
        <v>0</v>
      </c>
      <c r="J21" s="34">
        <f t="shared" si="3"/>
        <v>-621.97143599999993</v>
      </c>
      <c r="K21" s="34">
        <f t="shared" si="3"/>
        <v>-74.367754392501737</v>
      </c>
      <c r="L21" s="34">
        <f t="shared" si="3"/>
        <v>-436.76114799999999</v>
      </c>
      <c r="M21" s="34">
        <f t="shared" si="3"/>
        <v>43195.219655548499</v>
      </c>
      <c r="N21" s="34">
        <f t="shared" si="3"/>
        <v>74.367754392501737</v>
      </c>
      <c r="O21" s="26">
        <f t="shared" si="3"/>
        <v>-63894.352816346487</v>
      </c>
      <c r="Q21" s="333" t="s">
        <v>56</v>
      </c>
      <c r="R21" s="334"/>
      <c r="S21" s="342" t="s">
        <v>25</v>
      </c>
      <c r="T21" s="276" t="s">
        <v>26</v>
      </c>
      <c r="AD21" s="54"/>
      <c r="AE21" s="11"/>
      <c r="AJ21" s="53"/>
    </row>
    <row r="22" spans="1:40" ht="20.100000000000001" customHeight="1">
      <c r="A22" s="654" t="s">
        <v>57</v>
      </c>
      <c r="B22" s="646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25"/>
      <c r="Q22" s="335" t="s">
        <v>28</v>
      </c>
      <c r="R22" s="336"/>
      <c r="S22" s="350">
        <f>SUM(B37:H37)</f>
        <v>56486.761286273504</v>
      </c>
      <c r="T22" s="337">
        <f>S22/$S$26</f>
        <v>0.58339619573017432</v>
      </c>
      <c r="AD22" s="54"/>
      <c r="AE22" s="11"/>
    </row>
    <row r="23" spans="1:40" ht="20.25" customHeight="1">
      <c r="A23" s="651" t="s">
        <v>58</v>
      </c>
      <c r="B23" s="89"/>
      <c r="M23" s="21">
        <f>-'Electricity Stat-2021'!N17-'Electricity Stat-2021'!N21-'Electricity Stat-2021'!N25</f>
        <v>-1118.102856</v>
      </c>
      <c r="O23" s="23">
        <f>SUM(B23:N23)</f>
        <v>-1118.102856</v>
      </c>
      <c r="Q23" s="335" t="s">
        <v>59</v>
      </c>
      <c r="R23" s="336"/>
      <c r="S23" s="350">
        <f>M37-S24</f>
        <v>39201.726567673359</v>
      </c>
      <c r="T23" s="337">
        <f>S23/$S$26</f>
        <v>0.40487607405441162</v>
      </c>
      <c r="AD23" s="54"/>
      <c r="AE23" s="11"/>
      <c r="AF23" s="41"/>
      <c r="AM23" s="11"/>
      <c r="AN23" s="1"/>
    </row>
    <row r="24" spans="1:40" ht="20.100000000000001" customHeight="1">
      <c r="A24" s="651" t="s">
        <v>60</v>
      </c>
      <c r="B24" s="89"/>
      <c r="O24" s="23">
        <f>SUM(B24:N24)</f>
        <v>0</v>
      </c>
      <c r="Q24" s="335" t="s">
        <v>61</v>
      </c>
      <c r="R24" s="338"/>
      <c r="S24" s="870">
        <f>SUM(M17:M19)*(1-'Electricity Stat-2021'!D61)</f>
        <v>1003.1040978751397</v>
      </c>
      <c r="T24" s="337">
        <f>S24/$S$26</f>
        <v>1.0360075552143799E-2</v>
      </c>
      <c r="V24" s="55">
        <f>T24+T25</f>
        <v>1.1727730215414043E-2</v>
      </c>
      <c r="AD24" s="54"/>
      <c r="AE24" s="11"/>
      <c r="AM24" s="11"/>
      <c r="AN24" s="1"/>
    </row>
    <row r="25" spans="1:40" ht="20.100000000000001" customHeight="1">
      <c r="A25" s="654" t="s">
        <v>62</v>
      </c>
      <c r="B25" s="646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4"/>
      <c r="Q25" s="335" t="s">
        <v>63</v>
      </c>
      <c r="R25" s="338"/>
      <c r="S25" s="351">
        <f>N37+I37</f>
        <v>132.4218139432912</v>
      </c>
      <c r="T25" s="631">
        <f>S25/$S$26</f>
        <v>1.3676546632702439E-3</v>
      </c>
      <c r="AM25" s="11"/>
      <c r="AN25" s="1"/>
    </row>
    <row r="26" spans="1:40" ht="20.100000000000001" customHeight="1">
      <c r="A26" s="651" t="s">
        <v>64</v>
      </c>
      <c r="B26" s="89"/>
      <c r="M26" s="35">
        <f>-'Electricity Stat-2021'!E60</f>
        <v>-1972.889364000001</v>
      </c>
      <c r="O26" s="23">
        <f>SUM(B26:N26)</f>
        <v>-1972.889364000001</v>
      </c>
      <c r="Q26" s="339"/>
      <c r="R26" s="340"/>
      <c r="S26" s="341">
        <f>SUM(S22:S25)</f>
        <v>96824.013765765296</v>
      </c>
      <c r="T26" s="353">
        <f>SUM(T22:T25)</f>
        <v>1</v>
      </c>
      <c r="AM26" s="11"/>
      <c r="AN26" s="1"/>
    </row>
    <row r="27" spans="1:40" ht="20.100000000000001" customHeight="1">
      <c r="A27" s="652" t="s">
        <v>65</v>
      </c>
      <c r="B27" s="329">
        <f t="shared" ref="B27:O27" si="4">B12+B21+B26</f>
        <v>25184.768565869301</v>
      </c>
      <c r="C27" s="34">
        <f t="shared" si="4"/>
        <v>19137.266483490857</v>
      </c>
      <c r="D27" s="34">
        <f t="shared" si="4"/>
        <v>-1430.6917475519876</v>
      </c>
      <c r="E27" s="34">
        <f t="shared" si="4"/>
        <v>1407.3852262022929</v>
      </c>
      <c r="F27" s="34">
        <f t="shared" si="4"/>
        <v>5152.8407410199998</v>
      </c>
      <c r="G27" s="34">
        <f t="shared" si="4"/>
        <v>22.949671359999989</v>
      </c>
      <c r="H27" s="29">
        <f t="shared" si="4"/>
        <v>94.988779199999996</v>
      </c>
      <c r="I27" s="29">
        <f t="shared" si="4"/>
        <v>58.054059550789468</v>
      </c>
      <c r="J27" s="29">
        <f t="shared" si="4"/>
        <v>0</v>
      </c>
      <c r="K27" s="29">
        <f t="shared" si="4"/>
        <v>0</v>
      </c>
      <c r="L27" s="29">
        <f t="shared" si="4"/>
        <v>0</v>
      </c>
      <c r="M27" s="29">
        <f t="shared" si="4"/>
        <v>41222.330291548496</v>
      </c>
      <c r="N27" s="29">
        <f t="shared" si="4"/>
        <v>74.367754392501737</v>
      </c>
      <c r="O27" s="26">
        <f t="shared" si="4"/>
        <v>90924.259825082205</v>
      </c>
      <c r="U27" s="672">
        <f>M37/O37</f>
        <v>0.41523614960655536</v>
      </c>
      <c r="AM27" s="11"/>
      <c r="AN27" s="1"/>
    </row>
    <row r="28" spans="1:40" ht="20.100000000000001" customHeight="1">
      <c r="A28" s="654" t="s">
        <v>66</v>
      </c>
      <c r="B28" s="648"/>
      <c r="C28" s="37"/>
      <c r="D28" s="37"/>
      <c r="E28" s="37"/>
      <c r="F28" s="37"/>
      <c r="G28" s="37"/>
      <c r="H28" s="30"/>
      <c r="I28" s="30"/>
      <c r="J28" s="30"/>
      <c r="K28" s="30"/>
      <c r="L28" s="30"/>
      <c r="M28" s="30"/>
      <c r="N28" s="30"/>
      <c r="O28" s="24"/>
      <c r="Q28" s="262" t="s">
        <v>67</v>
      </c>
      <c r="R28" s="263"/>
      <c r="S28" s="264"/>
      <c r="AM28" s="11"/>
      <c r="AN28" s="1"/>
    </row>
    <row r="29" spans="1:40" ht="20.100000000000001" customHeight="1">
      <c r="A29" s="655" t="s">
        <v>68</v>
      </c>
      <c r="B29" s="327"/>
      <c r="C29" s="21"/>
      <c r="D29" s="791"/>
      <c r="E29" s="21"/>
      <c r="F29" s="21">
        <f>'Petroleum Stat-2021'!M68</f>
        <v>3946.0168762900016</v>
      </c>
      <c r="G29" s="28">
        <f>'Biomass, SWH &amp; Kero'!J40</f>
        <v>3.8457364329999999</v>
      </c>
      <c r="H29" s="49"/>
      <c r="I29" s="9">
        <f>'Biomass, SWH &amp; Kero'!F40+'Biomass, SWH &amp; Kero'!H40</f>
        <v>58.054059550789468</v>
      </c>
      <c r="M29" s="21">
        <f>'Electricity Stat-2021'!E92</f>
        <v>11932.101734000002</v>
      </c>
      <c r="N29" s="49">
        <f>'Biomass, SWH &amp; Kero'!L40</f>
        <v>74.367754392501737</v>
      </c>
      <c r="O29" s="934">
        <f>SUM(B29:N29)</f>
        <v>16014.386160666296</v>
      </c>
      <c r="P29" s="19">
        <f>M29/O29</f>
        <v>0.74508642506117473</v>
      </c>
      <c r="Q29" s="359" t="s">
        <v>68</v>
      </c>
      <c r="R29" s="265"/>
      <c r="S29" s="348">
        <f t="shared" ref="S29:S35" si="5">O29/$O$37</f>
        <v>0.16539684255816925</v>
      </c>
      <c r="AM29" s="11"/>
      <c r="AN29" s="1"/>
    </row>
    <row r="30" spans="1:40" ht="15.75">
      <c r="A30" s="655" t="s">
        <v>69</v>
      </c>
      <c r="B30" s="327">
        <f>'Petroleum Stat-2021'!H72+'Petroleum Stat-2021'!H73</f>
        <v>455.28734865000001</v>
      </c>
      <c r="C30" s="21">
        <f>'Petroleum Stat-2021'!D94</f>
        <v>3691.7702036549886</v>
      </c>
      <c r="D30" s="791"/>
      <c r="E30" s="21"/>
      <c r="F30" s="21">
        <f>'Petroleum Stat-2021'!M69+'Petroleum Stat-2021'!M71</f>
        <v>1107.1678785640015</v>
      </c>
      <c r="G30" s="28">
        <f>'Petroleum Stat-2021'!R70</f>
        <v>5.6644000000000005</v>
      </c>
      <c r="H30" s="49"/>
      <c r="I30" s="9"/>
      <c r="M30" s="21">
        <f>'Electricity Stat-2021'!E94</f>
        <v>22840.517989313554</v>
      </c>
      <c r="N30" s="21"/>
      <c r="O30" s="251">
        <f t="shared" ref="O29:O35" si="6">SUM(B30:N30)</f>
        <v>28100.407820182543</v>
      </c>
      <c r="Q30" s="359" t="s">
        <v>69</v>
      </c>
      <c r="R30" s="265"/>
      <c r="S30" s="348">
        <f t="shared" si="5"/>
        <v>0.29022147220794298</v>
      </c>
      <c r="AM30" s="11"/>
      <c r="AN30" s="1"/>
    </row>
    <row r="31" spans="1:40" ht="20.100000000000001" customHeight="1">
      <c r="A31" s="655" t="s">
        <v>70</v>
      </c>
      <c r="B31" s="327">
        <f>'Petroleum Stat-2021'!H74</f>
        <v>23.725645000000004</v>
      </c>
      <c r="C31" s="28">
        <f>'Petroleum Stat-2021'!D92</f>
        <v>2560.6903950000001</v>
      </c>
      <c r="D31" s="21">
        <f>'Petroleum Stat-2021'!W54</f>
        <v>4275.1847999999991</v>
      </c>
      <c r="E31" s="21"/>
      <c r="F31" s="21">
        <f>'Petroleum Stat-2021'!M70</f>
        <v>288.44316041999997</v>
      </c>
      <c r="G31" s="343">
        <f>'Petroleum Stat-2021'!R72</f>
        <v>4.2336</v>
      </c>
      <c r="H31" s="49"/>
      <c r="M31" s="21">
        <f>'Electricity Stat-2021'!E93</f>
        <v>5432.2109422349486</v>
      </c>
      <c r="N31" s="21"/>
      <c r="O31" s="251">
        <f t="shared" si="6"/>
        <v>12584.488542654948</v>
      </c>
      <c r="Q31" s="359" t="s">
        <v>70</v>
      </c>
      <c r="R31" s="265"/>
      <c r="S31" s="348">
        <f t="shared" si="5"/>
        <v>0.12997280378294468</v>
      </c>
      <c r="AM31" s="11"/>
      <c r="AN31" s="75"/>
    </row>
    <row r="32" spans="1:40" ht="20.100000000000001" customHeight="1">
      <c r="A32" s="655" t="s">
        <v>71</v>
      </c>
      <c r="B32" s="328">
        <f>'Petroleum Stat-2021'!H70</f>
        <v>21143.097433480812</v>
      </c>
      <c r="C32" s="28">
        <f>'Petroleum Stat-2021'!D90</f>
        <v>11470.350147956417</v>
      </c>
      <c r="D32" s="791"/>
      <c r="E32" s="791"/>
      <c r="F32" s="21"/>
      <c r="G32" s="21"/>
      <c r="M32" s="21">
        <v>0</v>
      </c>
      <c r="N32" s="21"/>
      <c r="O32" s="251">
        <f>SUM(B32:N32)</f>
        <v>32613.447581437227</v>
      </c>
      <c r="P32" s="63"/>
      <c r="Q32" s="359" t="s">
        <v>71</v>
      </c>
      <c r="R32" s="265"/>
      <c r="S32" s="348">
        <f t="shared" si="5"/>
        <v>0.33683222077877312</v>
      </c>
      <c r="AM32" s="10"/>
    </row>
    <row r="33" spans="1:39" ht="20.100000000000001" customHeight="1">
      <c r="A33" s="655" t="s">
        <v>72</v>
      </c>
      <c r="B33" s="789"/>
      <c r="C33" s="790"/>
      <c r="D33" s="791"/>
      <c r="E33" s="21">
        <f>'Petroleum Stat-2021'!R58</f>
        <v>1869.9154639200003</v>
      </c>
      <c r="F33" s="791"/>
      <c r="G33" s="791"/>
      <c r="H33" s="21">
        <f>'Petroleum Stat-2021'!G33</f>
        <v>93.999585600000003</v>
      </c>
      <c r="I33" s="792"/>
      <c r="J33" s="792"/>
      <c r="K33" s="792"/>
      <c r="L33" s="792"/>
      <c r="M33" s="791">
        <v>0</v>
      </c>
      <c r="N33" s="791"/>
      <c r="O33" s="251">
        <f>SUM(B33:N33)</f>
        <v>1963.9150495200004</v>
      </c>
      <c r="P33" s="63"/>
      <c r="Q33" s="359" t="s">
        <v>72</v>
      </c>
      <c r="R33" s="265"/>
      <c r="S33" s="348">
        <f t="shared" si="5"/>
        <v>2.0283346797325134E-2</v>
      </c>
    </row>
    <row r="34" spans="1:39" ht="20.100000000000001" customHeight="1">
      <c r="A34" s="655" t="s">
        <v>73</v>
      </c>
      <c r="B34" s="327">
        <f>'Petroleum Stat-2021'!H71</f>
        <v>1046.4954170000001</v>
      </c>
      <c r="C34" s="250">
        <f>'Petroleum Stat-2021'!D91</f>
        <v>2305.9740021749999</v>
      </c>
      <c r="D34" s="791"/>
      <c r="E34" s="21"/>
      <c r="F34" s="21"/>
      <c r="G34" s="21"/>
      <c r="M34" s="21">
        <v>0</v>
      </c>
      <c r="N34" s="21"/>
      <c r="O34" s="251">
        <f>SUM(B34:N34)</f>
        <v>3352.469419175</v>
      </c>
      <c r="P34" s="63"/>
      <c r="Q34" s="359" t="s">
        <v>73</v>
      </c>
      <c r="R34" s="265"/>
      <c r="S34" s="348">
        <f t="shared" si="5"/>
        <v>3.4624359069488957E-2</v>
      </c>
      <c r="AM34" s="10"/>
    </row>
    <row r="35" spans="1:39" ht="20.100000000000001" customHeight="1">
      <c r="A35" s="655" t="s">
        <v>74</v>
      </c>
      <c r="B35" s="327"/>
      <c r="C35" s="250">
        <f>'Petroleum Stat-2021'!D93</f>
        <v>2194.899192129285</v>
      </c>
      <c r="D35" s="791"/>
      <c r="E35" s="21"/>
      <c r="F35" s="21"/>
      <c r="G35" s="21"/>
      <c r="M35" s="21"/>
      <c r="N35" s="21"/>
      <c r="O35" s="251">
        <f t="shared" si="6"/>
        <v>2194.899192129285</v>
      </c>
      <c r="P35" s="63"/>
      <c r="Q35" s="359" t="s">
        <v>74</v>
      </c>
      <c r="R35" s="265"/>
      <c r="S35" s="349">
        <f t="shared" si="5"/>
        <v>2.2668954805355836E-2</v>
      </c>
    </row>
    <row r="36" spans="1:39" ht="20.100000000000001" customHeight="1">
      <c r="A36" s="653" t="s">
        <v>75</v>
      </c>
      <c r="B36" s="327"/>
      <c r="C36" s="250"/>
      <c r="D36" s="871" t="s">
        <v>76</v>
      </c>
      <c r="E36" s="21"/>
      <c r="F36" s="21"/>
      <c r="G36" s="21"/>
      <c r="M36" s="21"/>
      <c r="N36" s="21"/>
      <c r="O36" s="251"/>
      <c r="P36" s="63"/>
      <c r="Q36" s="359"/>
      <c r="R36" s="265"/>
      <c r="S36" s="349"/>
    </row>
    <row r="37" spans="1:39" ht="20.100000000000001" customHeight="1">
      <c r="A37" s="656" t="s">
        <v>77</v>
      </c>
      <c r="B37" s="329">
        <f>SUM(B29:B36)</f>
        <v>22668.605844130812</v>
      </c>
      <c r="C37" s="34">
        <f t="shared" ref="C37:N37" si="7">SUM(C29:C36)</f>
        <v>22223.683940915689</v>
      </c>
      <c r="D37" s="34">
        <f t="shared" si="7"/>
        <v>4275.1847999999991</v>
      </c>
      <c r="E37" s="34">
        <f t="shared" si="7"/>
        <v>1869.9154639200003</v>
      </c>
      <c r="F37" s="34">
        <f t="shared" si="7"/>
        <v>5341.6279152740026</v>
      </c>
      <c r="G37" s="34">
        <f t="shared" si="7"/>
        <v>13.743736432999999</v>
      </c>
      <c r="H37" s="34">
        <f t="shared" si="7"/>
        <v>93.999585600000003</v>
      </c>
      <c r="I37" s="34">
        <f t="shared" si="7"/>
        <v>58.054059550789468</v>
      </c>
      <c r="J37" s="34">
        <f t="shared" si="7"/>
        <v>0</v>
      </c>
      <c r="K37" s="34">
        <f t="shared" si="7"/>
        <v>0</v>
      </c>
      <c r="L37" s="34">
        <f t="shared" si="7"/>
        <v>0</v>
      </c>
      <c r="M37" s="34">
        <f t="shared" si="7"/>
        <v>40204.830665548499</v>
      </c>
      <c r="N37" s="34">
        <f t="shared" si="7"/>
        <v>74.367754392501737</v>
      </c>
      <c r="O37" s="935">
        <f>SUM(O29:O35)</f>
        <v>96824.01376576531</v>
      </c>
      <c r="P37" s="63"/>
      <c r="Q37" s="266" t="s">
        <v>46</v>
      </c>
      <c r="R37" s="267"/>
      <c r="S37" s="268">
        <f>SUM(S29:S35)</f>
        <v>0.99999999999999989</v>
      </c>
    </row>
    <row r="38" spans="1:39" ht="20.100000000000001" customHeight="1">
      <c r="A38" s="657" t="s">
        <v>78</v>
      </c>
      <c r="B38" s="330">
        <f>B27-B37</f>
        <v>2516.1627217384885</v>
      </c>
      <c r="C38" s="38">
        <f t="shared" ref="C38:N38" si="8">C27-C37</f>
        <v>-3086.4174574248318</v>
      </c>
      <c r="D38" s="38">
        <f t="shared" si="8"/>
        <v>-5705.8765475519867</v>
      </c>
      <c r="E38" s="38">
        <f t="shared" si="8"/>
        <v>-462.53023771770745</v>
      </c>
      <c r="F38" s="38">
        <f t="shared" si="8"/>
        <v>-188.78717425400282</v>
      </c>
      <c r="G38" s="38">
        <f t="shared" si="8"/>
        <v>9.2059349269999906</v>
      </c>
      <c r="H38" s="38">
        <f t="shared" si="8"/>
        <v>0.98919359999999301</v>
      </c>
      <c r="I38" s="38">
        <f t="shared" si="8"/>
        <v>0</v>
      </c>
      <c r="J38" s="38">
        <f t="shared" si="8"/>
        <v>0</v>
      </c>
      <c r="K38" s="38">
        <f t="shared" si="8"/>
        <v>0</v>
      </c>
      <c r="L38" s="38">
        <f t="shared" si="8"/>
        <v>0</v>
      </c>
      <c r="M38" s="38">
        <f t="shared" si="8"/>
        <v>1017.4996259999971</v>
      </c>
      <c r="N38" s="38">
        <f t="shared" si="8"/>
        <v>0</v>
      </c>
      <c r="O38" s="331">
        <f>O27-O37</f>
        <v>-5899.7539406831056</v>
      </c>
      <c r="P38" s="63"/>
    </row>
    <row r="39" spans="1:39" ht="20.100000000000001" customHeight="1">
      <c r="A39" s="658" t="s">
        <v>79</v>
      </c>
      <c r="B39" s="793">
        <f>B$38/B$27</f>
        <v>9.9908113713954166E-2</v>
      </c>
      <c r="C39" s="794">
        <f t="shared" ref="C39:O39" si="9">C$38/C$27</f>
        <v>-0.16127786379979561</v>
      </c>
      <c r="D39" s="794">
        <f t="shared" si="9"/>
        <v>3.9881942125654497</v>
      </c>
      <c r="E39" s="794">
        <f t="shared" si="9"/>
        <v>-0.32864508530177289</v>
      </c>
      <c r="F39" s="325">
        <f t="shared" si="9"/>
        <v>-3.6637494489424605E-2</v>
      </c>
      <c r="G39" s="344"/>
      <c r="H39" s="344">
        <f t="shared" si="9"/>
        <v>1.0413794222128429E-2</v>
      </c>
      <c r="I39" s="325">
        <f t="shared" si="9"/>
        <v>0</v>
      </c>
      <c r="J39" s="325"/>
      <c r="K39" s="325"/>
      <c r="L39" s="325"/>
      <c r="M39" s="325">
        <f t="shared" si="9"/>
        <v>2.4683214626723987E-2</v>
      </c>
      <c r="N39" s="325">
        <f t="shared" si="9"/>
        <v>0</v>
      </c>
      <c r="O39" s="326">
        <f t="shared" si="9"/>
        <v>-6.488646651655898E-2</v>
      </c>
      <c r="P39" s="36"/>
      <c r="Q39" s="632" t="s">
        <v>80</v>
      </c>
      <c r="R39" s="633"/>
      <c r="S39" s="634">
        <f>O12/'Biomass, SWH &amp; Kero'!B42</f>
        <v>1.5599194375596259</v>
      </c>
    </row>
    <row r="40" spans="1:39" ht="20.100000000000001" customHeight="1">
      <c r="B40" s="32"/>
      <c r="C40" s="673"/>
      <c r="D40" s="32"/>
      <c r="E40" s="332"/>
      <c r="F40" s="32"/>
      <c r="G40" s="332"/>
      <c r="H40" s="332"/>
      <c r="I40" s="332"/>
      <c r="J40" s="332"/>
      <c r="K40" s="332"/>
      <c r="L40" s="332"/>
      <c r="M40" s="332"/>
      <c r="N40" s="332"/>
      <c r="O40" s="332"/>
      <c r="P40" s="36"/>
      <c r="Q40" s="635" t="s">
        <v>81</v>
      </c>
      <c r="R40" s="636" t="s">
        <v>82</v>
      </c>
      <c r="S40" s="637"/>
      <c r="U40" t="s">
        <v>83</v>
      </c>
    </row>
    <row r="41" spans="1:39" ht="20.100000000000001" customHeight="1">
      <c r="B41" s="332"/>
      <c r="C41" s="332"/>
      <c r="D41" s="332"/>
      <c r="E41" s="332"/>
      <c r="F41" s="332"/>
      <c r="G41" s="332"/>
      <c r="H41" s="332"/>
      <c r="I41" s="332"/>
      <c r="J41" s="332"/>
      <c r="K41" s="332"/>
      <c r="L41" s="332"/>
      <c r="M41" s="332"/>
      <c r="N41" s="332"/>
      <c r="O41" s="33"/>
      <c r="P41" s="36"/>
      <c r="Q41" s="638" t="s">
        <v>84</v>
      </c>
      <c r="R41" s="639"/>
      <c r="S41" s="640"/>
    </row>
    <row r="42" spans="1:39" ht="20.100000000000001" customHeight="1">
      <c r="B42" s="332"/>
      <c r="C42" s="332"/>
      <c r="D42" s="332"/>
      <c r="E42" s="332"/>
      <c r="F42" s="332"/>
      <c r="G42" s="332"/>
      <c r="H42" s="332"/>
      <c r="I42" s="332"/>
      <c r="J42" s="332"/>
      <c r="K42" s="332"/>
      <c r="L42" s="332"/>
      <c r="M42" s="332"/>
      <c r="N42" s="674"/>
      <c r="O42" s="332"/>
      <c r="P42" s="36"/>
      <c r="S42" s="9"/>
    </row>
    <row r="43" spans="1:39">
      <c r="A43" s="2" t="s">
        <v>85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39">
      <c r="D44" s="1"/>
      <c r="E44" s="1"/>
      <c r="F44" s="1"/>
      <c r="G44" s="1"/>
      <c r="H44" s="1"/>
      <c r="I44" s="1"/>
      <c r="J44" s="1"/>
      <c r="K44" s="1"/>
      <c r="L44" s="1"/>
      <c r="M44" s="1"/>
      <c r="P44" s="9"/>
    </row>
    <row r="45" spans="1:39" ht="18.75">
      <c r="A45" s="46" t="s">
        <v>86</v>
      </c>
      <c r="B45" s="73" t="s">
        <v>25</v>
      </c>
      <c r="C45" s="73" t="s">
        <v>26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S45" s="53"/>
    </row>
    <row r="46" spans="1:39">
      <c r="A46" s="360" t="s">
        <v>13</v>
      </c>
      <c r="B46" s="59">
        <f>D12</f>
        <v>77421.674003808002</v>
      </c>
      <c r="C46" s="61">
        <f t="shared" ref="C46:C57" si="10">$B46/$B$57</f>
        <v>0.49378743754318638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39">
      <c r="A47" s="360" t="s">
        <v>12</v>
      </c>
      <c r="B47" s="59">
        <f>C12</f>
        <v>46315.740620025856</v>
      </c>
      <c r="C47" s="61">
        <f t="shared" si="10"/>
        <v>0.29539700830483934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39">
      <c r="A48" s="360" t="s">
        <v>11</v>
      </c>
      <c r="B48" s="59">
        <f>B12</f>
        <v>25184.768565869301</v>
      </c>
      <c r="C48" s="61">
        <f t="shared" si="10"/>
        <v>0.16062585180794628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39">
      <c r="A49" s="360" t="s">
        <v>15</v>
      </c>
      <c r="B49" s="59">
        <f>F12</f>
        <v>5152.8407410199998</v>
      </c>
      <c r="C49" s="61">
        <f t="shared" si="10"/>
        <v>3.2864285851675751E-2</v>
      </c>
      <c r="F49" s="6"/>
    </row>
    <row r="50" spans="1:39" ht="15.75">
      <c r="A50" s="360" t="s">
        <v>14</v>
      </c>
      <c r="B50" s="59">
        <f>E12</f>
        <v>1407.3852262022929</v>
      </c>
      <c r="C50" s="61">
        <f t="shared" si="10"/>
        <v>8.9761575608451293E-3</v>
      </c>
      <c r="F50" s="45"/>
      <c r="AI50" s="74"/>
      <c r="AJ50" s="36"/>
      <c r="AK50" s="36"/>
      <c r="AL50" s="36"/>
      <c r="AM50" s="77"/>
    </row>
    <row r="51" spans="1:39" ht="15.75">
      <c r="A51" s="361" t="s">
        <v>21</v>
      </c>
      <c r="B51" s="59">
        <f>L12</f>
        <v>436.76114799999999</v>
      </c>
      <c r="C51" s="61">
        <f t="shared" si="10"/>
        <v>2.7856174755241376E-3</v>
      </c>
      <c r="U51" s="11"/>
      <c r="AI51" s="74"/>
      <c r="AJ51" s="36"/>
      <c r="AK51" s="36"/>
      <c r="AL51" s="36"/>
      <c r="AM51" s="78"/>
    </row>
    <row r="52" spans="1:39" ht="15.75">
      <c r="A52" s="360" t="s">
        <v>19</v>
      </c>
      <c r="B52" s="59">
        <f>J12</f>
        <v>621.97143599999993</v>
      </c>
      <c r="C52" s="61">
        <f t="shared" si="10"/>
        <v>3.9668695563517533E-3</v>
      </c>
      <c r="AI52" s="74"/>
      <c r="AJ52" s="36"/>
      <c r="AK52" s="36"/>
      <c r="AL52" s="36"/>
      <c r="AM52" s="77"/>
    </row>
    <row r="53" spans="1:39" ht="15.75">
      <c r="A53" s="360" t="s">
        <v>20</v>
      </c>
      <c r="B53" s="11">
        <f>K12</f>
        <v>74.367754392501737</v>
      </c>
      <c r="C53" s="61">
        <f t="shared" si="10"/>
        <v>4.7430985379505361E-4</v>
      </c>
      <c r="AI53" s="74"/>
      <c r="AJ53" s="36"/>
      <c r="AK53" s="36"/>
      <c r="AL53" s="36"/>
      <c r="AM53" s="35"/>
    </row>
    <row r="54" spans="1:39">
      <c r="A54" s="360" t="s">
        <v>16</v>
      </c>
      <c r="B54" s="59">
        <f>G12</f>
        <v>22.949671359999989</v>
      </c>
      <c r="C54" s="61">
        <f t="shared" si="10"/>
        <v>1.4637063276047569E-4</v>
      </c>
    </row>
    <row r="55" spans="1:39">
      <c r="A55" s="360" t="s">
        <v>87</v>
      </c>
      <c r="B55" s="59">
        <f>I12</f>
        <v>58.054059550789468</v>
      </c>
      <c r="C55" s="61">
        <f t="shared" si="10"/>
        <v>3.7026279363520242E-4</v>
      </c>
    </row>
    <row r="56" spans="1:39">
      <c r="A56" s="360" t="s">
        <v>17</v>
      </c>
      <c r="B56" s="59">
        <f>H12</f>
        <v>94.988779199999996</v>
      </c>
      <c r="C56" s="62">
        <f t="shared" si="10"/>
        <v>6.0582861944081092E-4</v>
      </c>
    </row>
    <row r="57" spans="1:39">
      <c r="A57" s="362" t="s">
        <v>9</v>
      </c>
      <c r="B57" s="60">
        <f>SUM(B46:B56)</f>
        <v>156791.50200542869</v>
      </c>
      <c r="C57" s="47">
        <f t="shared" si="10"/>
        <v>1</v>
      </c>
    </row>
    <row r="58" spans="1:39">
      <c r="A58" t="s">
        <v>88</v>
      </c>
      <c r="B58" s="10">
        <f>SUM(B46:B50)+B54+B56</f>
        <v>155600.34760748543</v>
      </c>
      <c r="C58" s="1">
        <f>B58/B57</f>
        <v>0.99240294032069409</v>
      </c>
    </row>
    <row r="59" spans="1:39">
      <c r="A59" t="s">
        <v>89</v>
      </c>
      <c r="B59" s="10">
        <f>B51+B52+B53+B55</f>
        <v>1191.1543979432909</v>
      </c>
      <c r="C59" s="1">
        <f>B59/B57</f>
        <v>7.5970596793061449E-3</v>
      </c>
      <c r="J59" s="1"/>
    </row>
    <row r="62" spans="1:39">
      <c r="U62" s="11"/>
    </row>
    <row r="63" spans="1:39">
      <c r="F63" s="5"/>
      <c r="G63" s="5"/>
      <c r="U63" s="10"/>
    </row>
    <row r="64" spans="1:39">
      <c r="F64" s="5"/>
      <c r="G64" s="5"/>
      <c r="U64" s="11"/>
    </row>
    <row r="65" spans="1:21">
      <c r="F65" s="5"/>
      <c r="G65" s="5"/>
    </row>
    <row r="66" spans="1:21">
      <c r="F66" s="5"/>
      <c r="G66" s="5"/>
    </row>
    <row r="67" spans="1:21">
      <c r="C67" s="5"/>
      <c r="F67" s="5"/>
      <c r="G67" s="5"/>
      <c r="U67" s="10"/>
    </row>
    <row r="68" spans="1:21">
      <c r="C68" s="5"/>
      <c r="F68" s="5"/>
      <c r="G68" s="5"/>
      <c r="U68" s="10"/>
    </row>
    <row r="69" spans="1:21">
      <c r="U69" s="11"/>
    </row>
    <row r="75" spans="1:21">
      <c r="A75" s="2" t="s">
        <v>90</v>
      </c>
    </row>
    <row r="77" spans="1:21" ht="18.75">
      <c r="A77" s="46" t="s">
        <v>86</v>
      </c>
      <c r="B77" s="73" t="s">
        <v>25</v>
      </c>
      <c r="C77" s="73" t="s">
        <v>26</v>
      </c>
    </row>
    <row r="78" spans="1:21">
      <c r="A78" s="360" t="s">
        <v>7</v>
      </c>
      <c r="B78" s="368">
        <f>M37</f>
        <v>40204.830665548499</v>
      </c>
      <c r="C78" s="369">
        <f t="shared" ref="C78:C87" si="11">$B78/$B$88</f>
        <v>0.41523614960655542</v>
      </c>
    </row>
    <row r="79" spans="1:21">
      <c r="A79" s="360" t="s">
        <v>11</v>
      </c>
      <c r="B79" s="366">
        <f>B37</f>
        <v>22668.605844130812</v>
      </c>
      <c r="C79" s="369">
        <f t="shared" si="11"/>
        <v>0.23412173243478882</v>
      </c>
    </row>
    <row r="80" spans="1:21">
      <c r="A80" s="360" t="s">
        <v>12</v>
      </c>
      <c r="B80" s="366">
        <f>C37</f>
        <v>22223.683940915689</v>
      </c>
      <c r="C80" s="369">
        <f t="shared" si="11"/>
        <v>0.22952657173125232</v>
      </c>
    </row>
    <row r="81" spans="1:3">
      <c r="A81" s="360" t="s">
        <v>15</v>
      </c>
      <c r="B81" s="366">
        <f>F37</f>
        <v>5341.6279152740026</v>
      </c>
      <c r="C81" s="370">
        <f t="shared" si="11"/>
        <v>5.5168420596530536E-2</v>
      </c>
    </row>
    <row r="82" spans="1:3">
      <c r="A82" s="360" t="s">
        <v>13</v>
      </c>
      <c r="B82" s="366">
        <f>D37</f>
        <v>4275.1847999999991</v>
      </c>
      <c r="C82" s="369">
        <f t="shared" si="11"/>
        <v>4.4154178635296408E-2</v>
      </c>
    </row>
    <row r="83" spans="1:3">
      <c r="A83" s="360" t="s">
        <v>14</v>
      </c>
      <c r="B83" s="366">
        <f>E37</f>
        <v>1869.9154639200003</v>
      </c>
      <c r="C83" s="369">
        <f t="shared" si="11"/>
        <v>1.9312517537680911E-2</v>
      </c>
    </row>
    <row r="84" spans="1:3">
      <c r="A84" s="360" t="s">
        <v>91</v>
      </c>
      <c r="B84" s="366">
        <f>N37</f>
        <v>74.367754392501737</v>
      </c>
      <c r="C84" s="370">
        <f t="shared" si="11"/>
        <v>7.6807138539423405E-4</v>
      </c>
    </row>
    <row r="85" spans="1:3">
      <c r="A85" s="360" t="s">
        <v>16</v>
      </c>
      <c r="B85" s="366">
        <f>G37</f>
        <v>13.743736432999999</v>
      </c>
      <c r="C85" s="370">
        <f t="shared" si="11"/>
        <v>1.4194553498111088E-4</v>
      </c>
    </row>
    <row r="86" spans="1:3">
      <c r="A86" s="360" t="s">
        <v>92</v>
      </c>
      <c r="B86" s="366">
        <f>I37</f>
        <v>58.054059550789468</v>
      </c>
      <c r="C86" s="370">
        <f t="shared" si="11"/>
        <v>5.9958327787600996E-4</v>
      </c>
    </row>
    <row r="87" spans="1:3">
      <c r="A87" s="360" t="s">
        <v>17</v>
      </c>
      <c r="B87" s="366">
        <f>H37</f>
        <v>93.999585600000003</v>
      </c>
      <c r="C87" s="371">
        <f t="shared" si="11"/>
        <v>9.7082925964422321E-4</v>
      </c>
    </row>
    <row r="88" spans="1:3">
      <c r="A88" s="363" t="s">
        <v>9</v>
      </c>
      <c r="B88" s="364">
        <f>SUM(B78:B87)</f>
        <v>96824.013765765296</v>
      </c>
      <c r="C88" s="381">
        <f>SUM(C78:C87)</f>
        <v>1</v>
      </c>
    </row>
    <row r="98" spans="1:7">
      <c r="A98" s="2" t="s">
        <v>93</v>
      </c>
    </row>
    <row r="100" spans="1:7">
      <c r="A100" s="46" t="s">
        <v>94</v>
      </c>
      <c r="B100" s="46" t="s">
        <v>25</v>
      </c>
      <c r="C100" s="46" t="s">
        <v>26</v>
      </c>
      <c r="G100" s="19"/>
    </row>
    <row r="101" spans="1:7" ht="15.75">
      <c r="A101" s="375" t="s">
        <v>95</v>
      </c>
      <c r="B101" s="367">
        <f>SUM(B102:B104)</f>
        <v>37929.832050132231</v>
      </c>
      <c r="C101" s="365">
        <f t="shared" ref="C101:C108" si="12">$B101/$B$109</f>
        <v>0.39173992664558721</v>
      </c>
      <c r="G101" s="19"/>
    </row>
    <row r="102" spans="1:7" ht="15.75">
      <c r="A102" s="376" t="s">
        <v>71</v>
      </c>
      <c r="B102" s="377">
        <f>O32</f>
        <v>32613.447581437227</v>
      </c>
      <c r="C102" s="378">
        <f t="shared" si="12"/>
        <v>0.33683222077877312</v>
      </c>
      <c r="G102" s="19"/>
    </row>
    <row r="103" spans="1:7" ht="15.75">
      <c r="A103" s="376" t="s">
        <v>73</v>
      </c>
      <c r="B103" s="377">
        <f>O34</f>
        <v>3352.469419175</v>
      </c>
      <c r="C103" s="378">
        <f t="shared" si="12"/>
        <v>3.4624359069488957E-2</v>
      </c>
      <c r="G103" s="19"/>
    </row>
    <row r="104" spans="1:7" ht="15.75">
      <c r="A104" s="376" t="s">
        <v>72</v>
      </c>
      <c r="B104" s="377">
        <f>O33</f>
        <v>1963.9150495200004</v>
      </c>
      <c r="C104" s="378">
        <f t="shared" si="12"/>
        <v>2.0283346797325134E-2</v>
      </c>
      <c r="G104" s="19"/>
    </row>
    <row r="105" spans="1:7" ht="15.75">
      <c r="A105" s="375" t="s">
        <v>96</v>
      </c>
      <c r="B105" s="367">
        <f>O30</f>
        <v>28100.407820182543</v>
      </c>
      <c r="C105" s="365">
        <f t="shared" si="12"/>
        <v>0.29022147220794298</v>
      </c>
      <c r="G105" s="19"/>
    </row>
    <row r="106" spans="1:7" ht="15.75">
      <c r="A106" s="375" t="s">
        <v>97</v>
      </c>
      <c r="B106" s="367">
        <f>O29</f>
        <v>16014.386160666296</v>
      </c>
      <c r="C106" s="365">
        <f t="shared" si="12"/>
        <v>0.16539684255816925</v>
      </c>
      <c r="G106" s="19"/>
    </row>
    <row r="107" spans="1:7" ht="15.75">
      <c r="A107" s="375" t="s">
        <v>98</v>
      </c>
      <c r="B107" s="367">
        <f>O31</f>
        <v>12584.488542654948</v>
      </c>
      <c r="C107" s="365">
        <f t="shared" si="12"/>
        <v>0.12997280378294468</v>
      </c>
    </row>
    <row r="108" spans="1:7" ht="15.75">
      <c r="A108" s="375" t="s">
        <v>74</v>
      </c>
      <c r="B108" s="367">
        <f>O35</f>
        <v>2194.899192129285</v>
      </c>
      <c r="C108" s="365">
        <f t="shared" si="12"/>
        <v>2.2668954805355836E-2</v>
      </c>
    </row>
    <row r="109" spans="1:7" ht="15.75">
      <c r="A109" s="379" t="s">
        <v>9</v>
      </c>
      <c r="B109" s="367">
        <f>SUM(B102:B108)</f>
        <v>96824.01376576531</v>
      </c>
      <c r="C109" s="380">
        <f>SUM(C102:C108)</f>
        <v>1</v>
      </c>
    </row>
  </sheetData>
  <mergeCells count="3">
    <mergeCell ref="B2:H2"/>
    <mergeCell ref="J2:K2"/>
    <mergeCell ref="O2:O3"/>
  </mergeCells>
  <pageMargins left="0.33" right="0.25" top="0.3" bottom="0.74" header="0.16" footer="0.21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35"/>
  <sheetViews>
    <sheetView tabSelected="1" topLeftCell="A44" zoomScale="90" zoomScaleNormal="90" workbookViewId="0">
      <selection activeCell="N77" sqref="N77"/>
    </sheetView>
  </sheetViews>
  <sheetFormatPr defaultRowHeight="15"/>
  <cols>
    <col min="1" max="1" width="26.85546875" customWidth="1"/>
    <col min="2" max="2" width="10.5703125" bestFit="1" customWidth="1"/>
    <col min="3" max="3" width="10.85546875" customWidth="1"/>
    <col min="4" max="4" width="12.42578125" bestFit="1" customWidth="1"/>
    <col min="5" max="5" width="13.28515625" customWidth="1"/>
    <col min="6" max="6" width="10.85546875" customWidth="1"/>
    <col min="7" max="8" width="9.7109375" customWidth="1"/>
    <col min="9" max="9" width="15" customWidth="1"/>
    <col min="10" max="10" width="10.7109375" customWidth="1"/>
    <col min="11" max="11" width="10.5703125" bestFit="1" customWidth="1"/>
    <col min="12" max="12" width="9.28515625" customWidth="1"/>
    <col min="13" max="13" width="15.7109375" bestFit="1" customWidth="1"/>
    <col min="14" max="14" width="9.5703125" customWidth="1"/>
    <col min="15" max="15" width="11.85546875" customWidth="1"/>
    <col min="16" max="16" width="13.42578125" customWidth="1"/>
    <col min="17" max="17" width="11.85546875" bestFit="1" customWidth="1"/>
    <col min="18" max="18" width="9.28515625" customWidth="1"/>
    <col min="19" max="19" width="10.85546875" bestFit="1" customWidth="1"/>
    <col min="20" max="20" width="10.5703125" bestFit="1" customWidth="1"/>
    <col min="21" max="21" width="13" customWidth="1"/>
    <col min="22" max="22" width="10.85546875" bestFit="1" customWidth="1"/>
    <col min="23" max="23" width="10.7109375" bestFit="1" customWidth="1"/>
    <col min="24" max="24" width="11.5703125" customWidth="1"/>
    <col min="25" max="25" width="10.5703125" customWidth="1"/>
    <col min="26" max="26" width="10.42578125" customWidth="1"/>
    <col min="28" max="28" width="10.42578125" customWidth="1"/>
    <col min="29" max="29" width="11.42578125" customWidth="1"/>
  </cols>
  <sheetData>
    <row r="1" spans="1:24" ht="21">
      <c r="D1" s="8" t="s">
        <v>99</v>
      </c>
      <c r="L1" s="5"/>
      <c r="M1" s="5"/>
      <c r="N1" s="5"/>
      <c r="O1" s="5"/>
      <c r="P1" s="5"/>
      <c r="X1" s="135"/>
    </row>
    <row r="2" spans="1:24">
      <c r="L2" s="5"/>
      <c r="M2" s="5"/>
      <c r="N2" s="5"/>
      <c r="O2" s="5"/>
      <c r="P2" s="5"/>
    </row>
    <row r="3" spans="1:24" ht="15.75">
      <c r="A3" s="7" t="s">
        <v>100</v>
      </c>
      <c r="F3" s="134" t="s">
        <v>101</v>
      </c>
      <c r="L3" s="5"/>
      <c r="M3" s="5"/>
      <c r="N3" s="5"/>
      <c r="O3" s="5"/>
      <c r="P3" s="5"/>
    </row>
    <row r="4" spans="1:24">
      <c r="D4" s="11"/>
      <c r="E4" s="11"/>
      <c r="F4" s="11"/>
      <c r="G4" s="11"/>
      <c r="H4" s="11"/>
      <c r="I4" s="11"/>
      <c r="J4" s="11"/>
      <c r="L4" s="5"/>
      <c r="M4" s="5"/>
      <c r="N4" s="5"/>
      <c r="O4" s="5"/>
      <c r="P4" s="5"/>
    </row>
    <row r="5" spans="1:24">
      <c r="A5" s="85"/>
      <c r="B5" s="86"/>
      <c r="C5" s="99" t="s">
        <v>102</v>
      </c>
      <c r="D5" s="87" t="s">
        <v>103</v>
      </c>
      <c r="E5" s="99" t="s">
        <v>104</v>
      </c>
      <c r="F5" s="87" t="s">
        <v>105</v>
      </c>
      <c r="G5" s="99" t="s">
        <v>106</v>
      </c>
      <c r="H5" s="87" t="s">
        <v>15</v>
      </c>
      <c r="I5" s="16" t="s">
        <v>107</v>
      </c>
      <c r="J5" s="88" t="s">
        <v>108</v>
      </c>
      <c r="L5" s="857" t="s">
        <v>109</v>
      </c>
      <c r="M5" s="858" t="s">
        <v>104</v>
      </c>
      <c r="N5" s="858" t="s">
        <v>105</v>
      </c>
      <c r="O5" s="858" t="s">
        <v>106</v>
      </c>
      <c r="P5" s="858" t="s">
        <v>15</v>
      </c>
      <c r="Q5" s="859" t="s">
        <v>110</v>
      </c>
      <c r="R5" s="860" t="s">
        <v>108</v>
      </c>
    </row>
    <row r="6" spans="1:24">
      <c r="A6" s="107" t="s">
        <v>111</v>
      </c>
      <c r="B6" s="92"/>
      <c r="C6" s="113"/>
      <c r="D6" s="810">
        <v>210491.240307</v>
      </c>
      <c r="E6" s="811">
        <v>23539.348336000003</v>
      </c>
      <c r="F6" s="810">
        <v>87978.594784999994</v>
      </c>
      <c r="G6" s="811">
        <v>103.67999999999999</v>
      </c>
      <c r="H6" s="810">
        <v>4913.8119999999999</v>
      </c>
      <c r="I6" s="812">
        <v>23334.141686999999</v>
      </c>
      <c r="J6" s="813">
        <v>0</v>
      </c>
      <c r="L6" s="645"/>
      <c r="M6" s="49"/>
      <c r="N6" s="49"/>
      <c r="O6" s="49"/>
      <c r="P6" s="49"/>
      <c r="Q6" s="49"/>
      <c r="R6" s="861"/>
      <c r="S6" s="5"/>
    </row>
    <row r="7" spans="1:24">
      <c r="A7" s="89" t="s">
        <v>112</v>
      </c>
      <c r="C7" s="115"/>
      <c r="D7" s="814">
        <v>10585.546877647803</v>
      </c>
      <c r="E7" s="815">
        <v>3430.5795544327866</v>
      </c>
      <c r="F7" s="814">
        <v>8453.9761399999988</v>
      </c>
      <c r="G7" s="815">
        <v>6.1624799999999995</v>
      </c>
      <c r="H7" s="814">
        <v>1557.2180000000001</v>
      </c>
      <c r="I7" s="815">
        <v>1509.6322210000003</v>
      </c>
      <c r="J7" s="816">
        <v>67.647440000000003</v>
      </c>
      <c r="L7" s="328">
        <v>210491.240307</v>
      </c>
      <c r="M7" s="31">
        <v>23539.348336000003</v>
      </c>
      <c r="N7" s="31">
        <v>87978.594784999994</v>
      </c>
      <c r="O7" s="31">
        <v>103.67999999999999</v>
      </c>
      <c r="P7" s="31">
        <v>4913.8119999999999</v>
      </c>
      <c r="Q7" s="31">
        <v>23334.141686999999</v>
      </c>
      <c r="R7" s="840">
        <v>0</v>
      </c>
      <c r="S7" s="5"/>
    </row>
    <row r="8" spans="1:24">
      <c r="A8" s="91" t="s">
        <v>113</v>
      </c>
      <c r="B8" s="92"/>
      <c r="C8" s="113"/>
      <c r="D8" s="810">
        <v>12871.78676834999</v>
      </c>
      <c r="E8" s="811">
        <v>2141.9028960000001</v>
      </c>
      <c r="F8" s="810">
        <v>9892.8620256999984</v>
      </c>
      <c r="G8" s="812">
        <v>21.530159999999999</v>
      </c>
      <c r="H8" s="810">
        <v>1847.0565000000001</v>
      </c>
      <c r="I8" s="812">
        <v>2374.2815940300002</v>
      </c>
      <c r="J8" s="813">
        <v>100.02899200000002</v>
      </c>
      <c r="L8" s="328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840">
        <v>0</v>
      </c>
      <c r="S8" s="5"/>
    </row>
    <row r="9" spans="1:24">
      <c r="A9" s="89" t="s">
        <v>114</v>
      </c>
      <c r="C9" s="116"/>
      <c r="D9" s="117">
        <f t="shared" ref="D9:J9" si="0">D7-D8</f>
        <v>-2286.239890702187</v>
      </c>
      <c r="E9" s="116">
        <f t="shared" si="0"/>
        <v>1288.6766584327866</v>
      </c>
      <c r="F9" s="117">
        <f t="shared" si="0"/>
        <v>-1438.8858856999996</v>
      </c>
      <c r="G9" s="116">
        <f t="shared" si="0"/>
        <v>-15.36768</v>
      </c>
      <c r="H9" s="117">
        <f t="shared" si="0"/>
        <v>-289.83850000000007</v>
      </c>
      <c r="I9" s="116">
        <f t="shared" si="0"/>
        <v>-864.64937302999988</v>
      </c>
      <c r="J9" s="118">
        <f t="shared" si="0"/>
        <v>-32.381552000000013</v>
      </c>
      <c r="L9" s="328">
        <v>10585.546877647803</v>
      </c>
      <c r="M9" s="31">
        <v>3430.5795544327866</v>
      </c>
      <c r="N9" s="31">
        <v>8453.9761399999988</v>
      </c>
      <c r="O9" s="31">
        <v>6.1624799999999995</v>
      </c>
      <c r="P9" s="31">
        <v>1557.2180000000001</v>
      </c>
      <c r="Q9" s="31">
        <v>1509.6322210000003</v>
      </c>
      <c r="R9" s="840">
        <v>67.647440000000003</v>
      </c>
      <c r="S9" s="5"/>
    </row>
    <row r="10" spans="1:24">
      <c r="A10" s="91" t="s">
        <v>115</v>
      </c>
      <c r="B10" s="92"/>
      <c r="C10" s="114"/>
      <c r="D10" s="810">
        <v>-396.86961386219167</v>
      </c>
      <c r="E10" s="812">
        <v>-338.54902816000003</v>
      </c>
      <c r="F10" s="810">
        <v>-649.07632999999998</v>
      </c>
      <c r="G10" s="812">
        <v>0.46223999999999998</v>
      </c>
      <c r="H10" s="810">
        <v>-63.937445999999817</v>
      </c>
      <c r="I10" s="812">
        <v>1067.6745700200001</v>
      </c>
      <c r="J10" s="813">
        <v>0</v>
      </c>
      <c r="L10" s="328">
        <v>0</v>
      </c>
      <c r="M10" s="31">
        <v>0</v>
      </c>
      <c r="N10" s="31">
        <v>0</v>
      </c>
      <c r="O10" s="31">
        <v>0</v>
      </c>
      <c r="P10" s="31">
        <v>0</v>
      </c>
      <c r="Q10" s="31">
        <v>0</v>
      </c>
      <c r="R10" s="840">
        <v>0</v>
      </c>
      <c r="S10" s="5"/>
    </row>
    <row r="11" spans="1:24">
      <c r="A11" s="89" t="s">
        <v>116</v>
      </c>
      <c r="C11" s="115"/>
      <c r="D11" s="117">
        <v>0</v>
      </c>
      <c r="E11" s="115">
        <v>0</v>
      </c>
      <c r="F11" s="117">
        <v>0</v>
      </c>
      <c r="G11" s="115">
        <v>0</v>
      </c>
      <c r="H11" s="117">
        <v>0</v>
      </c>
      <c r="I11" s="116">
        <v>0</v>
      </c>
      <c r="J11" s="108">
        <v>54.342960000000005</v>
      </c>
      <c r="L11" s="328">
        <v>12871.78676834999</v>
      </c>
      <c r="M11" s="31">
        <v>2141.9028960000001</v>
      </c>
      <c r="N11" s="31">
        <v>9892.8620256999984</v>
      </c>
      <c r="O11" s="31">
        <v>21.530159999999999</v>
      </c>
      <c r="P11" s="31">
        <v>1847.0565000000001</v>
      </c>
      <c r="Q11" s="31">
        <v>2374.2815940300002</v>
      </c>
      <c r="R11" s="840">
        <v>100.02899200000002</v>
      </c>
      <c r="S11" s="5"/>
    </row>
    <row r="12" spans="1:24">
      <c r="A12" s="91" t="s">
        <v>117</v>
      </c>
      <c r="B12" s="92"/>
      <c r="C12" s="109"/>
      <c r="D12" s="817">
        <f t="shared" ref="D12:J12" si="1">D6+D9+D10+D11</f>
        <v>207808.13080243563</v>
      </c>
      <c r="E12" s="818">
        <f t="shared" si="1"/>
        <v>24489.475966272788</v>
      </c>
      <c r="F12" s="817">
        <f t="shared" si="1"/>
        <v>85890.632569299996</v>
      </c>
      <c r="G12" s="818">
        <f t="shared" si="1"/>
        <v>88.774559999999994</v>
      </c>
      <c r="H12" s="817">
        <f t="shared" si="1"/>
        <v>4560.0360540000001</v>
      </c>
      <c r="I12" s="818">
        <f t="shared" si="1"/>
        <v>23537.166883990001</v>
      </c>
      <c r="J12" s="819">
        <f t="shared" si="1"/>
        <v>21.961407999999992</v>
      </c>
      <c r="L12" s="328">
        <v>0</v>
      </c>
      <c r="M12" s="31">
        <v>0</v>
      </c>
      <c r="N12" s="31">
        <v>0</v>
      </c>
      <c r="O12" s="31">
        <v>0</v>
      </c>
      <c r="P12" s="31">
        <v>0</v>
      </c>
      <c r="Q12" s="31">
        <v>0</v>
      </c>
      <c r="R12" s="840">
        <v>0</v>
      </c>
      <c r="S12" s="5"/>
    </row>
    <row r="13" spans="1:24">
      <c r="A13" s="89"/>
      <c r="C13" s="110"/>
      <c r="D13" s="111"/>
      <c r="E13" s="110"/>
      <c r="F13" s="111"/>
      <c r="G13" s="110"/>
      <c r="H13" s="111"/>
      <c r="I13" s="110"/>
      <c r="J13" s="112"/>
      <c r="L13" s="328">
        <v>-2286.2398907021879</v>
      </c>
      <c r="M13" s="31">
        <v>1288.676658432787</v>
      </c>
      <c r="N13" s="31">
        <v>-1438.8858856999984</v>
      </c>
      <c r="O13" s="31">
        <v>-15.367679999999998</v>
      </c>
      <c r="P13" s="31">
        <v>-289.83850000000001</v>
      </c>
      <c r="Q13" s="31">
        <v>-864.64937302999977</v>
      </c>
      <c r="R13" s="840">
        <v>-32.381552000000006</v>
      </c>
      <c r="S13" s="5"/>
    </row>
    <row r="14" spans="1:24" ht="15" customHeight="1">
      <c r="A14" s="119" t="s">
        <v>118</v>
      </c>
      <c r="B14" s="120"/>
      <c r="C14" s="106"/>
      <c r="D14" s="820">
        <v>44898.538890390002</v>
      </c>
      <c r="E14" s="821">
        <v>1755.9036320000002</v>
      </c>
      <c r="F14" s="820">
        <v>81779.31749999999</v>
      </c>
      <c r="G14" s="821">
        <v>87.850079999999991</v>
      </c>
      <c r="H14" s="820">
        <v>4689.4486500000003</v>
      </c>
      <c r="I14" s="821">
        <v>21189.974654910002</v>
      </c>
      <c r="J14" s="822">
        <v>38.235680000000002</v>
      </c>
      <c r="K14" s="9"/>
      <c r="L14" s="328">
        <v>-396.86961386219167</v>
      </c>
      <c r="M14" s="31">
        <v>-338.54902816000003</v>
      </c>
      <c r="N14" s="831">
        <v>-649.07632999999998</v>
      </c>
      <c r="O14" s="31">
        <v>0.46223999999999998</v>
      </c>
      <c r="P14" s="31">
        <v>-63.937445999999817</v>
      </c>
      <c r="Q14" s="31">
        <v>1067.6745700200001</v>
      </c>
      <c r="R14" s="840">
        <v>0</v>
      </c>
      <c r="S14" s="5"/>
    </row>
    <row r="15" spans="1:24" ht="15" customHeight="1">
      <c r="A15" s="89"/>
      <c r="C15" s="102"/>
      <c r="D15" s="93">
        <v>0</v>
      </c>
      <c r="E15" s="102">
        <v>0</v>
      </c>
      <c r="F15" s="93">
        <v>0</v>
      </c>
      <c r="G15" s="102">
        <v>0</v>
      </c>
      <c r="H15" s="93">
        <v>0</v>
      </c>
      <c r="I15" s="102">
        <v>0</v>
      </c>
      <c r="J15" s="94">
        <v>0</v>
      </c>
      <c r="K15" s="81"/>
      <c r="L15" s="328">
        <v>0</v>
      </c>
      <c r="M15" s="31"/>
      <c r="N15" s="831"/>
      <c r="O15" s="31"/>
      <c r="P15" s="31"/>
      <c r="Q15" s="31"/>
      <c r="R15" s="840">
        <v>54.342960000000005</v>
      </c>
      <c r="S15" s="5"/>
    </row>
    <row r="16" spans="1:24" ht="15" customHeight="1">
      <c r="A16" s="91" t="s">
        <v>119</v>
      </c>
      <c r="B16" s="92"/>
      <c r="C16" s="101"/>
      <c r="D16" s="823">
        <v>163058.62295700001</v>
      </c>
      <c r="E16" s="824">
        <v>23167.987490965472</v>
      </c>
      <c r="F16" s="823">
        <v>5243.0554819999998</v>
      </c>
      <c r="G16" s="106">
        <v>0</v>
      </c>
      <c r="H16" s="82">
        <v>0</v>
      </c>
      <c r="I16" s="106">
        <v>0</v>
      </c>
      <c r="J16" s="83">
        <v>0</v>
      </c>
      <c r="L16" s="89"/>
      <c r="O16" s="49"/>
      <c r="P16" s="49"/>
      <c r="Q16" s="49"/>
      <c r="R16" s="861"/>
      <c r="S16" s="5"/>
    </row>
    <row r="17" spans="1:23" ht="15" customHeight="1">
      <c r="A17" s="89"/>
      <c r="C17" s="103"/>
      <c r="D17" s="96"/>
      <c r="E17" s="105"/>
      <c r="F17" s="96"/>
      <c r="G17" s="103"/>
      <c r="H17" s="95">
        <v>0</v>
      </c>
      <c r="I17" s="103">
        <v>0</v>
      </c>
      <c r="J17" s="97">
        <v>0</v>
      </c>
      <c r="K17" s="81"/>
      <c r="L17" s="328">
        <v>207808.13080243563</v>
      </c>
      <c r="M17" s="31">
        <v>24489.475966272788</v>
      </c>
      <c r="N17" s="31">
        <v>85890.632569299996</v>
      </c>
      <c r="O17" s="31">
        <v>88.774559999999994</v>
      </c>
      <c r="P17" s="31">
        <v>4560.0360540000001</v>
      </c>
      <c r="Q17" s="31">
        <v>23537.166883990001</v>
      </c>
      <c r="R17" s="840">
        <v>21.961407999999999</v>
      </c>
      <c r="S17" s="5"/>
    </row>
    <row r="18" spans="1:23" ht="15" customHeight="1">
      <c r="A18" s="123" t="s">
        <v>120</v>
      </c>
      <c r="B18" s="98"/>
      <c r="C18" s="104"/>
      <c r="D18" s="825">
        <f t="shared" ref="D18:J18" si="2">D14+D16</f>
        <v>207957.16184739</v>
      </c>
      <c r="E18" s="826">
        <f t="shared" si="2"/>
        <v>24923.891122965473</v>
      </c>
      <c r="F18" s="825">
        <f t="shared" si="2"/>
        <v>87022.372981999986</v>
      </c>
      <c r="G18" s="826">
        <f t="shared" si="2"/>
        <v>87.850079999999991</v>
      </c>
      <c r="H18" s="825">
        <f t="shared" si="2"/>
        <v>4689.4486500000003</v>
      </c>
      <c r="I18" s="826">
        <f t="shared" si="2"/>
        <v>21189.974654910002</v>
      </c>
      <c r="J18" s="827">
        <f t="shared" si="2"/>
        <v>38.235680000000002</v>
      </c>
      <c r="L18" s="328"/>
      <c r="M18" s="31"/>
      <c r="N18" s="31"/>
      <c r="O18" s="31"/>
      <c r="P18" s="31"/>
      <c r="Q18" s="31"/>
      <c r="R18" s="840"/>
      <c r="S18" s="5"/>
    </row>
    <row r="19" spans="1:23">
      <c r="A19" s="20"/>
      <c r="D19" s="5"/>
      <c r="E19" s="5"/>
      <c r="L19" s="328">
        <v>44898.538890390002</v>
      </c>
      <c r="M19" s="31">
        <v>1755.9036320000002</v>
      </c>
      <c r="N19" s="31">
        <v>81779.31749999999</v>
      </c>
      <c r="O19" s="31">
        <v>87.850079999999991</v>
      </c>
      <c r="P19" s="31">
        <v>4689.4486500000003</v>
      </c>
      <c r="Q19" s="31">
        <v>21189.974654910002</v>
      </c>
      <c r="R19" s="840">
        <v>38.235680000000002</v>
      </c>
    </row>
    <row r="20" spans="1:23">
      <c r="I20" s="5"/>
      <c r="L20" s="328">
        <v>0</v>
      </c>
      <c r="M20" s="31">
        <v>0</v>
      </c>
      <c r="N20" s="31">
        <v>0</v>
      </c>
      <c r="O20" s="31"/>
      <c r="P20" s="31"/>
      <c r="Q20" s="31"/>
      <c r="R20" s="840"/>
    </row>
    <row r="21" spans="1:23">
      <c r="A21" s="125" t="s">
        <v>121</v>
      </c>
      <c r="B21" s="124"/>
      <c r="C21" s="162">
        <v>1.07</v>
      </c>
      <c r="D21" s="162">
        <v>1.0349999999999999</v>
      </c>
      <c r="E21" s="162">
        <v>1.0649999999999999</v>
      </c>
      <c r="F21" s="162">
        <v>0.96</v>
      </c>
      <c r="G21" s="162">
        <v>1.07</v>
      </c>
      <c r="H21" s="162">
        <v>1.1299999999999999</v>
      </c>
      <c r="I21" s="162">
        <v>1.07</v>
      </c>
      <c r="J21" s="162">
        <v>1.0449999999999999</v>
      </c>
      <c r="L21" s="328">
        <v>163058.62295700001</v>
      </c>
      <c r="M21" s="31">
        <v>23167.987490965472</v>
      </c>
      <c r="N21" s="31">
        <v>5243.0554819999998</v>
      </c>
      <c r="O21" s="31"/>
      <c r="P21" s="31"/>
      <c r="Q21" s="31"/>
      <c r="R21" s="840"/>
    </row>
    <row r="22" spans="1:23">
      <c r="L22" s="328"/>
      <c r="M22" s="31"/>
      <c r="N22" s="31"/>
      <c r="O22" s="31"/>
      <c r="P22" s="31"/>
      <c r="Q22" s="31"/>
      <c r="R22" s="840"/>
    </row>
    <row r="23" spans="1:23" ht="15.75">
      <c r="D23" s="19"/>
      <c r="E23" s="19"/>
      <c r="F23" s="134" t="s">
        <v>25</v>
      </c>
      <c r="G23" s="19"/>
      <c r="H23" s="19"/>
      <c r="I23" s="19"/>
      <c r="L23" s="862">
        <v>207957.16184739</v>
      </c>
      <c r="M23" s="856">
        <v>24923.891122965473</v>
      </c>
      <c r="N23" s="856">
        <v>87022.372981999986</v>
      </c>
      <c r="O23" s="856">
        <v>87.850079999999991</v>
      </c>
      <c r="P23" s="856">
        <v>4689.4486500000003</v>
      </c>
      <c r="Q23" s="856">
        <v>21189.974654910002</v>
      </c>
      <c r="R23" s="863">
        <v>38.235680000000002</v>
      </c>
      <c r="W23" s="9"/>
    </row>
    <row r="24" spans="1:23">
      <c r="A24" s="85"/>
      <c r="B24" s="86"/>
      <c r="C24" s="99" t="s">
        <v>102</v>
      </c>
      <c r="D24" s="87" t="s">
        <v>103</v>
      </c>
      <c r="E24" s="99" t="s">
        <v>104</v>
      </c>
      <c r="F24" s="87" t="s">
        <v>105</v>
      </c>
      <c r="G24" s="99" t="s">
        <v>106</v>
      </c>
      <c r="H24" s="87" t="s">
        <v>15</v>
      </c>
      <c r="I24" s="16" t="s">
        <v>107</v>
      </c>
      <c r="J24" s="88" t="s">
        <v>108</v>
      </c>
    </row>
    <row r="25" spans="1:23">
      <c r="A25" s="13" t="s">
        <v>122</v>
      </c>
      <c r="B25" s="14"/>
      <c r="C25" s="126">
        <f t="shared" ref="C25:J30" si="3">C6*C$21</f>
        <v>0</v>
      </c>
      <c r="D25" s="828">
        <f t="shared" si="3"/>
        <v>217858.43371774498</v>
      </c>
      <c r="E25" s="829">
        <f t="shared" si="3"/>
        <v>25069.405977840001</v>
      </c>
      <c r="F25" s="828">
        <f t="shared" si="3"/>
        <v>84459.450993599996</v>
      </c>
      <c r="G25" s="829">
        <f t="shared" si="3"/>
        <v>110.9376</v>
      </c>
      <c r="H25" s="828">
        <f t="shared" si="3"/>
        <v>5552.6075599999995</v>
      </c>
      <c r="I25" s="829">
        <f t="shared" si="3"/>
        <v>24967.53160509</v>
      </c>
      <c r="J25" s="830">
        <f t="shared" si="3"/>
        <v>0</v>
      </c>
    </row>
    <row r="26" spans="1:23">
      <c r="A26" s="89" t="s">
        <v>112</v>
      </c>
      <c r="C26" s="122">
        <f t="shared" si="3"/>
        <v>0</v>
      </c>
      <c r="D26" s="831">
        <f t="shared" si="3"/>
        <v>10956.041018365475</v>
      </c>
      <c r="E26" s="832">
        <f t="shared" si="3"/>
        <v>3653.5672254709175</v>
      </c>
      <c r="F26" s="831">
        <f t="shared" si="3"/>
        <v>8115.8170943999985</v>
      </c>
      <c r="G26" s="832">
        <f t="shared" si="3"/>
        <v>6.5938536000000001</v>
      </c>
      <c r="H26" s="831">
        <f t="shared" si="3"/>
        <v>1759.65634</v>
      </c>
      <c r="I26" s="832">
        <f t="shared" si="3"/>
        <v>1615.3064764700005</v>
      </c>
      <c r="J26" s="833">
        <f t="shared" si="3"/>
        <v>70.691574799999998</v>
      </c>
    </row>
    <row r="27" spans="1:23">
      <c r="A27" s="13" t="s">
        <v>113</v>
      </c>
      <c r="B27" s="14"/>
      <c r="C27" s="126">
        <f t="shared" si="3"/>
        <v>0</v>
      </c>
      <c r="D27" s="828">
        <f t="shared" si="3"/>
        <v>13322.299305242239</v>
      </c>
      <c r="E27" s="829">
        <f t="shared" si="3"/>
        <v>2281.1265842399998</v>
      </c>
      <c r="F27" s="828">
        <f t="shared" si="3"/>
        <v>9497.1475446719978</v>
      </c>
      <c r="G27" s="829">
        <f t="shared" si="3"/>
        <v>23.037271199999999</v>
      </c>
      <c r="H27" s="828">
        <f t="shared" si="3"/>
        <v>2087.1738449999998</v>
      </c>
      <c r="I27" s="829">
        <f t="shared" si="3"/>
        <v>2540.4813056121002</v>
      </c>
      <c r="J27" s="830">
        <f t="shared" si="3"/>
        <v>104.53029664000002</v>
      </c>
      <c r="L27" s="66" t="s">
        <v>123</v>
      </c>
    </row>
    <row r="28" spans="1:23">
      <c r="A28" s="89" t="s">
        <v>114</v>
      </c>
      <c r="C28" s="122">
        <f t="shared" si="3"/>
        <v>0</v>
      </c>
      <c r="D28" s="831">
        <f t="shared" si="3"/>
        <v>-2366.2582868767636</v>
      </c>
      <c r="E28" s="832">
        <f t="shared" si="3"/>
        <v>1372.4406412309177</v>
      </c>
      <c r="F28" s="831">
        <f t="shared" si="3"/>
        <v>-1381.3304502719996</v>
      </c>
      <c r="G28" s="832">
        <f t="shared" si="3"/>
        <v>-16.4434176</v>
      </c>
      <c r="H28" s="831">
        <f t="shared" si="3"/>
        <v>-327.51750500000003</v>
      </c>
      <c r="I28" s="832">
        <f t="shared" si="3"/>
        <v>-925.17482914209995</v>
      </c>
      <c r="J28" s="833">
        <f t="shared" si="3"/>
        <v>-33.838721840000012</v>
      </c>
    </row>
    <row r="29" spans="1:23">
      <c r="A29" s="13" t="s">
        <v>115</v>
      </c>
      <c r="B29" s="14"/>
      <c r="C29" s="126">
        <f t="shared" si="3"/>
        <v>0</v>
      </c>
      <c r="D29" s="828">
        <f t="shared" si="3"/>
        <v>-410.76005034736835</v>
      </c>
      <c r="E29" s="829">
        <f t="shared" si="3"/>
        <v>-360.55471499040004</v>
      </c>
      <c r="F29" s="828">
        <f t="shared" si="3"/>
        <v>-623.11327679999999</v>
      </c>
      <c r="G29" s="829">
        <f t="shared" si="3"/>
        <v>0.4945968</v>
      </c>
      <c r="H29" s="828">
        <f t="shared" si="3"/>
        <v>-72.249313979999783</v>
      </c>
      <c r="I29" s="829">
        <f t="shared" si="3"/>
        <v>1142.4117899214002</v>
      </c>
      <c r="J29" s="830">
        <f t="shared" si="3"/>
        <v>0</v>
      </c>
    </row>
    <row r="30" spans="1:23">
      <c r="A30" s="89" t="s">
        <v>116</v>
      </c>
      <c r="C30" s="122">
        <f t="shared" si="3"/>
        <v>0</v>
      </c>
      <c r="D30" s="831">
        <f t="shared" si="3"/>
        <v>0</v>
      </c>
      <c r="E30" s="832">
        <f t="shared" si="3"/>
        <v>0</v>
      </c>
      <c r="F30" s="831">
        <f t="shared" si="3"/>
        <v>0</v>
      </c>
      <c r="G30" s="832">
        <f t="shared" si="3"/>
        <v>0</v>
      </c>
      <c r="H30" s="831">
        <f t="shared" si="3"/>
        <v>0</v>
      </c>
      <c r="I30" s="832">
        <f t="shared" si="3"/>
        <v>0</v>
      </c>
      <c r="J30" s="833">
        <f t="shared" si="3"/>
        <v>56.788393200000002</v>
      </c>
    </row>
    <row r="31" spans="1:23">
      <c r="A31" s="13" t="s">
        <v>117</v>
      </c>
      <c r="B31" s="14"/>
      <c r="C31" s="126">
        <f t="shared" ref="C31:J31" si="4">C25+C28+C29+C30</f>
        <v>0</v>
      </c>
      <c r="D31" s="828">
        <f t="shared" si="4"/>
        <v>215081.41538052086</v>
      </c>
      <c r="E31" s="829">
        <f t="shared" si="4"/>
        <v>26081.291904080517</v>
      </c>
      <c r="F31" s="828">
        <f t="shared" si="4"/>
        <v>82455.007266528002</v>
      </c>
      <c r="G31" s="829">
        <f t="shared" si="4"/>
        <v>94.988779199999996</v>
      </c>
      <c r="H31" s="828">
        <f t="shared" si="4"/>
        <v>5152.8407410199998</v>
      </c>
      <c r="I31" s="829">
        <f t="shared" si="4"/>
        <v>25184.768565869301</v>
      </c>
      <c r="J31" s="830">
        <f t="shared" si="4"/>
        <v>22.949671359999989</v>
      </c>
    </row>
    <row r="32" spans="1:23">
      <c r="A32" s="89"/>
      <c r="C32" s="15"/>
      <c r="D32" s="10"/>
      <c r="E32" s="834"/>
      <c r="F32" s="10"/>
      <c r="G32" s="834"/>
      <c r="H32" s="10"/>
      <c r="I32" s="834"/>
      <c r="J32" s="835"/>
    </row>
    <row r="33" spans="1:24" ht="15" customHeight="1">
      <c r="A33" s="127" t="s">
        <v>118</v>
      </c>
      <c r="B33" s="128"/>
      <c r="C33" s="129">
        <f>C14*C$21</f>
        <v>0</v>
      </c>
      <c r="D33" s="836">
        <f t="shared" ref="D33:J33" si="5">D14*D$21</f>
        <v>46469.98775155365</v>
      </c>
      <c r="E33" s="837">
        <f t="shared" si="5"/>
        <v>1870.0373680800001</v>
      </c>
      <c r="F33" s="836">
        <f t="shared" si="5"/>
        <v>78508.144799999995</v>
      </c>
      <c r="G33" s="837">
        <f t="shared" si="5"/>
        <v>93.999585600000003</v>
      </c>
      <c r="H33" s="836">
        <f t="shared" si="5"/>
        <v>5299.0769744999998</v>
      </c>
      <c r="I33" s="837">
        <f t="shared" si="5"/>
        <v>22673.272880753702</v>
      </c>
      <c r="J33" s="838">
        <f t="shared" si="5"/>
        <v>39.956285600000001</v>
      </c>
    </row>
    <row r="34" spans="1:24" ht="15" customHeight="1">
      <c r="A34" s="89"/>
      <c r="C34" s="100"/>
      <c r="D34" s="31"/>
      <c r="E34" s="839"/>
      <c r="F34" s="31"/>
      <c r="G34" s="839"/>
      <c r="H34" s="31"/>
      <c r="I34" s="839"/>
      <c r="J34" s="840"/>
    </row>
    <row r="35" spans="1:24" ht="15" customHeight="1">
      <c r="A35" s="13" t="s">
        <v>119</v>
      </c>
      <c r="B35" s="14"/>
      <c r="C35" s="130">
        <f t="shared" ref="C35:J35" si="6">C16*C$21</f>
        <v>0</v>
      </c>
      <c r="D35" s="841">
        <f t="shared" si="6"/>
        <v>168765.67476049499</v>
      </c>
      <c r="E35" s="842">
        <f t="shared" si="6"/>
        <v>24673.906677878225</v>
      </c>
      <c r="F35" s="841">
        <f t="shared" si="6"/>
        <v>5033.3332627199998</v>
      </c>
      <c r="G35" s="842">
        <f t="shared" si="6"/>
        <v>0</v>
      </c>
      <c r="H35" s="841">
        <f t="shared" si="6"/>
        <v>0</v>
      </c>
      <c r="I35" s="842">
        <f t="shared" si="6"/>
        <v>0</v>
      </c>
      <c r="J35" s="843">
        <f t="shared" si="6"/>
        <v>0</v>
      </c>
    </row>
    <row r="36" spans="1:24" ht="15" customHeight="1">
      <c r="A36" s="89"/>
      <c r="C36" s="100"/>
      <c r="D36" s="31"/>
      <c r="E36" s="839"/>
      <c r="F36" s="31"/>
      <c r="G36" s="839"/>
      <c r="H36" s="31"/>
      <c r="I36" s="839"/>
      <c r="J36" s="840"/>
    </row>
    <row r="37" spans="1:24" ht="15" customHeight="1">
      <c r="A37" s="131" t="s">
        <v>120</v>
      </c>
      <c r="B37" s="132"/>
      <c r="C37" s="133">
        <f t="shared" ref="C37:J37" si="7">C33+C35</f>
        <v>0</v>
      </c>
      <c r="D37" s="844">
        <f t="shared" si="7"/>
        <v>215235.66251204864</v>
      </c>
      <c r="E37" s="845">
        <f t="shared" si="7"/>
        <v>26543.944045958226</v>
      </c>
      <c r="F37" s="844">
        <f t="shared" si="7"/>
        <v>83541.478062719994</v>
      </c>
      <c r="G37" s="845">
        <f t="shared" si="7"/>
        <v>93.999585600000003</v>
      </c>
      <c r="H37" s="844">
        <f t="shared" si="7"/>
        <v>5299.0769744999998</v>
      </c>
      <c r="I37" s="845">
        <f t="shared" si="7"/>
        <v>22673.272880753702</v>
      </c>
      <c r="J37" s="846">
        <f t="shared" si="7"/>
        <v>39.956285600000001</v>
      </c>
    </row>
    <row r="39" spans="1:24">
      <c r="D39" s="10">
        <f>D31-D35</f>
        <v>46315.74062002587</v>
      </c>
      <c r="F39" s="10">
        <f>F31-F35</f>
        <v>77421.674003808002</v>
      </c>
      <c r="H39" s="10">
        <f>H59+H60</f>
        <v>108.39570000000001</v>
      </c>
    </row>
    <row r="40" spans="1:24">
      <c r="C40" s="10">
        <f>C65+C67</f>
        <v>948.79650000000004</v>
      </c>
      <c r="D40" s="10">
        <f>D65+D67</f>
        <v>1486.3776</v>
      </c>
      <c r="J40" s="11"/>
      <c r="K40" s="10"/>
      <c r="M40" s="10">
        <f>M50+M59</f>
        <v>977.19058280000127</v>
      </c>
      <c r="N40" s="10">
        <f>N50+N59</f>
        <v>821.90195830000016</v>
      </c>
    </row>
    <row r="41" spans="1:24">
      <c r="C41" s="10">
        <f>C46+C47+C48</f>
        <v>3611.2392809999997</v>
      </c>
      <c r="D41" s="10">
        <f>D46+D47+D48</f>
        <v>3416.4953219999998</v>
      </c>
      <c r="J41" s="856"/>
    </row>
    <row r="42" spans="1:24">
      <c r="A42" s="886" t="s">
        <v>124</v>
      </c>
      <c r="B42" s="887"/>
      <c r="C42" s="888"/>
      <c r="E42" s="889" t="s">
        <v>125</v>
      </c>
      <c r="F42" s="890"/>
      <c r="G42" s="890"/>
      <c r="H42" s="891"/>
      <c r="J42" s="892" t="s">
        <v>126</v>
      </c>
      <c r="K42" s="893"/>
      <c r="L42" s="893"/>
      <c r="M42" s="894"/>
      <c r="O42" s="895" t="s">
        <v>127</v>
      </c>
      <c r="P42" s="896"/>
      <c r="Q42" s="896"/>
      <c r="R42" s="897"/>
      <c r="T42" s="883" t="s">
        <v>128</v>
      </c>
      <c r="U42" s="884"/>
      <c r="V42" s="884"/>
      <c r="W42" s="885"/>
      <c r="X42" s="6" t="s">
        <v>101</v>
      </c>
    </row>
    <row r="43" spans="1:24">
      <c r="A43" s="12"/>
      <c r="B43" s="12"/>
      <c r="C43" s="160" t="s">
        <v>101</v>
      </c>
      <c r="E43" s="138"/>
      <c r="F43" s="138"/>
      <c r="G43" s="138"/>
      <c r="H43" s="144" t="s">
        <v>101</v>
      </c>
      <c r="J43" s="145"/>
      <c r="K43" s="145"/>
      <c r="L43" s="145"/>
      <c r="M43" s="713" t="s">
        <v>129</v>
      </c>
      <c r="N43" s="737" t="s">
        <v>130</v>
      </c>
      <c r="O43" s="193"/>
      <c r="P43" s="193"/>
      <c r="Q43" s="193"/>
      <c r="R43" s="194" t="s">
        <v>101</v>
      </c>
      <c r="T43" s="202"/>
      <c r="U43" s="202"/>
      <c r="V43" s="202"/>
      <c r="W43" s="746" t="s">
        <v>131</v>
      </c>
      <c r="X43" s="748" t="s">
        <v>132</v>
      </c>
    </row>
    <row r="44" spans="1:24">
      <c r="A44" s="151" t="s">
        <v>133</v>
      </c>
      <c r="B44" s="152"/>
      <c r="C44" s="711" t="s">
        <v>129</v>
      </c>
      <c r="D44" s="717" t="s">
        <v>130</v>
      </c>
      <c r="E44" s="139" t="s">
        <v>134</v>
      </c>
      <c r="F44" s="140"/>
      <c r="G44" s="140"/>
      <c r="H44" s="712" t="s">
        <v>129</v>
      </c>
      <c r="I44" s="730" t="s">
        <v>130</v>
      </c>
      <c r="J44" s="146" t="s">
        <v>135</v>
      </c>
      <c r="K44" s="147"/>
      <c r="L44" s="147"/>
      <c r="M44" s="150">
        <v>3492.050333000002</v>
      </c>
      <c r="N44" s="738">
        <v>3568.9057320000011</v>
      </c>
      <c r="O44" s="195" t="s">
        <v>136</v>
      </c>
      <c r="P44" s="193"/>
      <c r="Q44" s="193"/>
      <c r="R44" s="762" t="s">
        <v>137</v>
      </c>
      <c r="S44" s="763" t="s">
        <v>138</v>
      </c>
      <c r="T44" s="203" t="s">
        <v>139</v>
      </c>
      <c r="U44" s="204"/>
      <c r="V44" s="204"/>
      <c r="W44" s="214">
        <v>81333.75</v>
      </c>
      <c r="X44" s="749">
        <v>83993.01</v>
      </c>
    </row>
    <row r="45" spans="1:24">
      <c r="A45" s="152" t="s">
        <v>140</v>
      </c>
      <c r="B45" s="152"/>
      <c r="C45" s="153">
        <v>12146.57625</v>
      </c>
      <c r="D45" s="718">
        <v>9744.5750430000007</v>
      </c>
      <c r="E45" s="140" t="s">
        <v>141</v>
      </c>
      <c r="F45" s="140"/>
      <c r="G45" s="140"/>
      <c r="H45" s="143">
        <v>19759.90414344001</v>
      </c>
      <c r="I45" s="731">
        <v>20581.641105569994</v>
      </c>
      <c r="J45" s="147"/>
      <c r="K45" s="147"/>
      <c r="L45" s="147"/>
      <c r="M45" s="147"/>
      <c r="N45" s="739"/>
      <c r="O45" s="196" t="s">
        <v>142</v>
      </c>
      <c r="P45" s="193"/>
      <c r="Q45" s="193"/>
      <c r="R45" s="197">
        <v>960.54739200000006</v>
      </c>
      <c r="S45" s="755">
        <v>823.41952000000003</v>
      </c>
      <c r="T45" s="204"/>
      <c r="U45" s="204"/>
      <c r="V45" s="204"/>
      <c r="W45" s="205"/>
      <c r="X45" s="749"/>
    </row>
    <row r="46" spans="1:24">
      <c r="A46" s="152" t="s">
        <v>143</v>
      </c>
      <c r="B46" s="152"/>
      <c r="C46" s="153">
        <v>1896.4692809999999</v>
      </c>
      <c r="D46" s="718">
        <v>1912.475322</v>
      </c>
      <c r="E46" s="140"/>
      <c r="F46" s="140"/>
      <c r="G46" s="140"/>
      <c r="H46" s="141"/>
      <c r="I46" s="731"/>
      <c r="J46" s="146" t="s">
        <v>144</v>
      </c>
      <c r="K46" s="147"/>
      <c r="L46" s="147"/>
      <c r="M46" s="147"/>
      <c r="N46" s="739"/>
      <c r="O46" s="196" t="s">
        <v>143</v>
      </c>
      <c r="P46" s="193"/>
      <c r="Q46" s="193"/>
      <c r="R46" s="197">
        <v>600.50323200000003</v>
      </c>
      <c r="S46" s="755">
        <v>482.25643200000007</v>
      </c>
      <c r="T46" s="203" t="s">
        <v>98</v>
      </c>
      <c r="U46" s="204"/>
      <c r="V46" s="204"/>
      <c r="W46" s="205"/>
      <c r="X46" s="749"/>
    </row>
    <row r="47" spans="1:24">
      <c r="A47" s="152" t="s">
        <v>145</v>
      </c>
      <c r="B47" s="152"/>
      <c r="C47" s="153">
        <v>163.64999999999998</v>
      </c>
      <c r="D47" s="718">
        <v>205.8</v>
      </c>
      <c r="E47" s="139" t="s">
        <v>146</v>
      </c>
      <c r="F47" s="140"/>
      <c r="G47" s="140"/>
      <c r="H47" s="141"/>
      <c r="I47" s="731"/>
      <c r="J47" s="147" t="s">
        <v>140</v>
      </c>
      <c r="K47" s="147"/>
      <c r="L47" s="147"/>
      <c r="M47" s="148">
        <v>768.15326620000121</v>
      </c>
      <c r="N47" s="738">
        <v>586.99701030000017</v>
      </c>
      <c r="O47" s="196" t="s">
        <v>147</v>
      </c>
      <c r="P47" s="193"/>
      <c r="Q47" s="193"/>
      <c r="R47" s="197">
        <v>190.03454400000001</v>
      </c>
      <c r="S47" s="755">
        <v>198.82710400000002</v>
      </c>
      <c r="T47" s="204" t="s">
        <v>145</v>
      </c>
      <c r="U47" s="204"/>
      <c r="V47" s="204"/>
      <c r="W47" s="205">
        <v>4007.7499999999995</v>
      </c>
      <c r="X47" s="749">
        <v>4158.63</v>
      </c>
    </row>
    <row r="48" spans="1:24">
      <c r="A48" s="152" t="s">
        <v>148</v>
      </c>
      <c r="B48" s="152"/>
      <c r="C48" s="153">
        <v>1551.12</v>
      </c>
      <c r="D48" s="718">
        <v>1298.22</v>
      </c>
      <c r="E48" s="140" t="s">
        <v>149</v>
      </c>
      <c r="F48" s="140"/>
      <c r="G48" s="140"/>
      <c r="H48" s="141">
        <v>972.36249999999995</v>
      </c>
      <c r="I48" s="731">
        <v>634.3075</v>
      </c>
      <c r="J48" s="147" t="s">
        <v>150</v>
      </c>
      <c r="K48" s="147"/>
      <c r="L48" s="147"/>
      <c r="M48" s="148">
        <v>122.18962860000008</v>
      </c>
      <c r="N48" s="738">
        <v>152.06861000000001</v>
      </c>
      <c r="O48" s="196" t="s">
        <v>151</v>
      </c>
      <c r="P48" s="193"/>
      <c r="Q48" s="193"/>
      <c r="R48" s="197">
        <v>0</v>
      </c>
      <c r="S48" s="755">
        <v>0</v>
      </c>
      <c r="T48" s="204" t="s">
        <v>152</v>
      </c>
      <c r="U48" s="204"/>
      <c r="V48" s="204"/>
      <c r="W48" s="206">
        <v>445.5675</v>
      </c>
      <c r="X48" s="750">
        <v>403.13249999999999</v>
      </c>
    </row>
    <row r="49" spans="1:24" ht="15.75" thickBot="1">
      <c r="A49" s="152" t="s">
        <v>153</v>
      </c>
      <c r="B49" s="152"/>
      <c r="C49" s="154">
        <v>8.0928000000000004</v>
      </c>
      <c r="D49" s="719">
        <v>8.43</v>
      </c>
      <c r="E49" s="140" t="s">
        <v>154</v>
      </c>
      <c r="F49" s="140"/>
      <c r="G49" s="140"/>
      <c r="H49" s="142">
        <v>5.6706000000000003</v>
      </c>
      <c r="I49" s="732">
        <v>5.8159999999999998</v>
      </c>
      <c r="J49" s="147" t="s">
        <v>153</v>
      </c>
      <c r="K49" s="147"/>
      <c r="L49" s="147"/>
      <c r="M49" s="149">
        <v>13.824310000000001</v>
      </c>
      <c r="N49" s="740">
        <v>9.8129600000000003</v>
      </c>
      <c r="O49" s="196" t="s">
        <v>153</v>
      </c>
      <c r="P49" s="193"/>
      <c r="Q49" s="193"/>
      <c r="R49" s="197">
        <v>0</v>
      </c>
      <c r="S49" s="755">
        <v>7.9027262631685948</v>
      </c>
      <c r="T49" s="204"/>
      <c r="U49" s="204"/>
      <c r="V49" s="204"/>
      <c r="W49" s="214">
        <f>W47+W48</f>
        <v>4453.3174999999992</v>
      </c>
      <c r="X49" s="749">
        <v>4561.7624999999998</v>
      </c>
    </row>
    <row r="50" spans="1:24" ht="15.75" thickBot="1">
      <c r="A50" s="155" t="s">
        <v>155</v>
      </c>
      <c r="B50" s="152"/>
      <c r="C50" s="156">
        <f>SUM(C45:C49)</f>
        <v>15765.908331000001</v>
      </c>
      <c r="D50" s="720">
        <v>13169.500365</v>
      </c>
      <c r="E50" s="140"/>
      <c r="F50" s="140"/>
      <c r="G50" s="140" t="s">
        <v>156</v>
      </c>
      <c r="H50" s="143">
        <f>SUM(H48:H49)</f>
        <v>978.03309999999999</v>
      </c>
      <c r="I50" s="731">
        <v>640.12350000000004</v>
      </c>
      <c r="J50" s="147"/>
      <c r="K50" s="147"/>
      <c r="L50" s="147" t="s">
        <v>156</v>
      </c>
      <c r="M50" s="150">
        <f>SUM(M47:M49)</f>
        <v>904.16720480000129</v>
      </c>
      <c r="N50" s="738">
        <v>748.87858030000018</v>
      </c>
      <c r="O50" s="196" t="s">
        <v>140</v>
      </c>
      <c r="P50" s="193"/>
      <c r="Q50" s="193"/>
      <c r="R50" s="249">
        <v>4.7040000000000006</v>
      </c>
      <c r="S50" s="756">
        <v>3.5280000000000005</v>
      </c>
      <c r="T50" s="202"/>
      <c r="U50" s="203" t="s">
        <v>157</v>
      </c>
      <c r="V50" s="203"/>
      <c r="W50" s="747">
        <f>W44+W49</f>
        <v>85787.067500000005</v>
      </c>
      <c r="X50" s="751">
        <v>88554.772499999992</v>
      </c>
    </row>
    <row r="51" spans="1:24" ht="15.75" thickBot="1">
      <c r="A51" s="151" t="s">
        <v>158</v>
      </c>
      <c r="B51" s="152"/>
      <c r="C51" s="157">
        <v>10795.81206</v>
      </c>
      <c r="D51" s="721">
        <v>10645.685562000001</v>
      </c>
      <c r="E51" s="139" t="s">
        <v>159</v>
      </c>
      <c r="F51" s="140"/>
      <c r="G51" s="140"/>
      <c r="H51" s="140"/>
      <c r="I51" s="733"/>
      <c r="J51" s="146" t="s">
        <v>70</v>
      </c>
      <c r="K51" s="147"/>
      <c r="L51" s="147"/>
      <c r="M51" s="147"/>
      <c r="N51" s="739"/>
      <c r="O51" s="193"/>
      <c r="P51" s="195" t="s">
        <v>160</v>
      </c>
      <c r="Q51" s="196"/>
      <c r="R51" s="760">
        <f>SUM(R45:R50)</f>
        <v>1755.789168</v>
      </c>
      <c r="S51" s="761">
        <v>1515.9337822631687</v>
      </c>
      <c r="T51" s="203" t="s">
        <v>161</v>
      </c>
      <c r="U51" s="204"/>
      <c r="V51" s="204"/>
      <c r="W51" s="204"/>
      <c r="X51" s="752"/>
    </row>
    <row r="52" spans="1:24">
      <c r="A52" s="155"/>
      <c r="B52" s="152"/>
      <c r="C52" s="50"/>
      <c r="D52" s="720"/>
      <c r="E52" s="140" t="s">
        <v>162</v>
      </c>
      <c r="F52" s="138"/>
      <c r="G52" s="138"/>
      <c r="H52" s="141">
        <v>11.766495000000001</v>
      </c>
      <c r="I52" s="731">
        <v>13.29683</v>
      </c>
      <c r="J52" s="147" t="s">
        <v>145</v>
      </c>
      <c r="K52" s="147"/>
      <c r="L52" s="147"/>
      <c r="M52" s="148">
        <v>152.25201300000001</v>
      </c>
      <c r="N52" s="738">
        <v>152.25201300000001</v>
      </c>
      <c r="O52" s="193"/>
      <c r="P52" s="193"/>
      <c r="Q52" s="193"/>
      <c r="R52" s="197"/>
      <c r="S52" s="755"/>
      <c r="T52" s="204"/>
      <c r="U52" s="215" t="s">
        <v>101</v>
      </c>
      <c r="V52" s="215" t="s">
        <v>163</v>
      </c>
      <c r="W52" s="215" t="s">
        <v>25</v>
      </c>
      <c r="X52" s="753" t="s">
        <v>25</v>
      </c>
    </row>
    <row r="53" spans="1:24">
      <c r="A53" s="151" t="s">
        <v>164</v>
      </c>
      <c r="B53" s="152"/>
      <c r="C53" s="152"/>
      <c r="D53" s="722"/>
      <c r="E53" s="140" t="s">
        <v>165</v>
      </c>
      <c r="F53" s="138"/>
      <c r="G53" s="138"/>
      <c r="H53" s="141">
        <v>185.74850000000001</v>
      </c>
      <c r="I53" s="731">
        <v>222.82550000000001</v>
      </c>
      <c r="J53" s="147" t="s">
        <v>152</v>
      </c>
      <c r="K53" s="147"/>
      <c r="L53" s="147"/>
      <c r="M53" s="148">
        <v>11.742000000000001</v>
      </c>
      <c r="N53" s="738">
        <v>11.742000000000001</v>
      </c>
      <c r="O53" s="195" t="s">
        <v>161</v>
      </c>
      <c r="P53" s="193"/>
      <c r="Q53" s="193"/>
      <c r="R53" s="193"/>
      <c r="S53" s="757"/>
      <c r="T53" s="204" t="s">
        <v>166</v>
      </c>
      <c r="U53" s="205">
        <f>W44</f>
        <v>81333.75</v>
      </c>
      <c r="V53" s="216">
        <f>U53/$U$55</f>
        <v>0.94808870812608204</v>
      </c>
      <c r="W53" s="205">
        <f>U53*0.96</f>
        <v>78080.399999999994</v>
      </c>
      <c r="X53" s="749">
        <v>80633.289599999989</v>
      </c>
    </row>
    <row r="54" spans="1:24">
      <c r="A54" s="152" t="s">
        <v>167</v>
      </c>
      <c r="B54" s="152"/>
      <c r="C54" s="153">
        <v>7944.2615310690026</v>
      </c>
      <c r="D54" s="718">
        <v>8139.0890516009995</v>
      </c>
      <c r="E54" s="140" t="s">
        <v>168</v>
      </c>
      <c r="F54" s="138"/>
      <c r="G54" s="138"/>
      <c r="H54" s="141">
        <v>50.89</v>
      </c>
      <c r="I54" s="731">
        <v>74.517499999999998</v>
      </c>
      <c r="J54" s="147" t="s">
        <v>143</v>
      </c>
      <c r="K54" s="147"/>
      <c r="L54" s="147"/>
      <c r="M54" s="148">
        <v>3.6520000000000001</v>
      </c>
      <c r="N54" s="738">
        <v>3.6520000000000001</v>
      </c>
      <c r="O54" s="196"/>
      <c r="P54" s="198" t="s">
        <v>101</v>
      </c>
      <c r="Q54" s="198" t="s">
        <v>163</v>
      </c>
      <c r="R54" s="198" t="s">
        <v>25</v>
      </c>
      <c r="S54" s="758" t="s">
        <v>25</v>
      </c>
      <c r="T54" s="217" t="s">
        <v>70</v>
      </c>
      <c r="U54" s="206">
        <f>W49</f>
        <v>4453.3174999999992</v>
      </c>
      <c r="V54" s="218">
        <f>U54/$U$55</f>
        <v>5.1911291873917929E-2</v>
      </c>
      <c r="W54" s="206">
        <f>U54*0.96</f>
        <v>4275.1847999999991</v>
      </c>
      <c r="X54" s="750">
        <v>4379.2919999999995</v>
      </c>
    </row>
    <row r="55" spans="1:24">
      <c r="A55" s="152" t="s">
        <v>169</v>
      </c>
      <c r="B55" s="152"/>
      <c r="C55" s="709">
        <v>1203.51738</v>
      </c>
      <c r="D55" s="718">
        <v>1156.347315</v>
      </c>
      <c r="E55" s="140" t="s">
        <v>170</v>
      </c>
      <c r="F55" s="138"/>
      <c r="G55" s="138"/>
      <c r="H55" s="142">
        <v>10.904999999999999</v>
      </c>
      <c r="I55" s="732">
        <v>14.54</v>
      </c>
      <c r="J55" s="147" t="s">
        <v>171</v>
      </c>
      <c r="K55" s="147"/>
      <c r="L55" s="147"/>
      <c r="M55" s="148">
        <v>12.6814</v>
      </c>
      <c r="N55" s="738">
        <v>12.6814</v>
      </c>
      <c r="O55" s="196" t="s">
        <v>172</v>
      </c>
      <c r="P55" s="197">
        <f>R45</f>
        <v>960.54739200000006</v>
      </c>
      <c r="Q55" s="199">
        <f>P55/$P$58</f>
        <v>0.54707444920288972</v>
      </c>
      <c r="R55" s="197">
        <f>1.065*P55</f>
        <v>1022.9829724800001</v>
      </c>
      <c r="S55" s="755">
        <v>876.94178880000004</v>
      </c>
      <c r="T55" s="204" t="s">
        <v>46</v>
      </c>
      <c r="U55" s="207">
        <f>U53+U54</f>
        <v>85787.067500000005</v>
      </c>
      <c r="V55" s="219">
        <f>U55/$U$55</f>
        <v>1</v>
      </c>
      <c r="W55" s="207">
        <f>W53+W54</f>
        <v>82355.584799999997</v>
      </c>
      <c r="X55" s="754">
        <v>85012.58159999999</v>
      </c>
    </row>
    <row r="56" spans="1:24">
      <c r="A56" s="152" t="s">
        <v>173</v>
      </c>
      <c r="B56" s="152"/>
      <c r="C56" s="154">
        <v>1934.6849999999999</v>
      </c>
      <c r="D56" s="719">
        <v>2044.2750000000001</v>
      </c>
      <c r="E56" s="140"/>
      <c r="F56" s="138"/>
      <c r="G56" s="140" t="s">
        <v>156</v>
      </c>
      <c r="H56" s="143">
        <f>SUM(H52:H55)</f>
        <v>259.30999499999996</v>
      </c>
      <c r="I56" s="731">
        <v>325.17983000000004</v>
      </c>
      <c r="J56" s="147" t="s">
        <v>174</v>
      </c>
      <c r="K56" s="147"/>
      <c r="L56" s="147"/>
      <c r="M56" s="149">
        <v>74.932021000000006</v>
      </c>
      <c r="N56" s="740">
        <v>74.932021000000006</v>
      </c>
      <c r="O56" s="196" t="s">
        <v>175</v>
      </c>
      <c r="P56" s="197">
        <f>R46</f>
        <v>600.50323200000003</v>
      </c>
      <c r="Q56" s="199">
        <f>P56/$P$58</f>
        <v>0.3420132911994363</v>
      </c>
      <c r="R56" s="197">
        <f>1.065*P56</f>
        <v>639.53594208000004</v>
      </c>
      <c r="S56" s="755">
        <v>513.6031000800001</v>
      </c>
    </row>
    <row r="57" spans="1:24">
      <c r="A57" s="155" t="s">
        <v>155</v>
      </c>
      <c r="B57" s="12"/>
      <c r="C57" s="50">
        <f>SUM(C54:C56)</f>
        <v>11082.463911069002</v>
      </c>
      <c r="D57" s="720">
        <v>11339.711366600999</v>
      </c>
      <c r="E57" s="139" t="s">
        <v>176</v>
      </c>
      <c r="F57" s="138"/>
      <c r="G57" s="138"/>
      <c r="H57" s="710"/>
      <c r="I57" s="733"/>
      <c r="J57" s="147"/>
      <c r="K57" s="147"/>
      <c r="L57" s="147" t="s">
        <v>156</v>
      </c>
      <c r="M57" s="150">
        <f>SUM(M52:M56)</f>
        <v>255.259434</v>
      </c>
      <c r="N57" s="738">
        <v>255.259434</v>
      </c>
      <c r="O57" s="196" t="s">
        <v>177</v>
      </c>
      <c r="P57" s="197">
        <f>SUM(R47:R50)</f>
        <v>194.73854400000002</v>
      </c>
      <c r="Q57" s="199">
        <f>P57/$P$58</f>
        <v>0.11091225959767398</v>
      </c>
      <c r="R57" s="197">
        <f>1.065*P57</f>
        <v>207.39654936000002</v>
      </c>
      <c r="S57" s="755">
        <v>223.92458923027456</v>
      </c>
    </row>
    <row r="58" spans="1:24">
      <c r="A58" s="151" t="s">
        <v>146</v>
      </c>
      <c r="B58" s="152"/>
      <c r="C58" s="152"/>
      <c r="D58" s="722"/>
      <c r="E58" s="140" t="s">
        <v>140</v>
      </c>
      <c r="F58" s="138"/>
      <c r="G58" s="138"/>
      <c r="H58" s="141">
        <v>57.796500000000002</v>
      </c>
      <c r="I58" s="731">
        <v>52.707500000000003</v>
      </c>
      <c r="J58" s="146" t="s">
        <v>178</v>
      </c>
      <c r="K58" s="147"/>
      <c r="L58" s="147"/>
      <c r="M58" s="147"/>
      <c r="N58" s="739"/>
      <c r="O58" s="196" t="s">
        <v>46</v>
      </c>
      <c r="P58" s="200">
        <f>SUM(P55:P57)</f>
        <v>1755.789168</v>
      </c>
      <c r="Q58" s="201">
        <f>SUM(Q55:Q57)</f>
        <v>1</v>
      </c>
      <c r="R58" s="200">
        <f>SUM(R55:R57)</f>
        <v>1869.9154639200003</v>
      </c>
      <c r="S58" s="759">
        <v>1614.4694781102746</v>
      </c>
    </row>
    <row r="59" spans="1:24">
      <c r="A59" s="152" t="s">
        <v>154</v>
      </c>
      <c r="B59" s="152"/>
      <c r="C59" s="153">
        <v>791.74559999999997</v>
      </c>
      <c r="D59" s="718">
        <v>996.6789</v>
      </c>
      <c r="E59" s="140" t="s">
        <v>179</v>
      </c>
      <c r="F59" s="138"/>
      <c r="G59" s="138"/>
      <c r="H59" s="141">
        <v>29.298099999999998</v>
      </c>
      <c r="I59" s="731">
        <v>13.813000000000001</v>
      </c>
      <c r="J59" s="147" t="s">
        <v>162</v>
      </c>
      <c r="K59" s="147"/>
      <c r="L59" s="147"/>
      <c r="M59" s="148">
        <v>73.023378000000037</v>
      </c>
      <c r="N59" s="738">
        <v>73.023378000000037</v>
      </c>
    </row>
    <row r="60" spans="1:24">
      <c r="A60" s="152" t="s">
        <v>149</v>
      </c>
      <c r="B60" s="152"/>
      <c r="C60" s="153">
        <v>851.43</v>
      </c>
      <c r="D60" s="718">
        <v>669.34199999999998</v>
      </c>
      <c r="E60" s="140" t="s">
        <v>143</v>
      </c>
      <c r="F60" s="138"/>
      <c r="G60" s="138"/>
      <c r="H60" s="142">
        <v>79.0976</v>
      </c>
      <c r="I60" s="732">
        <v>67.174800000000005</v>
      </c>
      <c r="J60" s="147" t="s">
        <v>165</v>
      </c>
      <c r="K60" s="147"/>
      <c r="L60" s="147"/>
      <c r="M60" s="148">
        <v>1.8</v>
      </c>
      <c r="N60" s="738">
        <v>1.8</v>
      </c>
      <c r="O60" s="880" t="s">
        <v>180</v>
      </c>
      <c r="P60" s="881"/>
      <c r="Q60" s="881"/>
      <c r="R60" s="882"/>
    </row>
    <row r="61" spans="1:24">
      <c r="A61" s="152" t="s">
        <v>181</v>
      </c>
      <c r="B61" s="152"/>
      <c r="C61" s="153">
        <v>184.34302500000001</v>
      </c>
      <c r="D61" s="718">
        <v>202.166574</v>
      </c>
      <c r="E61" s="140"/>
      <c r="F61" s="140"/>
      <c r="G61" s="140" t="s">
        <v>156</v>
      </c>
      <c r="H61" s="143">
        <f>SUM(H58:H60)</f>
        <v>166.19220000000001</v>
      </c>
      <c r="I61" s="731">
        <v>133.6953</v>
      </c>
      <c r="J61" s="147" t="s">
        <v>168</v>
      </c>
      <c r="K61" s="147"/>
      <c r="L61" s="147"/>
      <c r="M61" s="149">
        <v>0.80400000000000005</v>
      </c>
      <c r="N61" s="740">
        <v>0.80400000000000005</v>
      </c>
      <c r="O61" s="56"/>
      <c r="P61" s="56"/>
      <c r="Q61" s="56"/>
      <c r="R61" s="56"/>
    </row>
    <row r="62" spans="1:24">
      <c r="A62" s="152" t="s">
        <v>182</v>
      </c>
      <c r="B62" s="152"/>
      <c r="C62" s="154">
        <v>400.47557999999998</v>
      </c>
      <c r="D62" s="719">
        <v>518.50991099999999</v>
      </c>
      <c r="E62" s="138"/>
      <c r="F62" s="138"/>
      <c r="G62" s="138"/>
      <c r="H62" s="138"/>
      <c r="I62" s="733"/>
      <c r="J62" s="147"/>
      <c r="K62" s="147"/>
      <c r="L62" s="147" t="s">
        <v>156</v>
      </c>
      <c r="M62" s="148">
        <f>SUM(M59:M61)</f>
        <v>75.627378000000036</v>
      </c>
      <c r="N62" s="738">
        <v>75.627378000000036</v>
      </c>
      <c r="O62" s="208" t="s">
        <v>68</v>
      </c>
      <c r="P62" s="209"/>
      <c r="Q62" s="209"/>
      <c r="R62" s="764" t="s">
        <v>137</v>
      </c>
      <c r="S62" s="763" t="s">
        <v>132</v>
      </c>
    </row>
    <row r="63" spans="1:24" ht="15.75" thickBot="1">
      <c r="A63" s="152"/>
      <c r="B63" s="152"/>
      <c r="C63" s="156">
        <f>SUM(C59:C62)</f>
        <v>2227.994205</v>
      </c>
      <c r="D63" s="720">
        <v>2386.6973849999999</v>
      </c>
      <c r="E63" s="139" t="s">
        <v>183</v>
      </c>
      <c r="F63" s="140"/>
      <c r="G63" s="140"/>
      <c r="H63" s="140"/>
      <c r="I63" s="733"/>
      <c r="J63" s="145"/>
      <c r="K63" s="145"/>
      <c r="L63" s="145"/>
      <c r="M63" s="145"/>
      <c r="N63" s="739"/>
      <c r="O63" s="209" t="s">
        <v>184</v>
      </c>
      <c r="P63" s="209"/>
      <c r="Q63" s="210"/>
      <c r="R63" s="210">
        <v>24.111920000000001</v>
      </c>
      <c r="S63" s="210">
        <v>25.699520000000003</v>
      </c>
    </row>
    <row r="64" spans="1:24" ht="15.75" thickBot="1">
      <c r="A64" s="151" t="s">
        <v>98</v>
      </c>
      <c r="B64" s="152"/>
      <c r="C64" s="153"/>
      <c r="D64" s="718"/>
      <c r="E64" s="140" t="s">
        <v>174</v>
      </c>
      <c r="F64" s="138"/>
      <c r="G64" s="138"/>
      <c r="H64" s="143">
        <v>22.173500000000001</v>
      </c>
      <c r="I64" s="731">
        <v>30.170500000000001</v>
      </c>
      <c r="J64" s="147"/>
      <c r="K64" s="146" t="s">
        <v>185</v>
      </c>
      <c r="L64" s="147"/>
      <c r="M64" s="714">
        <f>M44+M50+M57+M62</f>
        <v>4727.1043498000026</v>
      </c>
      <c r="N64" s="741">
        <v>4648.6711243000009</v>
      </c>
      <c r="O64" s="209" t="s">
        <v>186</v>
      </c>
      <c r="P64" s="209"/>
      <c r="Q64" s="210"/>
      <c r="R64" s="211">
        <v>4.2061600000000006</v>
      </c>
      <c r="S64" s="211">
        <v>4.4844800000000005</v>
      </c>
    </row>
    <row r="65" spans="1:19" ht="15.75" thickBot="1">
      <c r="A65" s="152" t="s">
        <v>174</v>
      </c>
      <c r="B65" s="708" t="s">
        <v>187</v>
      </c>
      <c r="C65" s="153">
        <v>889.78650000000005</v>
      </c>
      <c r="D65" s="718">
        <v>1393.6476</v>
      </c>
      <c r="E65" s="138"/>
      <c r="F65" s="138"/>
      <c r="G65" s="138"/>
      <c r="H65" s="138"/>
      <c r="I65" s="733"/>
      <c r="J65" s="147"/>
      <c r="K65" s="145"/>
      <c r="L65" s="147"/>
      <c r="M65" s="161"/>
      <c r="N65" s="742"/>
      <c r="O65" s="209"/>
      <c r="P65" s="209"/>
      <c r="Q65" s="209"/>
      <c r="R65" s="212">
        <f>SUM(R63:R64)</f>
        <v>28.318080000000002</v>
      </c>
      <c r="S65" s="212">
        <f>S63+S64</f>
        <v>30.184000000000005</v>
      </c>
    </row>
    <row r="66" spans="1:19" ht="15.75" thickBot="1">
      <c r="A66" s="152" t="s">
        <v>188</v>
      </c>
      <c r="B66" s="708" t="s">
        <v>189</v>
      </c>
      <c r="C66" s="153">
        <v>1157.8605</v>
      </c>
      <c r="D66" s="718">
        <v>1163.3399999999999</v>
      </c>
      <c r="E66" s="138"/>
      <c r="F66" s="139" t="s">
        <v>190</v>
      </c>
      <c r="G66" s="140"/>
      <c r="H66" s="715">
        <f>H64+H61+H56+H50+H45</f>
        <v>21185.612938440008</v>
      </c>
      <c r="I66" s="734">
        <v>21710.810235569996</v>
      </c>
      <c r="J66" s="173" t="s">
        <v>161</v>
      </c>
      <c r="K66" s="174"/>
      <c r="L66" s="174"/>
      <c r="M66" s="716" t="s">
        <v>138</v>
      </c>
      <c r="N66" s="743" t="s">
        <v>138</v>
      </c>
      <c r="O66" s="208" t="s">
        <v>69</v>
      </c>
      <c r="P66" s="209"/>
      <c r="Q66" s="209"/>
      <c r="R66" s="209"/>
      <c r="S66" s="209"/>
    </row>
    <row r="67" spans="1:19">
      <c r="A67" s="152" t="s">
        <v>191</v>
      </c>
      <c r="B67" s="708" t="s">
        <v>187</v>
      </c>
      <c r="C67" s="153">
        <v>59.01</v>
      </c>
      <c r="D67" s="718">
        <v>92.73</v>
      </c>
      <c r="E67" s="138"/>
      <c r="F67" s="138"/>
      <c r="G67" s="138"/>
      <c r="H67" s="140"/>
      <c r="I67" s="733"/>
      <c r="J67" s="174"/>
      <c r="K67" s="175" t="s">
        <v>101</v>
      </c>
      <c r="L67" s="175" t="s">
        <v>163</v>
      </c>
      <c r="M67" s="175" t="s">
        <v>25</v>
      </c>
      <c r="N67" s="744" t="s">
        <v>25</v>
      </c>
      <c r="O67" s="209" t="s">
        <v>151</v>
      </c>
      <c r="P67" s="209"/>
      <c r="Q67" s="209"/>
      <c r="R67" s="210">
        <v>3.9200000000000004</v>
      </c>
      <c r="S67" s="210">
        <v>7.0716800000000006</v>
      </c>
    </row>
    <row r="68" spans="1:19">
      <c r="A68" s="152" t="s">
        <v>171</v>
      </c>
      <c r="B68" s="708" t="s">
        <v>189</v>
      </c>
      <c r="C68" s="153">
        <v>67.44</v>
      </c>
      <c r="D68" s="718">
        <v>75.87</v>
      </c>
      <c r="E68" s="163" t="s">
        <v>161</v>
      </c>
      <c r="F68" s="164"/>
      <c r="G68" s="164"/>
      <c r="H68" s="164"/>
      <c r="I68" s="733"/>
      <c r="J68" s="174" t="s">
        <v>68</v>
      </c>
      <c r="K68" s="176">
        <f>M44</f>
        <v>3492.050333000002</v>
      </c>
      <c r="L68" s="177">
        <f>K68/$K$72</f>
        <v>0.73872926734687927</v>
      </c>
      <c r="M68" s="176">
        <f>1.13*K68</f>
        <v>3946.0168762900016</v>
      </c>
      <c r="N68" s="738">
        <v>4032.8634771600009</v>
      </c>
      <c r="O68" s="209" t="s">
        <v>140</v>
      </c>
      <c r="P68" s="209"/>
      <c r="Q68" s="209"/>
      <c r="R68" s="210">
        <v>1.5680000000000001</v>
      </c>
      <c r="S68" s="210">
        <v>1.8816000000000002</v>
      </c>
    </row>
    <row r="69" spans="1:19">
      <c r="A69" s="152" t="s">
        <v>145</v>
      </c>
      <c r="B69" s="708" t="s">
        <v>189</v>
      </c>
      <c r="C69" s="154">
        <v>300</v>
      </c>
      <c r="D69" s="719">
        <v>300</v>
      </c>
      <c r="E69" s="164"/>
      <c r="F69" s="165" t="s">
        <v>101</v>
      </c>
      <c r="G69" s="165" t="s">
        <v>163</v>
      </c>
      <c r="H69" s="165" t="s">
        <v>25</v>
      </c>
      <c r="I69" s="735" t="s">
        <v>25</v>
      </c>
      <c r="J69" s="174" t="s">
        <v>144</v>
      </c>
      <c r="K69" s="176">
        <f>M50</f>
        <v>904.16720480000129</v>
      </c>
      <c r="L69" s="177">
        <f>K69/$K$72</f>
        <v>0.19127295229652702</v>
      </c>
      <c r="M69" s="176">
        <f>1.13*K69</f>
        <v>1021.7089414240014</v>
      </c>
      <c r="N69" s="738">
        <v>846.23279573900015</v>
      </c>
      <c r="O69" s="209" t="s">
        <v>192</v>
      </c>
      <c r="P69" s="209"/>
      <c r="Q69" s="210"/>
      <c r="R69" s="211">
        <v>0.17640000000000003</v>
      </c>
      <c r="S69" s="211">
        <v>0.11760000000000001</v>
      </c>
    </row>
    <row r="70" spans="1:19">
      <c r="A70" s="155" t="s">
        <v>155</v>
      </c>
      <c r="B70" s="152"/>
      <c r="C70" s="156">
        <f>SUM(C65:C69)</f>
        <v>2474.0970000000002</v>
      </c>
      <c r="D70" s="720">
        <v>3025.5875999999998</v>
      </c>
      <c r="E70" s="164" t="s">
        <v>71</v>
      </c>
      <c r="F70" s="166">
        <f>H45</f>
        <v>19759.90414344001</v>
      </c>
      <c r="G70" s="167">
        <f t="shared" ref="G70:G75" si="8">F70/$F$75</f>
        <v>0.93270391566471322</v>
      </c>
      <c r="H70" s="166">
        <f>1.07*F70</f>
        <v>21143.097433480812</v>
      </c>
      <c r="I70" s="731">
        <v>22022.355982959896</v>
      </c>
      <c r="J70" s="174" t="s">
        <v>70</v>
      </c>
      <c r="K70" s="176">
        <f>M57</f>
        <v>255.259434</v>
      </c>
      <c r="L70" s="177">
        <f>K70/$K$72</f>
        <v>5.399911131870818E-2</v>
      </c>
      <c r="M70" s="176">
        <f>1.13*K70</f>
        <v>288.44316041999997</v>
      </c>
      <c r="N70" s="738">
        <v>288.44316041999997</v>
      </c>
      <c r="O70" s="209"/>
      <c r="P70" s="209"/>
      <c r="Q70" s="209"/>
      <c r="R70" s="210">
        <f>SUM(R67:R69)</f>
        <v>5.6644000000000005</v>
      </c>
      <c r="S70" s="210">
        <f>SUM(S67:S69)</f>
        <v>9.0708800000000007</v>
      </c>
    </row>
    <row r="71" spans="1:19">
      <c r="A71" s="151" t="s">
        <v>193</v>
      </c>
      <c r="B71" s="152"/>
      <c r="C71" s="152"/>
      <c r="D71" s="722"/>
      <c r="E71" s="164" t="s">
        <v>194</v>
      </c>
      <c r="F71" s="166">
        <f>H50</f>
        <v>978.03309999999999</v>
      </c>
      <c r="G71" s="167">
        <f t="shared" si="8"/>
        <v>4.6164965953164286E-2</v>
      </c>
      <c r="H71" s="166">
        <f>1.07*F71</f>
        <v>1046.4954170000001</v>
      </c>
      <c r="I71" s="731">
        <v>684.93214500000011</v>
      </c>
      <c r="J71" s="178" t="s">
        <v>159</v>
      </c>
      <c r="K71" s="179">
        <f>M62</f>
        <v>75.627378000000036</v>
      </c>
      <c r="L71" s="180">
        <f>K71/$K$72</f>
        <v>1.5998669037885684E-2</v>
      </c>
      <c r="M71" s="179">
        <f>1.13*K71</f>
        <v>85.458937140000032</v>
      </c>
      <c r="N71" s="740">
        <v>85.458937140000032</v>
      </c>
      <c r="O71" s="208" t="s">
        <v>70</v>
      </c>
      <c r="P71" s="209"/>
      <c r="Q71" s="209"/>
      <c r="R71" s="209"/>
      <c r="S71" s="209"/>
    </row>
    <row r="72" spans="1:19">
      <c r="A72" s="152" t="s">
        <v>195</v>
      </c>
      <c r="B72" s="152"/>
      <c r="C72" s="153">
        <v>1639.2135000000001</v>
      </c>
      <c r="D72" s="718">
        <v>1331.94</v>
      </c>
      <c r="E72" s="164" t="s">
        <v>159</v>
      </c>
      <c r="F72" s="166">
        <f>H56</f>
        <v>259.30999499999996</v>
      </c>
      <c r="G72" s="167">
        <f t="shared" si="8"/>
        <v>1.223990996878347E-2</v>
      </c>
      <c r="H72" s="166">
        <f>1.07*F72</f>
        <v>277.46169464999997</v>
      </c>
      <c r="I72" s="731">
        <v>347.94241810000005</v>
      </c>
      <c r="J72" s="174" t="s">
        <v>46</v>
      </c>
      <c r="K72" s="181">
        <f>SUM(K68:K71)</f>
        <v>4727.1043498000026</v>
      </c>
      <c r="L72" s="182">
        <f>K72/$K$72</f>
        <v>1</v>
      </c>
      <c r="M72" s="181">
        <f>SUM(M68:M71)</f>
        <v>5341.6279152740026</v>
      </c>
      <c r="N72" s="745">
        <v>5252.9983704590004</v>
      </c>
      <c r="O72" s="209" t="s">
        <v>174</v>
      </c>
      <c r="P72" s="209"/>
      <c r="Q72" s="210"/>
      <c r="R72" s="211">
        <v>4.2336</v>
      </c>
      <c r="S72" s="211">
        <v>6.8992000000000004</v>
      </c>
    </row>
    <row r="73" spans="1:19">
      <c r="A73" s="152" t="s">
        <v>196</v>
      </c>
      <c r="B73" s="152"/>
      <c r="C73" s="154">
        <v>481.46204795100016</v>
      </c>
      <c r="D73" s="719">
        <v>489.23349297900006</v>
      </c>
      <c r="E73" s="164" t="s">
        <v>176</v>
      </c>
      <c r="F73" s="166">
        <f>H61</f>
        <v>166.19220000000001</v>
      </c>
      <c r="G73" s="167">
        <f t="shared" si="8"/>
        <v>7.8445783222280217E-3</v>
      </c>
      <c r="H73" s="166">
        <f>1.07*F73</f>
        <v>177.82565400000001</v>
      </c>
      <c r="I73" s="731">
        <v>143.05397100000002</v>
      </c>
      <c r="O73" s="209"/>
      <c r="P73" s="209"/>
      <c r="Q73" s="209"/>
      <c r="R73" s="213">
        <f>R65+R70+R72</f>
        <v>38.216080000000005</v>
      </c>
      <c r="S73" s="213">
        <v>46.154080000000008</v>
      </c>
    </row>
    <row r="74" spans="1:19">
      <c r="A74" s="155" t="s">
        <v>155</v>
      </c>
      <c r="B74" s="152"/>
      <c r="C74" s="156">
        <f>C72+C73</f>
        <v>2120.6755479510002</v>
      </c>
      <c r="D74" s="720">
        <v>1821.173492979</v>
      </c>
      <c r="E74" s="168" t="s">
        <v>183</v>
      </c>
      <c r="F74" s="169">
        <f>H64</f>
        <v>22.173500000000001</v>
      </c>
      <c r="G74" s="170">
        <f t="shared" si="8"/>
        <v>1.0466300911109127E-3</v>
      </c>
      <c r="H74" s="169">
        <f>1.07*F74</f>
        <v>23.725645000000004</v>
      </c>
      <c r="I74" s="732">
        <v>32.282435</v>
      </c>
      <c r="J74" s="879" t="s">
        <v>197</v>
      </c>
      <c r="K74" s="879"/>
      <c r="L74" s="879"/>
      <c r="M74" s="879"/>
    </row>
    <row r="75" spans="1:19">
      <c r="A75" s="151" t="s">
        <v>96</v>
      </c>
      <c r="B75" s="152"/>
      <c r="C75" s="152"/>
      <c r="D75" s="722"/>
      <c r="E75" s="164" t="s">
        <v>46</v>
      </c>
      <c r="F75" s="171">
        <f>SUM(F70:F74)</f>
        <v>21185.612938440012</v>
      </c>
      <c r="G75" s="172">
        <f t="shared" si="8"/>
        <v>1</v>
      </c>
      <c r="H75" s="171">
        <f>SUM(H70:H74)</f>
        <v>22668.605844130809</v>
      </c>
      <c r="I75" s="736">
        <v>23230.566952059897</v>
      </c>
      <c r="J75" s="79"/>
      <c r="K75" s="79"/>
      <c r="L75" s="79"/>
      <c r="M75" s="79"/>
      <c r="O75" s="854">
        <v>1157.8605</v>
      </c>
    </row>
    <row r="76" spans="1:19">
      <c r="A76" s="152" t="s">
        <v>198</v>
      </c>
      <c r="B76" s="152"/>
      <c r="C76" s="153">
        <v>172.15914599999999</v>
      </c>
      <c r="D76" s="718">
        <v>187.3989</v>
      </c>
      <c r="J76" s="220" t="s">
        <v>199</v>
      </c>
      <c r="K76" s="221"/>
      <c r="L76" s="225">
        <v>0.75</v>
      </c>
      <c r="M76" s="79"/>
      <c r="O76" s="855">
        <v>67.44</v>
      </c>
    </row>
    <row r="77" spans="1:19">
      <c r="A77" s="152" t="s">
        <v>165</v>
      </c>
      <c r="B77" s="152"/>
      <c r="C77" s="153">
        <v>150.30690000000001</v>
      </c>
      <c r="D77" s="718">
        <v>152.33009999999999</v>
      </c>
      <c r="E77" s="241" t="s">
        <v>200</v>
      </c>
      <c r="F77" s="242"/>
      <c r="G77" s="243"/>
      <c r="H77" s="244"/>
      <c r="J77" s="220" t="s">
        <v>140</v>
      </c>
      <c r="K77" s="221"/>
      <c r="L77" s="225">
        <v>0.2</v>
      </c>
      <c r="M77" s="79"/>
      <c r="O77">
        <v>300</v>
      </c>
    </row>
    <row r="78" spans="1:19">
      <c r="A78" s="152" t="s">
        <v>170</v>
      </c>
      <c r="B78" s="152"/>
      <c r="C78" s="153">
        <v>80.084999999999994</v>
      </c>
      <c r="D78" s="718">
        <v>88.515000000000001</v>
      </c>
      <c r="E78" s="245" t="s">
        <v>201</v>
      </c>
      <c r="F78" s="246"/>
      <c r="G78" s="247"/>
      <c r="H78" s="248"/>
      <c r="J78" s="224" t="s">
        <v>202</v>
      </c>
      <c r="K78" s="223"/>
      <c r="L78" s="226">
        <v>0.05</v>
      </c>
      <c r="M78" s="79"/>
    </row>
    <row r="79" spans="1:19">
      <c r="A79" s="152" t="s">
        <v>203</v>
      </c>
      <c r="B79" s="152"/>
      <c r="C79" s="153">
        <v>230.13900000000001</v>
      </c>
      <c r="D79" s="718">
        <v>138.868233</v>
      </c>
      <c r="E79" s="66"/>
      <c r="F79" s="66"/>
      <c r="J79" s="221" t="s">
        <v>46</v>
      </c>
      <c r="K79" s="221"/>
      <c r="L79" s="222">
        <f>SUM(L76:L78)</f>
        <v>1</v>
      </c>
      <c r="M79" s="79"/>
    </row>
    <row r="80" spans="1:19">
      <c r="A80" s="152" t="s">
        <v>168</v>
      </c>
      <c r="B80" s="152"/>
      <c r="C80" s="153">
        <v>570.71100000000001</v>
      </c>
      <c r="D80" s="718">
        <v>532.91088000000002</v>
      </c>
      <c r="F80" s="66"/>
    </row>
    <row r="81" spans="1:7">
      <c r="A81" s="152" t="s">
        <v>162</v>
      </c>
      <c r="B81" s="152"/>
      <c r="C81" s="709">
        <v>81.556034999999994</v>
      </c>
      <c r="D81" s="723">
        <v>84.450896999999998</v>
      </c>
      <c r="F81" s="66"/>
    </row>
    <row r="82" spans="1:7">
      <c r="A82" s="152" t="s">
        <v>204</v>
      </c>
      <c r="B82" s="152"/>
      <c r="C82" s="154">
        <v>2281.9706519999891</v>
      </c>
      <c r="D82" s="719">
        <v>2640.4344839999999</v>
      </c>
      <c r="F82" s="66"/>
    </row>
    <row r="83" spans="1:7">
      <c r="A83" s="155" t="s">
        <v>155</v>
      </c>
      <c r="B83" s="12"/>
      <c r="C83" s="50">
        <f>SUM(C76:C82)</f>
        <v>3566.9277329999891</v>
      </c>
      <c r="D83" s="720">
        <v>3824.9084939999998</v>
      </c>
      <c r="E83" s="66"/>
      <c r="F83" s="66"/>
      <c r="G83" s="10"/>
    </row>
    <row r="84" spans="1:7" ht="15.75" thickBot="1">
      <c r="A84" s="152"/>
      <c r="B84" s="152"/>
      <c r="C84" s="152"/>
      <c r="D84" s="722"/>
      <c r="E84" s="66"/>
      <c r="F84" s="279"/>
    </row>
    <row r="85" spans="1:7" ht="15.75" thickBot="1">
      <c r="A85" s="158" t="s">
        <v>205</v>
      </c>
      <c r="B85" s="152"/>
      <c r="C85" s="159">
        <f>C83+C74+C70+C63+C57+C51+C50</f>
        <v>48033.878788019996</v>
      </c>
      <c r="D85" s="724">
        <v>46213.264265579994</v>
      </c>
      <c r="F85" s="66"/>
    </row>
    <row r="86" spans="1:7">
      <c r="A86" s="12"/>
      <c r="B86" s="12"/>
      <c r="C86" s="12"/>
      <c r="D86" s="725"/>
      <c r="F86" s="66"/>
    </row>
    <row r="87" spans="1:7">
      <c r="A87" s="183" t="s">
        <v>206</v>
      </c>
      <c r="B87" s="184" t="s">
        <v>101</v>
      </c>
      <c r="C87" s="184" t="s">
        <v>163</v>
      </c>
      <c r="D87" s="726" t="s">
        <v>25</v>
      </c>
      <c r="F87" s="66"/>
    </row>
    <row r="88" spans="1:7">
      <c r="A88" s="185" t="s">
        <v>207</v>
      </c>
      <c r="B88" s="186">
        <f>C50</f>
        <v>15765.908331000001</v>
      </c>
      <c r="C88" s="187">
        <f t="shared" ref="C88:C95" si="9">B88/$B$95</f>
        <v>0.32822475987369421</v>
      </c>
      <c r="D88" s="727">
        <f>B88*1.035</f>
        <v>16317.715122584999</v>
      </c>
      <c r="F88" s="66"/>
    </row>
    <row r="89" spans="1:7">
      <c r="A89" s="185" t="s">
        <v>208</v>
      </c>
      <c r="B89" s="186">
        <f>C51</f>
        <v>10795.81206</v>
      </c>
      <c r="C89" s="187">
        <f t="shared" si="9"/>
        <v>0.22475411797667594</v>
      </c>
      <c r="D89" s="727">
        <f t="shared" ref="D89:D94" si="10">B89*1.035</f>
        <v>11173.665482099999</v>
      </c>
      <c r="F89" s="66"/>
    </row>
    <row r="90" spans="1:7">
      <c r="A90" s="185" t="s">
        <v>209</v>
      </c>
      <c r="B90" s="186">
        <f>C57</f>
        <v>11082.463911069002</v>
      </c>
      <c r="C90" s="187">
        <f t="shared" si="9"/>
        <v>0.23072181948864492</v>
      </c>
      <c r="D90" s="727">
        <f t="shared" si="10"/>
        <v>11470.350147956417</v>
      </c>
      <c r="F90" s="66"/>
    </row>
    <row r="91" spans="1:7">
      <c r="A91" s="185" t="s">
        <v>194</v>
      </c>
      <c r="B91" s="186">
        <f>C63</f>
        <v>2227.994205</v>
      </c>
      <c r="C91" s="187">
        <f t="shared" si="9"/>
        <v>4.6383807870949575E-2</v>
      </c>
      <c r="D91" s="727">
        <f t="shared" si="10"/>
        <v>2305.9740021749999</v>
      </c>
      <c r="F91" s="66"/>
    </row>
    <row r="92" spans="1:7">
      <c r="A92" s="185" t="s">
        <v>70</v>
      </c>
      <c r="B92" s="186">
        <f>C70</f>
        <v>2474.0970000000002</v>
      </c>
      <c r="C92" s="187">
        <f t="shared" si="9"/>
        <v>5.1507333207849497E-2</v>
      </c>
      <c r="D92" s="727">
        <f t="shared" si="10"/>
        <v>2560.6903950000001</v>
      </c>
      <c r="F92" s="66"/>
    </row>
    <row r="93" spans="1:7">
      <c r="A93" s="185" t="s">
        <v>74</v>
      </c>
      <c r="B93" s="186">
        <f>C74</f>
        <v>2120.6755479510002</v>
      </c>
      <c r="C93" s="187">
        <f t="shared" si="9"/>
        <v>4.4149579452240947E-2</v>
      </c>
      <c r="D93" s="727">
        <f t="shared" si="10"/>
        <v>2194.899192129285</v>
      </c>
      <c r="F93" s="66"/>
    </row>
    <row r="94" spans="1:7" ht="15.75" thickBot="1">
      <c r="A94" s="188" t="s">
        <v>69</v>
      </c>
      <c r="B94" s="189">
        <f>C83</f>
        <v>3566.9277329999891</v>
      </c>
      <c r="C94" s="190">
        <f t="shared" si="9"/>
        <v>7.4258582129944642E-2</v>
      </c>
      <c r="D94" s="728">
        <f t="shared" si="10"/>
        <v>3691.7702036549886</v>
      </c>
      <c r="F94" s="66"/>
    </row>
    <row r="95" spans="1:7" ht="15.75" thickBot="1">
      <c r="A95" s="191" t="s">
        <v>46</v>
      </c>
      <c r="B95" s="192">
        <f>SUM(B88:B94)</f>
        <v>48033.878788020003</v>
      </c>
      <c r="C95" s="187">
        <f t="shared" si="9"/>
        <v>1</v>
      </c>
      <c r="D95" s="729">
        <f>SUM(D88:D94)</f>
        <v>49715.064545600682</v>
      </c>
      <c r="F95" s="66"/>
    </row>
    <row r="97" spans="1:2">
      <c r="A97" s="227" t="s">
        <v>210</v>
      </c>
      <c r="B97" s="228"/>
    </row>
    <row r="98" spans="1:2">
      <c r="A98" s="229" t="s">
        <v>211</v>
      </c>
      <c r="B98" s="230">
        <v>0.35</v>
      </c>
    </row>
    <row r="99" spans="1:2">
      <c r="A99" s="229" t="s">
        <v>212</v>
      </c>
      <c r="B99" s="230">
        <v>0.31</v>
      </c>
    </row>
    <row r="100" spans="1:2">
      <c r="A100" s="234" t="s">
        <v>213</v>
      </c>
      <c r="B100" s="231"/>
    </row>
    <row r="101" spans="1:2">
      <c r="A101" s="232" t="s">
        <v>46</v>
      </c>
      <c r="B101" s="233">
        <f>SUM(B98:B100)</f>
        <v>0.65999999999999992</v>
      </c>
    </row>
    <row r="135" spans="3:3">
      <c r="C135" s="11"/>
    </row>
  </sheetData>
  <mergeCells count="7">
    <mergeCell ref="J74:M74"/>
    <mergeCell ref="O60:R60"/>
    <mergeCell ref="T42:W42"/>
    <mergeCell ref="A42:C42"/>
    <mergeCell ref="E42:H42"/>
    <mergeCell ref="J42:M42"/>
    <mergeCell ref="O42:R42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6"/>
  <sheetViews>
    <sheetView topLeftCell="B42" zoomScale="90" zoomScaleNormal="90" workbookViewId="0">
      <selection activeCell="B42" sqref="B42"/>
    </sheetView>
  </sheetViews>
  <sheetFormatPr defaultRowHeight="15"/>
  <cols>
    <col min="1" max="1" width="15" customWidth="1"/>
    <col min="4" max="4" width="10.28515625" customWidth="1"/>
    <col min="5" max="5" width="11.28515625" customWidth="1"/>
    <col min="6" max="6" width="13.28515625" customWidth="1"/>
    <col min="7" max="7" width="14.85546875" customWidth="1"/>
    <col min="8" max="8" width="12.7109375" customWidth="1"/>
    <col min="9" max="9" width="11.85546875" customWidth="1"/>
    <col min="10" max="10" width="11.7109375" customWidth="1"/>
    <col min="11" max="11" width="10.42578125" customWidth="1"/>
    <col min="12" max="12" width="10.85546875" customWidth="1"/>
    <col min="13" max="13" width="13" customWidth="1"/>
    <col min="15" max="15" width="13.28515625" customWidth="1"/>
    <col min="16" max="16" width="9.5703125" bestFit="1" customWidth="1"/>
    <col min="24" max="24" width="11.5703125" customWidth="1"/>
  </cols>
  <sheetData>
    <row r="1" spans="1:18" ht="18.75">
      <c r="D1" s="623" t="s">
        <v>214</v>
      </c>
    </row>
    <row r="3" spans="1:18">
      <c r="A3" s="559" t="s">
        <v>215</v>
      </c>
    </row>
    <row r="4" spans="1:18">
      <c r="A4" s="66" t="s">
        <v>216</v>
      </c>
    </row>
    <row r="5" spans="1:18">
      <c r="A5" s="66"/>
    </row>
    <row r="6" spans="1:18">
      <c r="A6" s="67"/>
      <c r="B6" s="622" t="s">
        <v>217</v>
      </c>
      <c r="C6" s="68"/>
      <c r="D6" s="68"/>
      <c r="G6" s="553" t="s">
        <v>218</v>
      </c>
      <c r="H6" s="558" t="s">
        <v>219</v>
      </c>
      <c r="I6" s="86"/>
      <c r="J6" s="86"/>
      <c r="K6" s="86"/>
      <c r="L6" s="86"/>
      <c r="M6" s="86"/>
      <c r="N6" s="86"/>
      <c r="O6" s="86"/>
      <c r="P6" s="554"/>
    </row>
    <row r="7" spans="1:18">
      <c r="B7" s="622" t="s">
        <v>220</v>
      </c>
      <c r="G7" s="561" t="s">
        <v>221</v>
      </c>
      <c r="H7" s="559"/>
      <c r="I7" s="559"/>
      <c r="J7" s="559"/>
      <c r="K7" s="559"/>
      <c r="L7" s="559"/>
      <c r="M7" s="559"/>
      <c r="N7" s="559"/>
      <c r="O7" s="559"/>
      <c r="P7" s="568"/>
      <c r="Q7" s="66"/>
    </row>
    <row r="8" spans="1:18">
      <c r="G8" s="561" t="s">
        <v>222</v>
      </c>
      <c r="H8" s="559"/>
      <c r="I8" s="559"/>
      <c r="J8" s="559"/>
      <c r="K8" s="559"/>
      <c r="L8" s="559"/>
      <c r="M8" s="559"/>
      <c r="N8" s="559"/>
      <c r="O8" s="559"/>
      <c r="P8" s="568"/>
      <c r="Q8" s="559"/>
    </row>
    <row r="9" spans="1:18">
      <c r="A9" s="621" t="s">
        <v>223</v>
      </c>
      <c r="B9" s="930">
        <v>2002</v>
      </c>
      <c r="C9" s="931"/>
      <c r="D9" s="932">
        <v>2010</v>
      </c>
      <c r="E9" s="933"/>
      <c r="G9" s="561" t="s">
        <v>224</v>
      </c>
      <c r="H9" s="577">
        <v>1</v>
      </c>
      <c r="I9" s="559" t="s">
        <v>225</v>
      </c>
      <c r="J9" s="278" t="s">
        <v>226</v>
      </c>
      <c r="K9" s="66"/>
      <c r="M9" s="562" t="s">
        <v>227</v>
      </c>
      <c r="N9" s="66"/>
      <c r="O9" s="559">
        <f>2.5*365</f>
        <v>912.5</v>
      </c>
      <c r="P9" s="568" t="s">
        <v>225</v>
      </c>
      <c r="Q9" s="559"/>
      <c r="R9" s="581"/>
    </row>
    <row r="10" spans="1:18">
      <c r="A10" s="309" t="s">
        <v>228</v>
      </c>
      <c r="B10" s="602">
        <v>18211</v>
      </c>
      <c r="C10" s="603">
        <f>B10/$B$18</f>
        <v>0.86996608226245642</v>
      </c>
      <c r="D10" s="610">
        <v>22650</v>
      </c>
      <c r="E10" s="611">
        <f t="shared" ref="E10:E18" si="0">D10/$D$18</f>
        <v>0.91441259588211543</v>
      </c>
      <c r="G10" s="561" t="s">
        <v>229</v>
      </c>
      <c r="H10" s="577">
        <v>1</v>
      </c>
      <c r="I10" s="559" t="s">
        <v>225</v>
      </c>
      <c r="J10" s="66" t="s">
        <v>230</v>
      </c>
      <c r="K10" s="66"/>
      <c r="L10" s="66" t="s">
        <v>231</v>
      </c>
      <c r="M10" s="559"/>
      <c r="N10" s="563"/>
      <c r="O10" s="559">
        <f>O9/1000</f>
        <v>0.91249999999999998</v>
      </c>
      <c r="P10" s="568" t="s">
        <v>232</v>
      </c>
      <c r="Q10" s="559"/>
    </row>
    <row r="11" spans="1:18">
      <c r="A11" s="270" t="s">
        <v>233</v>
      </c>
      <c r="B11" s="602">
        <v>1556</v>
      </c>
      <c r="C11" s="603">
        <f>B11/$B$18</f>
        <v>7.4332393827927196E-2</v>
      </c>
      <c r="D11" s="610">
        <v>1052</v>
      </c>
      <c r="E11" s="611">
        <f t="shared" si="0"/>
        <v>4.2470730722648363E-2</v>
      </c>
      <c r="G11" s="561" t="s">
        <v>234</v>
      </c>
      <c r="H11" s="578">
        <v>0.5</v>
      </c>
      <c r="I11" s="559" t="s">
        <v>225</v>
      </c>
      <c r="K11" s="559"/>
      <c r="L11" s="566"/>
      <c r="M11" s="559"/>
      <c r="N11" s="559"/>
      <c r="O11" s="559">
        <f>O10/0.5</f>
        <v>1.825</v>
      </c>
      <c r="P11" s="568" t="s">
        <v>235</v>
      </c>
      <c r="Q11" s="559"/>
      <c r="R11" s="581"/>
    </row>
    <row r="12" spans="1:18">
      <c r="A12" s="270" t="s">
        <v>236</v>
      </c>
      <c r="B12" s="602"/>
      <c r="C12" s="603"/>
      <c r="D12" s="610">
        <v>215</v>
      </c>
      <c r="E12" s="611">
        <f t="shared" si="0"/>
        <v>8.6798546628986673E-3</v>
      </c>
      <c r="G12" s="579"/>
      <c r="H12" s="578">
        <f>SUM(H9:H11)</f>
        <v>2.5</v>
      </c>
      <c r="I12" s="560" t="s">
        <v>225</v>
      </c>
      <c r="J12" s="565" t="s">
        <v>237</v>
      </c>
      <c r="K12" s="580"/>
      <c r="L12" s="560"/>
      <c r="M12" s="565"/>
      <c r="N12" s="560"/>
      <c r="O12" s="600">
        <f>O11*0.233</f>
        <v>0.42522500000000002</v>
      </c>
      <c r="P12" s="582" t="s">
        <v>238</v>
      </c>
      <c r="Q12" s="559"/>
      <c r="R12" s="581"/>
    </row>
    <row r="13" spans="1:18">
      <c r="A13" s="270" t="s">
        <v>16</v>
      </c>
      <c r="B13" s="602">
        <v>432</v>
      </c>
      <c r="C13" s="603">
        <f t="shared" ref="C13:C18" si="1">B13/$B$18</f>
        <v>2.0637271294128887E-2</v>
      </c>
      <c r="D13" s="610">
        <v>19</v>
      </c>
      <c r="E13" s="611">
        <f t="shared" si="0"/>
        <v>7.6705692369802183E-4</v>
      </c>
      <c r="Q13" s="559"/>
    </row>
    <row r="14" spans="1:18">
      <c r="A14" s="618" t="s">
        <v>239</v>
      </c>
      <c r="B14" s="604">
        <v>192</v>
      </c>
      <c r="C14" s="605">
        <f t="shared" si="1"/>
        <v>9.1721205751683944E-3</v>
      </c>
      <c r="D14" s="612">
        <v>125</v>
      </c>
      <c r="E14" s="605">
        <f t="shared" si="0"/>
        <v>5.0464271295922484E-3</v>
      </c>
      <c r="G14" s="553" t="s">
        <v>240</v>
      </c>
      <c r="H14" s="558" t="s">
        <v>241</v>
      </c>
      <c r="I14" s="86"/>
      <c r="J14" s="86"/>
      <c r="K14" s="86"/>
      <c r="L14" s="86"/>
      <c r="M14" s="86"/>
      <c r="N14" s="86"/>
      <c r="O14" s="86"/>
      <c r="P14" s="554"/>
      <c r="Q14" s="66"/>
    </row>
    <row r="15" spans="1:18">
      <c r="A15" s="618" t="s">
        <v>242</v>
      </c>
      <c r="B15" s="604">
        <v>22</v>
      </c>
      <c r="C15" s="605">
        <f t="shared" si="1"/>
        <v>1.0509721492380452E-3</v>
      </c>
      <c r="D15" s="612">
        <v>9</v>
      </c>
      <c r="E15" s="613">
        <f t="shared" si="0"/>
        <v>3.633427533306419E-4</v>
      </c>
      <c r="G15" s="561" t="s">
        <v>243</v>
      </c>
      <c r="H15" s="559"/>
      <c r="I15" s="66"/>
      <c r="J15" s="559"/>
      <c r="K15" s="559"/>
      <c r="L15" s="559"/>
      <c r="M15" s="559"/>
      <c r="N15" s="559"/>
      <c r="O15" s="66"/>
      <c r="P15" s="90"/>
    </row>
    <row r="16" spans="1:18">
      <c r="A16" s="270" t="s">
        <v>244</v>
      </c>
      <c r="B16" s="602">
        <v>197</v>
      </c>
      <c r="C16" s="603">
        <f t="shared" si="1"/>
        <v>9.4109778818134045E-3</v>
      </c>
      <c r="D16" s="610">
        <v>257</v>
      </c>
      <c r="E16" s="611">
        <f t="shared" si="0"/>
        <v>1.0375454178441663E-2</v>
      </c>
      <c r="G16" s="561" t="s">
        <v>222</v>
      </c>
      <c r="H16" s="559"/>
      <c r="I16" s="559"/>
      <c r="J16" s="559"/>
      <c r="K16" s="66"/>
      <c r="L16" s="66"/>
      <c r="M16" s="66"/>
      <c r="N16" s="66"/>
      <c r="O16" s="66"/>
      <c r="P16" s="90"/>
    </row>
    <row r="17" spans="1:18">
      <c r="A17" s="619" t="s">
        <v>245</v>
      </c>
      <c r="B17" s="606">
        <v>323</v>
      </c>
      <c r="C17" s="607">
        <f t="shared" si="1"/>
        <v>1.5430182009267664E-2</v>
      </c>
      <c r="D17" s="614">
        <v>443</v>
      </c>
      <c r="E17" s="615">
        <f t="shared" si="0"/>
        <v>1.7884537747274928E-2</v>
      </c>
      <c r="G17" s="561" t="s">
        <v>224</v>
      </c>
      <c r="H17" s="577">
        <v>0.5</v>
      </c>
      <c r="I17" s="559" t="s">
        <v>225</v>
      </c>
      <c r="J17" s="66" t="s">
        <v>226</v>
      </c>
      <c r="K17" s="66"/>
      <c r="M17" s="562" t="s">
        <v>246</v>
      </c>
      <c r="N17" s="66"/>
      <c r="O17" s="559">
        <f>1.3*365</f>
        <v>474.5</v>
      </c>
      <c r="P17" s="568" t="s">
        <v>247</v>
      </c>
    </row>
    <row r="18" spans="1:18">
      <c r="A18" s="620" t="s">
        <v>46</v>
      </c>
      <c r="B18" s="608">
        <f>SUM(B10:B17)</f>
        <v>20933</v>
      </c>
      <c r="C18" s="609">
        <f t="shared" si="1"/>
        <v>1</v>
      </c>
      <c r="D18" s="616">
        <f>SUM(D10:D17)</f>
        <v>24770</v>
      </c>
      <c r="E18" s="617">
        <f t="shared" si="0"/>
        <v>1</v>
      </c>
      <c r="G18" s="561" t="s">
        <v>229</v>
      </c>
      <c r="H18" s="577">
        <v>0.5</v>
      </c>
      <c r="I18" s="559" t="s">
        <v>225</v>
      </c>
      <c r="J18" s="559" t="s">
        <v>248</v>
      </c>
      <c r="O18" s="121">
        <f>O17/1000</f>
        <v>0.47449999999999998</v>
      </c>
      <c r="P18" s="90" t="s">
        <v>232</v>
      </c>
    </row>
    <row r="19" spans="1:18">
      <c r="A19" s="80" t="s">
        <v>249</v>
      </c>
      <c r="G19" s="561" t="s">
        <v>234</v>
      </c>
      <c r="H19" s="578">
        <v>0.3</v>
      </c>
      <c r="I19" s="559" t="s">
        <v>225</v>
      </c>
      <c r="J19" s="66" t="s">
        <v>250</v>
      </c>
      <c r="K19" s="66"/>
      <c r="L19" s="66"/>
      <c r="M19" s="66"/>
      <c r="N19" s="66"/>
      <c r="O19" s="601">
        <f>0.69*O18</f>
        <v>0.32740499999999995</v>
      </c>
      <c r="P19" s="582" t="s">
        <v>238</v>
      </c>
    </row>
    <row r="20" spans="1:18">
      <c r="A20" s="66" t="s">
        <v>251</v>
      </c>
      <c r="G20" s="579"/>
      <c r="H20" s="578">
        <f>SUM(H17:H19)</f>
        <v>1.3</v>
      </c>
      <c r="I20" s="560" t="s">
        <v>225</v>
      </c>
      <c r="J20" s="44"/>
      <c r="K20" s="565"/>
      <c r="L20" s="565"/>
      <c r="M20" s="560"/>
      <c r="N20" s="583"/>
      <c r="O20" s="560"/>
      <c r="P20" s="555"/>
    </row>
    <row r="21" spans="1:18">
      <c r="A21" s="66" t="s">
        <v>252</v>
      </c>
    </row>
    <row r="22" spans="1:18">
      <c r="A22" s="66"/>
      <c r="G22" s="553" t="s">
        <v>108</v>
      </c>
      <c r="H22" s="86"/>
      <c r="I22" s="558" t="s">
        <v>253</v>
      </c>
      <c r="J22" s="86"/>
      <c r="K22" s="86"/>
      <c r="L22" s="86"/>
      <c r="M22" s="554"/>
    </row>
    <row r="23" spans="1:18">
      <c r="A23" s="66"/>
      <c r="G23" s="556" t="s">
        <v>254</v>
      </c>
      <c r="H23" s="66"/>
      <c r="I23" s="66"/>
      <c r="J23" s="66"/>
      <c r="K23" s="66"/>
      <c r="L23" s="66"/>
      <c r="M23" s="567"/>
    </row>
    <row r="24" spans="1:18">
      <c r="C24" s="502"/>
      <c r="G24" s="557" t="s">
        <v>226</v>
      </c>
      <c r="H24" s="66"/>
      <c r="I24" s="66"/>
      <c r="J24" s="66" t="s">
        <v>255</v>
      </c>
      <c r="K24" s="66"/>
      <c r="L24" s="66">
        <f>0.5*365</f>
        <v>182.5</v>
      </c>
      <c r="M24" s="567" t="s">
        <v>256</v>
      </c>
    </row>
    <row r="25" spans="1:18">
      <c r="B25" s="501"/>
      <c r="D25" s="502"/>
      <c r="F25" s="45"/>
      <c r="G25" s="557" t="s">
        <v>257</v>
      </c>
      <c r="H25" s="66"/>
      <c r="I25" s="66" t="s">
        <v>258</v>
      </c>
      <c r="J25" s="66"/>
      <c r="L25" s="121">
        <f>L24*0.784</f>
        <v>143.08000000000001</v>
      </c>
      <c r="M25" s="567" t="s">
        <v>259</v>
      </c>
      <c r="N25" s="66"/>
      <c r="O25" s="66"/>
    </row>
    <row r="26" spans="1:18">
      <c r="C26" s="503"/>
      <c r="E26" s="503"/>
      <c r="F26" s="66"/>
      <c r="G26" s="564" t="s">
        <v>260</v>
      </c>
      <c r="H26" s="565"/>
      <c r="I26" s="565"/>
      <c r="J26" s="565"/>
      <c r="K26" s="44"/>
      <c r="L26" s="601">
        <f>L25/1000*1.045</f>
        <v>0.1495186</v>
      </c>
      <c r="M26" s="594" t="s">
        <v>238</v>
      </c>
      <c r="N26" s="66"/>
      <c r="O26" s="66"/>
      <c r="P26" s="66"/>
      <c r="Q26" s="66"/>
      <c r="R26" s="66"/>
    </row>
    <row r="27" spans="1:18">
      <c r="C27" s="503"/>
      <c r="E27" s="503"/>
      <c r="F27" s="66"/>
      <c r="G27" s="66"/>
      <c r="H27" s="66"/>
      <c r="I27" s="66"/>
      <c r="J27" s="66"/>
      <c r="L27" s="66"/>
      <c r="M27" s="278"/>
      <c r="N27" s="66"/>
      <c r="O27" s="66"/>
      <c r="P27" s="66"/>
      <c r="Q27" s="66"/>
      <c r="R27" s="66"/>
    </row>
    <row r="28" spans="1:18">
      <c r="C28" s="503"/>
      <c r="E28" s="503"/>
      <c r="F28" s="66"/>
      <c r="G28" s="66"/>
      <c r="H28" s="66"/>
      <c r="I28" s="66"/>
      <c r="J28" s="66"/>
      <c r="L28" s="66"/>
      <c r="M28" s="278"/>
      <c r="N28" s="66"/>
      <c r="O28" s="66"/>
      <c r="P28" s="66"/>
      <c r="Q28" s="66"/>
      <c r="R28" s="66"/>
    </row>
    <row r="29" spans="1:18"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ht="42.75" customHeight="1">
      <c r="A30" s="572" t="s">
        <v>261</v>
      </c>
      <c r="B30" s="572" t="s">
        <v>262</v>
      </c>
      <c r="C30" s="572" t="s">
        <v>263</v>
      </c>
      <c r="D30" s="572" t="s">
        <v>264</v>
      </c>
      <c r="E30" s="592" t="s">
        <v>265</v>
      </c>
      <c r="F30" s="592" t="s">
        <v>266</v>
      </c>
      <c r="G30" s="593" t="s">
        <v>267</v>
      </c>
      <c r="H30" s="593" t="s">
        <v>268</v>
      </c>
      <c r="I30" s="595" t="s">
        <v>269</v>
      </c>
      <c r="J30" s="595" t="s">
        <v>270</v>
      </c>
      <c r="K30" s="628" t="s">
        <v>271</v>
      </c>
      <c r="L30" s="628" t="s">
        <v>272</v>
      </c>
      <c r="M30" s="595" t="s">
        <v>273</v>
      </c>
      <c r="N30" s="66"/>
      <c r="O30" s="66"/>
      <c r="P30" s="66"/>
      <c r="Q30" s="66"/>
      <c r="R30" s="66"/>
    </row>
    <row r="31" spans="1:18">
      <c r="A31" s="569">
        <v>2010</v>
      </c>
      <c r="B31" s="575">
        <v>89770</v>
      </c>
      <c r="C31" s="571">
        <f>B31/D31</f>
        <v>3.6241421073879692</v>
      </c>
      <c r="D31" s="575">
        <v>24770</v>
      </c>
      <c r="E31" s="584">
        <f>0.5%*D31</f>
        <v>123.85000000000001</v>
      </c>
      <c r="F31" s="586">
        <f t="shared" ref="F31:F40" si="2">E31*$O$12</f>
        <v>52.664116250000006</v>
      </c>
      <c r="G31" s="588">
        <f>0.04%*D31</f>
        <v>9.9080000000000013</v>
      </c>
      <c r="H31" s="590">
        <f t="shared" ref="H31:H40" si="3">G31*$O$19</f>
        <v>3.2439287399999999</v>
      </c>
      <c r="I31" s="596">
        <f>0.1%*D31</f>
        <v>24.77</v>
      </c>
      <c r="J31" s="597">
        <f t="shared" ref="J31:J40" si="4">I31*$L$26</f>
        <v>3.7035757220000001</v>
      </c>
      <c r="K31" s="629">
        <f>16.7%*D31</f>
        <v>4136.5899999999992</v>
      </c>
      <c r="L31" s="629">
        <f t="shared" ref="L31:L40" si="5">K31*$G$62</f>
        <v>71.618691105378787</v>
      </c>
      <c r="M31" s="21">
        <f>F31+H31</f>
        <v>55.908044990000008</v>
      </c>
    </row>
    <row r="32" spans="1:18">
      <c r="A32" s="569">
        <v>2011</v>
      </c>
      <c r="B32" s="575">
        <v>87441</v>
      </c>
      <c r="C32" s="571">
        <v>3.7</v>
      </c>
      <c r="D32" s="575">
        <f>B32/C32</f>
        <v>23632.7027027027</v>
      </c>
      <c r="E32" s="585">
        <f t="shared" ref="E32:E40" si="6">0.5%*D32</f>
        <v>118.16351351351351</v>
      </c>
      <c r="F32" s="587">
        <f t="shared" si="2"/>
        <v>50.246080033783784</v>
      </c>
      <c r="G32" s="589">
        <f t="shared" ref="G32:G40" si="7">0.04%*D32</f>
        <v>9.4530810810810806</v>
      </c>
      <c r="H32" s="591">
        <f t="shared" si="3"/>
        <v>3.0949860113513505</v>
      </c>
      <c r="I32" s="598">
        <f t="shared" ref="I32:I40" si="8">0.1%*D32</f>
        <v>23.632702702702701</v>
      </c>
      <c r="J32" s="599">
        <f t="shared" si="4"/>
        <v>3.5335286223243241</v>
      </c>
      <c r="K32" s="630">
        <f t="shared" ref="K32:K40" si="9">16.7%*D32</f>
        <v>3946.6613513513503</v>
      </c>
      <c r="L32" s="630">
        <f t="shared" si="5"/>
        <v>68.330368786843579</v>
      </c>
      <c r="M32" s="21">
        <f t="shared" ref="M32:M40" si="10">F32+H32</f>
        <v>53.341066045135136</v>
      </c>
    </row>
    <row r="33" spans="1:14">
      <c r="A33" s="569">
        <v>2012</v>
      </c>
      <c r="B33" s="575">
        <v>88303</v>
      </c>
      <c r="C33" s="571">
        <v>3.7</v>
      </c>
      <c r="D33" s="575">
        <f t="shared" ref="D33:D40" si="11">B33/C33</f>
        <v>23865.675675675673</v>
      </c>
      <c r="E33" s="585">
        <f t="shared" si="6"/>
        <v>119.32837837837837</v>
      </c>
      <c r="F33" s="587">
        <f t="shared" si="2"/>
        <v>50.741409695945947</v>
      </c>
      <c r="G33" s="589">
        <f t="shared" si="7"/>
        <v>9.54627027027027</v>
      </c>
      <c r="H33" s="591">
        <f t="shared" si="3"/>
        <v>3.1254966178378374</v>
      </c>
      <c r="I33" s="598">
        <f t="shared" si="8"/>
        <v>23.865675675675675</v>
      </c>
      <c r="J33" s="599">
        <f t="shared" si="4"/>
        <v>3.5683624150810811</v>
      </c>
      <c r="K33" s="630">
        <f t="shared" si="9"/>
        <v>3985.567837837837</v>
      </c>
      <c r="L33" s="630">
        <f t="shared" si="5"/>
        <v>69.003974737075836</v>
      </c>
      <c r="M33" s="21">
        <f t="shared" si="10"/>
        <v>53.866906313783787</v>
      </c>
    </row>
    <row r="34" spans="1:14">
      <c r="A34" s="569">
        <v>2013</v>
      </c>
      <c r="B34" s="575">
        <v>89949</v>
      </c>
      <c r="C34" s="571">
        <v>3.7</v>
      </c>
      <c r="D34" s="575">
        <f t="shared" si="11"/>
        <v>24310.54054054054</v>
      </c>
      <c r="E34" s="585">
        <f t="shared" si="6"/>
        <v>121.5527027027027</v>
      </c>
      <c r="F34" s="587">
        <f t="shared" si="2"/>
        <v>51.687248006756761</v>
      </c>
      <c r="G34" s="589">
        <f t="shared" si="7"/>
        <v>9.7242162162162167</v>
      </c>
      <c r="H34" s="591">
        <f t="shared" si="3"/>
        <v>3.1837570102702699</v>
      </c>
      <c r="I34" s="598">
        <f t="shared" si="8"/>
        <v>24.31054054054054</v>
      </c>
      <c r="J34" s="599">
        <f t="shared" si="4"/>
        <v>3.6348779868648649</v>
      </c>
      <c r="K34" s="630">
        <f t="shared" si="9"/>
        <v>4059.8602702702697</v>
      </c>
      <c r="L34" s="630">
        <f t="shared" si="5"/>
        <v>70.290233894943938</v>
      </c>
      <c r="M34" s="21">
        <f t="shared" si="10"/>
        <v>54.871005017027031</v>
      </c>
    </row>
    <row r="35" spans="1:14">
      <c r="A35" s="569">
        <v>2014</v>
      </c>
      <c r="B35" s="574">
        <v>91359</v>
      </c>
      <c r="C35" s="571">
        <v>3.7</v>
      </c>
      <c r="D35" s="575">
        <f t="shared" si="11"/>
        <v>24691.62162162162</v>
      </c>
      <c r="E35" s="585">
        <f t="shared" si="6"/>
        <v>123.45810810810811</v>
      </c>
      <c r="F35" s="587">
        <f t="shared" si="2"/>
        <v>52.497474020270275</v>
      </c>
      <c r="G35" s="589">
        <f t="shared" si="7"/>
        <v>9.8766486486486489</v>
      </c>
      <c r="H35" s="591">
        <f t="shared" si="3"/>
        <v>3.2336641508108102</v>
      </c>
      <c r="I35" s="598">
        <f t="shared" si="8"/>
        <v>24.691621621621621</v>
      </c>
      <c r="J35" s="599">
        <f t="shared" si="4"/>
        <v>3.6918566965945945</v>
      </c>
      <c r="K35" s="630">
        <f t="shared" si="9"/>
        <v>4123.5008108108104</v>
      </c>
      <c r="L35" s="630">
        <f t="shared" si="5"/>
        <v>71.392071934186973</v>
      </c>
      <c r="M35" s="21">
        <f t="shared" si="10"/>
        <v>55.731138171081085</v>
      </c>
    </row>
    <row r="36" spans="1:14">
      <c r="A36" s="569">
        <v>2015</v>
      </c>
      <c r="B36" s="574">
        <v>93419</v>
      </c>
      <c r="C36" s="571">
        <f>B36/D36</f>
        <v>3.7714574081550261</v>
      </c>
      <c r="D36" s="573">
        <v>24770</v>
      </c>
      <c r="E36" s="585">
        <f t="shared" si="6"/>
        <v>123.85000000000001</v>
      </c>
      <c r="F36" s="587">
        <f t="shared" si="2"/>
        <v>52.664116250000006</v>
      </c>
      <c r="G36" s="589">
        <f t="shared" si="7"/>
        <v>9.9080000000000013</v>
      </c>
      <c r="H36" s="591">
        <f t="shared" si="3"/>
        <v>3.2439287399999999</v>
      </c>
      <c r="I36" s="598">
        <f t="shared" si="8"/>
        <v>24.77</v>
      </c>
      <c r="J36" s="599">
        <f t="shared" si="4"/>
        <v>3.7035757220000001</v>
      </c>
      <c r="K36" s="630">
        <f t="shared" si="9"/>
        <v>4136.5899999999992</v>
      </c>
      <c r="L36" s="630">
        <f t="shared" si="5"/>
        <v>71.618691105378787</v>
      </c>
      <c r="M36" s="21">
        <f t="shared" si="10"/>
        <v>55.908044990000008</v>
      </c>
    </row>
    <row r="37" spans="1:14">
      <c r="A37" s="569">
        <v>2016</v>
      </c>
      <c r="B37" s="574">
        <v>94597.8</v>
      </c>
      <c r="C37" s="576">
        <v>3.8</v>
      </c>
      <c r="D37" s="570">
        <f t="shared" si="11"/>
        <v>24894.157894736843</v>
      </c>
      <c r="E37" s="585">
        <f t="shared" si="6"/>
        <v>124.47078947368422</v>
      </c>
      <c r="F37" s="587">
        <f t="shared" si="2"/>
        <v>52.928091453947374</v>
      </c>
      <c r="G37" s="589">
        <f t="shared" si="7"/>
        <v>9.9576631578947374</v>
      </c>
      <c r="H37" s="591">
        <f t="shared" si="3"/>
        <v>3.2601887062105259</v>
      </c>
      <c r="I37" s="598">
        <f t="shared" si="8"/>
        <v>24.894157894736843</v>
      </c>
      <c r="J37" s="599">
        <f t="shared" si="4"/>
        <v>3.7221396366000001</v>
      </c>
      <c r="K37" s="630">
        <f t="shared" si="9"/>
        <v>4157.324368421052</v>
      </c>
      <c r="L37" s="630">
        <f t="shared" si="5"/>
        <v>71.977674791751511</v>
      </c>
      <c r="M37" s="21">
        <f t="shared" si="10"/>
        <v>56.188280160157902</v>
      </c>
    </row>
    <row r="38" spans="1:14">
      <c r="A38" s="569">
        <v>2017</v>
      </c>
      <c r="B38" s="574">
        <v>95800</v>
      </c>
      <c r="C38" s="576">
        <v>3.8</v>
      </c>
      <c r="D38" s="570">
        <f t="shared" si="11"/>
        <v>25210.526315789473</v>
      </c>
      <c r="E38" s="585">
        <f t="shared" si="6"/>
        <v>126.05263157894737</v>
      </c>
      <c r="F38" s="587">
        <f t="shared" si="2"/>
        <v>53.600730263157899</v>
      </c>
      <c r="G38" s="589">
        <f t="shared" si="7"/>
        <v>10.08421052631579</v>
      </c>
      <c r="H38" s="591">
        <f t="shared" si="3"/>
        <v>3.3016209473684204</v>
      </c>
      <c r="I38" s="598">
        <f t="shared" si="8"/>
        <v>25.210526315789473</v>
      </c>
      <c r="J38" s="599">
        <f t="shared" si="4"/>
        <v>3.7694426000000001</v>
      </c>
      <c r="K38" s="630">
        <f t="shared" si="9"/>
        <v>4210.1578947368416</v>
      </c>
      <c r="L38" s="630">
        <f t="shared" si="5"/>
        <v>72.892406007854248</v>
      </c>
      <c r="M38" s="21">
        <f t="shared" si="10"/>
        <v>56.902351210526319</v>
      </c>
    </row>
    <row r="39" spans="1:14">
      <c r="A39" s="569">
        <v>2018</v>
      </c>
      <c r="B39" s="574">
        <v>96800</v>
      </c>
      <c r="C39" s="576">
        <v>3.8</v>
      </c>
      <c r="D39" s="570">
        <f t="shared" si="11"/>
        <v>25473.684210526317</v>
      </c>
      <c r="E39" s="585">
        <f t="shared" si="6"/>
        <v>127.36842105263159</v>
      </c>
      <c r="F39" s="587">
        <f t="shared" si="2"/>
        <v>54.16023684210527</v>
      </c>
      <c r="G39" s="589">
        <f t="shared" si="7"/>
        <v>10.189473684210528</v>
      </c>
      <c r="H39" s="591">
        <f t="shared" si="3"/>
        <v>3.3360846315789474</v>
      </c>
      <c r="I39" s="598">
        <f t="shared" si="8"/>
        <v>25.473684210526319</v>
      </c>
      <c r="J39" s="599">
        <f t="shared" si="4"/>
        <v>3.8087896000000003</v>
      </c>
      <c r="K39" s="630">
        <f t="shared" si="9"/>
        <v>4254.1052631578941</v>
      </c>
      <c r="L39" s="630">
        <f t="shared" si="5"/>
        <v>73.653287072654393</v>
      </c>
      <c r="M39" s="21">
        <f t="shared" si="10"/>
        <v>57.496321473684219</v>
      </c>
    </row>
    <row r="40" spans="1:14">
      <c r="A40" s="569">
        <v>2019</v>
      </c>
      <c r="B40" s="574">
        <v>97739</v>
      </c>
      <c r="C40" s="576">
        <v>3.8</v>
      </c>
      <c r="D40" s="570">
        <f t="shared" si="11"/>
        <v>25720.78947368421</v>
      </c>
      <c r="E40" s="585">
        <f t="shared" si="6"/>
        <v>128.60394736842105</v>
      </c>
      <c r="F40" s="587">
        <f t="shared" si="2"/>
        <v>54.68561351973684</v>
      </c>
      <c r="G40" s="589">
        <f t="shared" si="7"/>
        <v>10.288315789473684</v>
      </c>
      <c r="H40" s="591">
        <f t="shared" si="3"/>
        <v>3.3684460310526307</v>
      </c>
      <c r="I40" s="598">
        <f t="shared" si="8"/>
        <v>25.72078947368421</v>
      </c>
      <c r="J40" s="599">
        <f t="shared" si="4"/>
        <v>3.8457364329999999</v>
      </c>
      <c r="K40" s="630">
        <f t="shared" si="9"/>
        <v>4295.3718421052627</v>
      </c>
      <c r="L40" s="630">
        <f t="shared" si="5"/>
        <v>74.367754392501737</v>
      </c>
      <c r="M40" s="21">
        <f t="shared" si="10"/>
        <v>58.054059550789468</v>
      </c>
    </row>
    <row r="41" spans="1:14">
      <c r="A41" s="569">
        <v>2020</v>
      </c>
      <c r="B41" s="574">
        <v>99276.986666666693</v>
      </c>
    </row>
    <row r="42" spans="1:14">
      <c r="A42" s="569">
        <v>2021</v>
      </c>
      <c r="B42" s="574">
        <v>100512.563809524</v>
      </c>
    </row>
    <row r="43" spans="1:14">
      <c r="A43" s="569">
        <v>2022</v>
      </c>
      <c r="B43" s="574">
        <v>101748.140952381</v>
      </c>
      <c r="N43" s="66" t="s">
        <v>274</v>
      </c>
    </row>
    <row r="44" spans="1:14">
      <c r="A44" s="569">
        <v>2023</v>
      </c>
      <c r="B44" s="574">
        <v>102983.718095238</v>
      </c>
      <c r="N44" s="66" t="s">
        <v>275</v>
      </c>
    </row>
    <row r="45" spans="1:14" ht="18.75">
      <c r="F45" s="623" t="s">
        <v>276</v>
      </c>
    </row>
    <row r="47" spans="1:14">
      <c r="A47" s="66" t="s">
        <v>277</v>
      </c>
      <c r="L47" s="1">
        <f>1664/9953</f>
        <v>0.16718577313372851</v>
      </c>
    </row>
    <row r="48" spans="1:14">
      <c r="A48" s="66" t="s">
        <v>278</v>
      </c>
      <c r="L48" s="69">
        <f>24770*L47</f>
        <v>4141.1916005224548</v>
      </c>
    </row>
    <row r="49" spans="1:16">
      <c r="A49" s="66"/>
    </row>
    <row r="50" spans="1:16">
      <c r="A50" s="66" t="s">
        <v>279</v>
      </c>
      <c r="B50" s="66" t="s">
        <v>280</v>
      </c>
      <c r="G50" s="66">
        <v>2</v>
      </c>
      <c r="H50" s="66" t="s">
        <v>281</v>
      </c>
      <c r="O50" s="1"/>
      <c r="P50" s="11"/>
    </row>
    <row r="51" spans="1:16">
      <c r="B51" s="66" t="s">
        <v>282</v>
      </c>
      <c r="G51" s="66">
        <v>200</v>
      </c>
      <c r="H51" s="66" t="s">
        <v>283</v>
      </c>
    </row>
    <row r="52" spans="1:16">
      <c r="B52" s="66" t="s">
        <v>284</v>
      </c>
      <c r="G52" s="66">
        <v>43</v>
      </c>
      <c r="H52" s="66" t="s">
        <v>285</v>
      </c>
      <c r="I52" s="66" t="s">
        <v>286</v>
      </c>
    </row>
    <row r="53" spans="1:16">
      <c r="B53" s="66" t="s">
        <v>287</v>
      </c>
      <c r="G53" s="66">
        <v>30</v>
      </c>
      <c r="H53" s="66" t="s">
        <v>285</v>
      </c>
    </row>
    <row r="54" spans="1:16">
      <c r="J54" s="627" t="s">
        <v>288</v>
      </c>
      <c r="K54" s="66" t="s">
        <v>289</v>
      </c>
      <c r="L54" s="66" t="s">
        <v>290</v>
      </c>
    </row>
    <row r="55" spans="1:16">
      <c r="A55" s="66" t="s">
        <v>291</v>
      </c>
      <c r="G55" s="136">
        <f>G51*4.182*(G52-G53)</f>
        <v>10873.2</v>
      </c>
      <c r="H55" s="66" t="s">
        <v>292</v>
      </c>
      <c r="J55" s="66" t="s">
        <v>293</v>
      </c>
      <c r="K55" s="66"/>
      <c r="L55" s="66"/>
    </row>
    <row r="56" spans="1:16">
      <c r="A56" s="66" t="s">
        <v>294</v>
      </c>
      <c r="G56" s="624">
        <f>G55*365/1000000</f>
        <v>3.9687180000000004</v>
      </c>
      <c r="H56" s="66" t="s">
        <v>295</v>
      </c>
    </row>
    <row r="57" spans="1:16">
      <c r="A57" s="66" t="s">
        <v>296</v>
      </c>
      <c r="B57" s="66"/>
      <c r="G57" s="625">
        <f>G56/K57</f>
        <v>9.479120091716825E-2</v>
      </c>
      <c r="H57" s="626" t="s">
        <v>297</v>
      </c>
      <c r="J57" s="70" t="s">
        <v>298</v>
      </c>
      <c r="K57" s="71">
        <v>41.868000000000002</v>
      </c>
      <c r="L57" s="72" t="s">
        <v>299</v>
      </c>
    </row>
    <row r="59" spans="1:16">
      <c r="A59" s="66" t="s">
        <v>300</v>
      </c>
    </row>
    <row r="60" spans="1:16">
      <c r="A60" s="66" t="s">
        <v>301</v>
      </c>
      <c r="G60" s="136">
        <v>1600</v>
      </c>
      <c r="H60" s="66" t="s">
        <v>302</v>
      </c>
      <c r="I60" s="66"/>
    </row>
    <row r="61" spans="1:16">
      <c r="A61" s="66" t="s">
        <v>303</v>
      </c>
      <c r="G61" s="137">
        <f>G60/8760</f>
        <v>0.18264840182648401</v>
      </c>
      <c r="H61" s="66"/>
    </row>
    <row r="62" spans="1:16">
      <c r="A62" s="66" t="s">
        <v>304</v>
      </c>
      <c r="G62" s="625">
        <f>G57*G61</f>
        <v>1.7313461354733925E-2</v>
      </c>
      <c r="H62" s="626" t="s">
        <v>297</v>
      </c>
    </row>
    <row r="69" spans="3:13">
      <c r="D69" s="3"/>
      <c r="E69" s="3"/>
      <c r="F69" s="3"/>
    </row>
    <row r="70" spans="3:13">
      <c r="C70" s="18"/>
      <c r="D70" s="3"/>
      <c r="E70" s="3"/>
      <c r="F70" s="10"/>
      <c r="G70" s="10"/>
      <c r="H70" s="10"/>
      <c r="I70" s="10"/>
      <c r="J70" s="10"/>
    </row>
    <row r="71" spans="3:13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3:13">
      <c r="G72" s="11"/>
      <c r="H72" s="10"/>
      <c r="I72" s="10"/>
      <c r="K72" s="19"/>
      <c r="L72" s="10"/>
      <c r="M72" s="9"/>
    </row>
    <row r="73" spans="3:13">
      <c r="G73" s="11"/>
      <c r="H73" s="10"/>
      <c r="I73" s="10"/>
      <c r="K73" s="19"/>
      <c r="L73" s="10"/>
      <c r="M73" s="9"/>
    </row>
    <row r="74" spans="3:13">
      <c r="G74" s="11"/>
      <c r="H74" s="10"/>
      <c r="I74" s="10"/>
      <c r="K74" s="19"/>
      <c r="L74" s="10"/>
      <c r="M74" s="9"/>
    </row>
    <row r="75" spans="3:13">
      <c r="G75" s="11"/>
      <c r="H75" s="10"/>
      <c r="I75" s="10"/>
      <c r="K75" s="19"/>
      <c r="L75" s="10"/>
      <c r="M75" s="9"/>
    </row>
    <row r="76" spans="3:13">
      <c r="I76" s="10"/>
      <c r="M76" s="17"/>
    </row>
  </sheetData>
  <mergeCells count="2">
    <mergeCell ref="B9:C9"/>
    <mergeCell ref="D9:E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14"/>
  <sheetViews>
    <sheetView topLeftCell="A16" zoomScaleNormal="100" workbookViewId="0">
      <selection activeCell="L39" sqref="L39"/>
    </sheetView>
  </sheetViews>
  <sheetFormatPr defaultRowHeight="15"/>
  <cols>
    <col min="1" max="1" width="21.28515625" customWidth="1"/>
    <col min="2" max="2" width="9.85546875" customWidth="1"/>
    <col min="3" max="3" width="11.85546875" customWidth="1"/>
    <col min="4" max="4" width="11.140625" customWidth="1"/>
    <col min="5" max="5" width="9.7109375" customWidth="1"/>
    <col min="6" max="6" width="12.7109375" customWidth="1"/>
    <col min="7" max="7" width="7.140625" customWidth="1"/>
    <col min="8" max="8" width="9.140625" customWidth="1"/>
    <col min="9" max="9" width="10.85546875" customWidth="1"/>
    <col min="10" max="10" width="7.85546875" customWidth="1"/>
    <col min="11" max="11" width="9.7109375" customWidth="1"/>
    <col min="12" max="12" width="13.5703125" customWidth="1"/>
    <col min="13" max="13" width="7.28515625" customWidth="1"/>
    <col min="14" max="14" width="9.7109375" customWidth="1"/>
    <col min="15" max="15" width="12" customWidth="1"/>
    <col min="16" max="16" width="11" customWidth="1"/>
    <col min="17" max="17" width="9" customWidth="1"/>
    <col min="18" max="18" width="12.42578125" customWidth="1"/>
    <col min="19" max="19" width="11.42578125" customWidth="1"/>
    <col min="20" max="20" width="20" bestFit="1" customWidth="1"/>
    <col min="21" max="21" width="11.28515625" customWidth="1"/>
    <col min="22" max="22" width="10" bestFit="1" customWidth="1"/>
  </cols>
  <sheetData>
    <row r="1" spans="1:28" ht="18">
      <c r="C1" s="678"/>
      <c r="D1" s="808"/>
      <c r="F1" s="900" t="s">
        <v>305</v>
      </c>
      <c r="G1" s="900"/>
      <c r="H1" s="900" t="s">
        <v>306</v>
      </c>
      <c r="I1" s="900"/>
      <c r="J1" s="900"/>
      <c r="K1" s="900"/>
      <c r="L1" s="900"/>
      <c r="O1" s="685"/>
      <c r="P1" s="680">
        <v>2560956</v>
      </c>
    </row>
    <row r="2" spans="1:28" ht="15.75">
      <c r="A2" s="57" t="s">
        <v>307</v>
      </c>
      <c r="D2" s="671"/>
      <c r="E2" s="667">
        <f>E6+E10+E14+E15</f>
        <v>10860.759013950001</v>
      </c>
      <c r="F2" s="667"/>
      <c r="I2" s="668"/>
      <c r="L2" s="680"/>
      <c r="O2" s="683"/>
      <c r="P2" s="678">
        <v>9474737</v>
      </c>
    </row>
    <row r="3" spans="1:28">
      <c r="A3" s="65" t="s">
        <v>308</v>
      </c>
      <c r="E3" s="667">
        <f>E7+E11</f>
        <v>78852.36575135999</v>
      </c>
      <c r="F3" s="11"/>
      <c r="T3" s="302" t="s">
        <v>309</v>
      </c>
      <c r="U3" s="302" t="s">
        <v>310</v>
      </c>
    </row>
    <row r="4" spans="1:28" s="66" customFormat="1" ht="12.75">
      <c r="A4" s="76" t="s">
        <v>311</v>
      </c>
      <c r="B4" s="76" t="s">
        <v>309</v>
      </c>
      <c r="C4" s="901" t="s">
        <v>312</v>
      </c>
      <c r="D4" s="902"/>
      <c r="E4" s="903"/>
      <c r="F4" s="898" t="s">
        <v>313</v>
      </c>
      <c r="G4" s="899"/>
      <c r="H4" s="907"/>
      <c r="I4" s="909" t="s">
        <v>314</v>
      </c>
      <c r="J4" s="909"/>
      <c r="K4" s="909"/>
      <c r="L4" s="918" t="s">
        <v>315</v>
      </c>
      <c r="M4" s="919"/>
      <c r="N4" s="920"/>
      <c r="O4" s="923" t="s">
        <v>316</v>
      </c>
      <c r="P4" s="924"/>
      <c r="Q4" s="925"/>
      <c r="S4" s="301"/>
      <c r="T4" s="302" t="s">
        <v>317</v>
      </c>
      <c r="U4" s="302" t="s">
        <v>318</v>
      </c>
      <c r="V4" s="302" t="s">
        <v>319</v>
      </c>
    </row>
    <row r="5" spans="1:28" s="66" customFormat="1" ht="12.75">
      <c r="A5" s="270"/>
      <c r="B5" s="305"/>
      <c r="C5" s="390" t="s">
        <v>320</v>
      </c>
      <c r="D5" s="391" t="s">
        <v>101</v>
      </c>
      <c r="E5" s="392" t="s">
        <v>25</v>
      </c>
      <c r="F5" s="423" t="s">
        <v>321</v>
      </c>
      <c r="G5" s="424" t="s">
        <v>322</v>
      </c>
      <c r="H5" s="425" t="s">
        <v>25</v>
      </c>
      <c r="I5" s="452" t="s">
        <v>323</v>
      </c>
      <c r="J5" s="452" t="s">
        <v>324</v>
      </c>
      <c r="K5" s="452" t="s">
        <v>325</v>
      </c>
      <c r="L5" s="475" t="s">
        <v>321</v>
      </c>
      <c r="M5" s="476" t="s">
        <v>322</v>
      </c>
      <c r="N5" s="477" t="s">
        <v>25</v>
      </c>
      <c r="O5" s="504" t="s">
        <v>321</v>
      </c>
      <c r="P5" s="505" t="s">
        <v>322</v>
      </c>
      <c r="Q5" s="506" t="s">
        <v>25</v>
      </c>
      <c r="S5" s="296"/>
      <c r="T5" s="303" t="s">
        <v>326</v>
      </c>
      <c r="U5" s="303" t="s">
        <v>327</v>
      </c>
      <c r="V5" s="303" t="s">
        <v>328</v>
      </c>
      <c r="X5" s="525" t="s">
        <v>329</v>
      </c>
      <c r="Y5" s="526"/>
      <c r="AA5" s="525" t="s">
        <v>329</v>
      </c>
      <c r="AB5" s="526"/>
    </row>
    <row r="6" spans="1:28" s="66" customFormat="1" ht="15" customHeight="1">
      <c r="A6" s="272" t="s">
        <v>330</v>
      </c>
      <c r="B6" s="271" t="s">
        <v>331</v>
      </c>
      <c r="C6" s="679">
        <v>83820</v>
      </c>
      <c r="D6" s="393">
        <f>C6*$Y$6/1000</f>
        <v>70.660259999999994</v>
      </c>
      <c r="E6" s="394">
        <f>D6*$U$6</f>
        <v>73.133369099999982</v>
      </c>
      <c r="F6" s="679">
        <v>255563</v>
      </c>
      <c r="G6" s="426">
        <f>F6/1000000</f>
        <v>0.25556299999999998</v>
      </c>
      <c r="H6" s="427">
        <f>G6*$U$8</f>
        <v>21.978417999999998</v>
      </c>
      <c r="I6" s="453">
        <f>C6/F6</f>
        <v>0.32798175009684499</v>
      </c>
      <c r="J6" s="454">
        <f>F6/C6</f>
        <v>3.0489501312335956</v>
      </c>
      <c r="K6" s="455">
        <f>H6/E6</f>
        <v>0.30052516751891312</v>
      </c>
      <c r="L6" s="926">
        <v>2382370</v>
      </c>
      <c r="M6" s="928">
        <f>L6/1000000</f>
        <v>2.3823699999999999</v>
      </c>
      <c r="N6" s="482"/>
      <c r="O6" s="507"/>
      <c r="P6" s="508"/>
      <c r="Q6" s="509"/>
      <c r="S6" s="303" t="s">
        <v>331</v>
      </c>
      <c r="T6" s="282">
        <v>0.83809999999999996</v>
      </c>
      <c r="U6" s="695">
        <v>1.0349999999999999</v>
      </c>
      <c r="V6" s="282"/>
      <c r="X6" s="527" t="s">
        <v>331</v>
      </c>
      <c r="Y6" s="528">
        <v>0.84299999999999997</v>
      </c>
      <c r="AA6" s="527" t="s">
        <v>331</v>
      </c>
      <c r="AB6" s="529">
        <v>0.82979999999999998</v>
      </c>
    </row>
    <row r="7" spans="1:28" s="66" customFormat="1" ht="12.75">
      <c r="B7" s="273" t="s">
        <v>332</v>
      </c>
      <c r="C7" s="681">
        <v>6839620</v>
      </c>
      <c r="D7" s="395">
        <f>C7*$Y$7/1000</f>
        <v>6449.7616599999992</v>
      </c>
      <c r="E7" s="396">
        <f>D7*$U$7</f>
        <v>6191.7711935999987</v>
      </c>
      <c r="F7" s="681">
        <v>28137247</v>
      </c>
      <c r="G7" s="428">
        <f t="shared" ref="G7:G14" si="0">F7/1000000</f>
        <v>28.137246999999999</v>
      </c>
      <c r="H7" s="429">
        <f>G7*$U$8</f>
        <v>2419.803242</v>
      </c>
      <c r="I7" s="473">
        <f>C7/F7</f>
        <v>0.24308063969442356</v>
      </c>
      <c r="J7" s="457">
        <f>F7/C7</f>
        <v>4.113861150180858</v>
      </c>
      <c r="K7" s="474">
        <f>H7/E7</f>
        <v>0.39080953839204868</v>
      </c>
      <c r="L7" s="927"/>
      <c r="M7" s="929"/>
      <c r="N7" s="479"/>
      <c r="O7" s="510"/>
      <c r="P7" s="511"/>
      <c r="Q7" s="512"/>
      <c r="S7" s="303" t="s">
        <v>332</v>
      </c>
      <c r="T7" s="282">
        <v>0.93600000000000005</v>
      </c>
      <c r="U7" s="695">
        <v>0.96</v>
      </c>
      <c r="V7" s="282"/>
      <c r="X7" s="527" t="s">
        <v>332</v>
      </c>
      <c r="Y7" s="528">
        <v>0.94299999999999995</v>
      </c>
      <c r="AA7" s="527" t="s">
        <v>332</v>
      </c>
      <c r="AB7" s="528">
        <v>0.93600000000000005</v>
      </c>
    </row>
    <row r="8" spans="1:28" s="66" customFormat="1">
      <c r="A8" s="270"/>
      <c r="B8" s="271" t="s">
        <v>155</v>
      </c>
      <c r="C8" s="397"/>
      <c r="D8" s="398"/>
      <c r="E8" s="399">
        <f>SUM(E6:E7)</f>
        <v>6264.9045626999987</v>
      </c>
      <c r="F8" s="430">
        <f>SUM(F6:F7)</f>
        <v>28392810</v>
      </c>
      <c r="G8" s="431">
        <f>SUM(G6:G7)</f>
        <v>28.392809999999997</v>
      </c>
      <c r="H8" s="432">
        <f>SUM(H6:H7)</f>
        <v>2441.7816600000001</v>
      </c>
      <c r="I8" s="237"/>
      <c r="J8" s="237"/>
      <c r="K8" s="455">
        <f>H8/E8</f>
        <v>0.38975560370670043</v>
      </c>
      <c r="L8" s="480">
        <f>L6</f>
        <v>2382370</v>
      </c>
      <c r="M8" s="481">
        <f>L8/1000000</f>
        <v>2.3823699999999999</v>
      </c>
      <c r="N8" s="482">
        <f>M8*86</f>
        <v>204.88381999999999</v>
      </c>
      <c r="O8" s="696">
        <f>F8-L8</f>
        <v>26010440</v>
      </c>
      <c r="P8" s="514">
        <f>O8/1000000</f>
        <v>26.010439999999999</v>
      </c>
      <c r="Q8" s="417">
        <f>P8*86</f>
        <v>2236.8978400000001</v>
      </c>
      <c r="S8" s="303" t="s">
        <v>333</v>
      </c>
      <c r="T8" s="282"/>
      <c r="U8" s="282">
        <v>86</v>
      </c>
      <c r="V8" s="304"/>
      <c r="X8" s="66" t="s">
        <v>334</v>
      </c>
      <c r="AA8" s="66" t="s">
        <v>335</v>
      </c>
      <c r="AB8"/>
    </row>
    <row r="9" spans="1:28" s="66" customFormat="1" ht="8.25" customHeight="1">
      <c r="A9" s="270"/>
      <c r="B9" s="271"/>
      <c r="C9" s="397"/>
      <c r="D9" s="398"/>
      <c r="E9" s="399"/>
      <c r="F9" s="430"/>
      <c r="G9" s="431"/>
      <c r="H9" s="432"/>
      <c r="I9" s="237"/>
      <c r="J9" s="237"/>
      <c r="K9" s="455"/>
      <c r="L9" s="480"/>
      <c r="M9" s="481"/>
      <c r="N9" s="482"/>
      <c r="O9" s="513"/>
      <c r="P9" s="514"/>
      <c r="Q9" s="417"/>
      <c r="S9" s="691"/>
      <c r="T9" s="296"/>
      <c r="U9" s="296"/>
      <c r="V9" s="304"/>
      <c r="AB9"/>
    </row>
    <row r="10" spans="1:28" s="66" customFormat="1" ht="15" customHeight="1">
      <c r="A10" s="272" t="s">
        <v>336</v>
      </c>
      <c r="B10" s="271" t="s">
        <v>331</v>
      </c>
      <c r="C10" s="679">
        <v>45780</v>
      </c>
      <c r="D10" s="400">
        <f>C10*$Y$6/1000</f>
        <v>38.59254</v>
      </c>
      <c r="E10" s="401">
        <f>D10*$U$6</f>
        <v>39.943278899999996</v>
      </c>
      <c r="F10" s="679">
        <v>186170</v>
      </c>
      <c r="G10" s="433">
        <f t="shared" si="0"/>
        <v>0.18617</v>
      </c>
      <c r="H10" s="434">
        <f>G10*$U$8</f>
        <v>16.010619999999999</v>
      </c>
      <c r="I10" s="453">
        <f>C10/F10</f>
        <v>0.24590428103346404</v>
      </c>
      <c r="J10" s="454">
        <f>F10/C10</f>
        <v>4.0666229794670166</v>
      </c>
      <c r="K10" s="455">
        <f t="shared" ref="K10:K15" si="1">H10/E10</f>
        <v>0.40083389348389226</v>
      </c>
      <c r="L10" s="926">
        <v>9474737</v>
      </c>
      <c r="M10" s="928">
        <f>L10/1000000</f>
        <v>9.4747369999999993</v>
      </c>
      <c r="N10" s="478"/>
      <c r="O10" s="507"/>
      <c r="P10" s="508"/>
      <c r="Q10" s="509"/>
      <c r="T10" s="66" t="s">
        <v>337</v>
      </c>
    </row>
    <row r="11" spans="1:28" s="66" customFormat="1" ht="12.75">
      <c r="B11" s="273" t="s">
        <v>332</v>
      </c>
      <c r="C11" s="682">
        <v>80263117</v>
      </c>
      <c r="D11" s="402">
        <f>C11*$Y$7/1000</f>
        <v>75688.119330999994</v>
      </c>
      <c r="E11" s="403">
        <f>D11*$U$7</f>
        <v>72660.594557759992</v>
      </c>
      <c r="F11" s="682">
        <v>350750606</v>
      </c>
      <c r="G11" s="435">
        <f t="shared" si="0"/>
        <v>350.750606</v>
      </c>
      <c r="H11" s="436">
        <f>G11*$U$8</f>
        <v>30164.552115999999</v>
      </c>
      <c r="I11" s="456">
        <f>C11/F11</f>
        <v>0.22883243999299036</v>
      </c>
      <c r="J11" s="457">
        <f>F11/C11</f>
        <v>4.3700097767197352</v>
      </c>
      <c r="K11" s="458">
        <f t="shared" si="1"/>
        <v>0.41514320519385967</v>
      </c>
      <c r="L11" s="927"/>
      <c r="M11" s="929"/>
      <c r="N11" s="479"/>
      <c r="O11" s="510"/>
      <c r="P11" s="511"/>
      <c r="Q11" s="512"/>
      <c r="V11" s="275"/>
    </row>
    <row r="12" spans="1:28" s="66" customFormat="1" ht="12.75">
      <c r="A12" s="271"/>
      <c r="B12" s="271" t="s">
        <v>155</v>
      </c>
      <c r="C12" s="397"/>
      <c r="D12" s="400"/>
      <c r="E12" s="404">
        <f>SUM(E10:E11)</f>
        <v>72700.537836659991</v>
      </c>
      <c r="F12" s="430">
        <f>SUM(F10:F11)</f>
        <v>350936776</v>
      </c>
      <c r="G12" s="437">
        <f>SUM(G10:G11)</f>
        <v>350.93677600000001</v>
      </c>
      <c r="H12" s="438">
        <f>SUM(H10:H11)</f>
        <v>30180.562736</v>
      </c>
      <c r="I12" s="453"/>
      <c r="J12" s="237"/>
      <c r="K12" s="455">
        <f t="shared" si="1"/>
        <v>0.41513534334241392</v>
      </c>
      <c r="L12" s="480">
        <f>L10</f>
        <v>9474737</v>
      </c>
      <c r="M12" s="483">
        <f>L12/1000000</f>
        <v>9.4747369999999993</v>
      </c>
      <c r="N12" s="484">
        <f>M12*86</f>
        <v>814.82738199999994</v>
      </c>
      <c r="O12" s="696">
        <f>F12-L12</f>
        <v>341462039</v>
      </c>
      <c r="P12" s="515">
        <f>O12/1000000</f>
        <v>341.462039</v>
      </c>
      <c r="Q12" s="418">
        <f>P12*86</f>
        <v>29365.735354</v>
      </c>
    </row>
    <row r="13" spans="1:28" s="66" customFormat="1" ht="8.25" customHeight="1">
      <c r="A13" s="271"/>
      <c r="B13" s="271"/>
      <c r="C13" s="692"/>
      <c r="D13" s="400"/>
      <c r="E13" s="404"/>
      <c r="F13" s="200"/>
      <c r="G13" s="437"/>
      <c r="H13" s="438"/>
      <c r="I13" s="453"/>
      <c r="J13" s="237"/>
      <c r="K13" s="455"/>
      <c r="L13" s="480"/>
      <c r="M13" s="483"/>
      <c r="N13" s="484"/>
      <c r="O13" s="513"/>
      <c r="P13" s="515"/>
      <c r="Q13" s="418"/>
    </row>
    <row r="14" spans="1:28" s="66" customFormat="1" ht="12.75">
      <c r="A14" s="272" t="s">
        <v>338</v>
      </c>
      <c r="B14" s="271" t="s">
        <v>331</v>
      </c>
      <c r="C14" s="684">
        <v>12286928</v>
      </c>
      <c r="D14" s="400">
        <f>C14*$Y$6/1000</f>
        <v>10357.880304</v>
      </c>
      <c r="E14" s="401">
        <f>D14*$U$6</f>
        <v>10720.40611464</v>
      </c>
      <c r="F14" s="684">
        <v>44679453</v>
      </c>
      <c r="G14" s="433">
        <f t="shared" si="0"/>
        <v>44.679453000000002</v>
      </c>
      <c r="H14" s="434">
        <f>G14*$U$8</f>
        <v>3842.4329580000003</v>
      </c>
      <c r="I14" s="453">
        <f>C14/F14</f>
        <v>0.2750017552811132</v>
      </c>
      <c r="J14" s="454">
        <f>F14/C14</f>
        <v>3.6363404261830135</v>
      </c>
      <c r="K14" s="455">
        <f t="shared" si="1"/>
        <v>0.35842233185109446</v>
      </c>
      <c r="L14" s="687">
        <v>960089</v>
      </c>
      <c r="M14" s="483">
        <f>L14/1000000</f>
        <v>0.96008899999999997</v>
      </c>
      <c r="N14" s="484">
        <f>M14*86</f>
        <v>82.567654000000005</v>
      </c>
      <c r="O14" s="696">
        <f>F14-L14</f>
        <v>43719364</v>
      </c>
      <c r="P14" s="515">
        <f>O14/1000000</f>
        <v>43.719363999999999</v>
      </c>
      <c r="Q14" s="418">
        <f>P14*86</f>
        <v>3759.8653039999999</v>
      </c>
      <c r="R14" s="66">
        <v>51915917</v>
      </c>
      <c r="S14" s="680">
        <v>2560956</v>
      </c>
    </row>
    <row r="15" spans="1:28" s="66" customFormat="1" ht="12.75">
      <c r="A15" s="669" t="s">
        <v>339</v>
      </c>
      <c r="B15" s="273" t="s">
        <v>331</v>
      </c>
      <c r="C15" s="694">
        <v>31262</v>
      </c>
      <c r="D15" s="402">
        <f>C15*$Y$6/1000</f>
        <v>26.353865999999996</v>
      </c>
      <c r="E15" s="403">
        <f>D15*$U$6</f>
        <v>27.276251309999996</v>
      </c>
      <c r="F15" s="686">
        <v>109904</v>
      </c>
      <c r="G15" s="435">
        <f>F15/1000000</f>
        <v>0.109904</v>
      </c>
      <c r="H15" s="436">
        <f>G15*$U$8</f>
        <v>9.4517439999999997</v>
      </c>
      <c r="I15" s="456">
        <f>C15/F15</f>
        <v>0.28444824574173827</v>
      </c>
      <c r="J15" s="457">
        <f>F15/C15</f>
        <v>3.5155780180410723</v>
      </c>
      <c r="K15" s="458">
        <f t="shared" si="1"/>
        <v>0.34651917129590348</v>
      </c>
      <c r="L15" s="690">
        <v>1000</v>
      </c>
      <c r="M15" s="483">
        <f>L15/1000000</f>
        <v>1E-3</v>
      </c>
      <c r="N15" s="484">
        <f>M15*86</f>
        <v>8.6000000000000007E-2</v>
      </c>
      <c r="O15" s="516">
        <f>F15-L15</f>
        <v>108904</v>
      </c>
      <c r="P15" s="517">
        <f>O15/1000000</f>
        <v>0.108904</v>
      </c>
      <c r="Q15" s="419">
        <f>P15*86</f>
        <v>9.3657439999999994</v>
      </c>
      <c r="S15" s="678">
        <v>9474737</v>
      </c>
    </row>
    <row r="16" spans="1:28" s="66" customFormat="1" ht="16.5" customHeight="1" thickBot="1">
      <c r="A16" s="669"/>
      <c r="B16" s="271" t="s">
        <v>155</v>
      </c>
      <c r="C16" s="684"/>
      <c r="D16" s="400"/>
      <c r="E16" s="401">
        <f>SUM(E14:E15)</f>
        <v>10747.682365950001</v>
      </c>
      <c r="F16" s="693">
        <f>SUM(F14:F15)</f>
        <v>44789357</v>
      </c>
      <c r="G16" s="433"/>
      <c r="H16" s="434"/>
      <c r="I16" s="453"/>
      <c r="J16" s="454"/>
      <c r="K16" s="455"/>
      <c r="L16" s="480">
        <f>SUM(L14:L15)</f>
        <v>961089</v>
      </c>
      <c r="M16" s="483"/>
      <c r="N16" s="484"/>
      <c r="O16" s="513">
        <f>SUM(O14:O15)</f>
        <v>43828268</v>
      </c>
      <c r="P16" s="515"/>
      <c r="Q16" s="418"/>
      <c r="S16" s="685">
        <f>SUM(S14:S15)</f>
        <v>12035693</v>
      </c>
    </row>
    <row r="17" spans="1:21" s="66" customFormat="1" ht="12.75">
      <c r="A17" s="306" t="s">
        <v>340</v>
      </c>
      <c r="B17" s="274"/>
      <c r="C17" s="405"/>
      <c r="D17" s="406"/>
      <c r="E17" s="697">
        <f>E8+E12+E16</f>
        <v>89713.12476531</v>
      </c>
      <c r="F17" s="697">
        <f>F8+F12+F16</f>
        <v>424118943</v>
      </c>
      <c r="G17" s="439">
        <f>G8+G12+G14+G15</f>
        <v>424.118943</v>
      </c>
      <c r="H17" s="440">
        <f>H8+H12+H14+H15</f>
        <v>36474.229097999996</v>
      </c>
      <c r="I17" s="459"/>
      <c r="J17" s="459"/>
      <c r="K17" s="460">
        <f>H17/E17</f>
        <v>0.40656513964279772</v>
      </c>
      <c r="L17" s="697">
        <f>L8+L12+L16</f>
        <v>12818196</v>
      </c>
      <c r="M17" s="485">
        <f>M8+M12+M14</f>
        <v>12.817195999999999</v>
      </c>
      <c r="N17" s="486">
        <f>N8+N12+N14</f>
        <v>1102.2788559999999</v>
      </c>
      <c r="O17" s="420">
        <f>O8+O12+O16</f>
        <v>411300747</v>
      </c>
      <c r="P17" s="421">
        <f>P8+P12+P14</f>
        <v>411.19184300000001</v>
      </c>
      <c r="Q17" s="422">
        <f>Q8+Q12+Q14</f>
        <v>35362.498498000001</v>
      </c>
    </row>
    <row r="18" spans="1:21">
      <c r="F18" s="10"/>
    </row>
    <row r="19" spans="1:21" s="66" customFormat="1">
      <c r="A19" s="65" t="s">
        <v>341</v>
      </c>
      <c r="C19" s="407" t="s">
        <v>342</v>
      </c>
      <c r="D19" s="408" t="s">
        <v>343</v>
      </c>
      <c r="E19" s="275"/>
      <c r="F19" s="898" t="s">
        <v>313</v>
      </c>
      <c r="G19" s="899"/>
      <c r="H19" s="907"/>
      <c r="I19" s="909" t="s">
        <v>314</v>
      </c>
      <c r="J19" s="909"/>
      <c r="K19" s="909"/>
      <c r="L19" s="918" t="s">
        <v>344</v>
      </c>
      <c r="M19" s="919"/>
      <c r="N19" s="920"/>
      <c r="O19" s="923" t="s">
        <v>316</v>
      </c>
      <c r="P19" s="924"/>
      <c r="Q19" s="925"/>
      <c r="S19" s="670"/>
    </row>
    <row r="20" spans="1:21" s="66" customFormat="1" ht="12.75">
      <c r="A20" s="385" t="s">
        <v>345</v>
      </c>
      <c r="C20" s="409" t="s">
        <v>346</v>
      </c>
      <c r="D20" s="410" t="s">
        <v>347</v>
      </c>
      <c r="E20" s="275"/>
      <c r="F20" s="423" t="s">
        <v>321</v>
      </c>
      <c r="G20" s="424" t="s">
        <v>322</v>
      </c>
      <c r="H20" s="425" t="s">
        <v>25</v>
      </c>
      <c r="I20" s="461" t="s">
        <v>348</v>
      </c>
      <c r="J20" s="462" t="s">
        <v>349</v>
      </c>
      <c r="K20" s="236"/>
      <c r="L20" s="487" t="s">
        <v>321</v>
      </c>
      <c r="M20" s="488" t="s">
        <v>322</v>
      </c>
      <c r="N20" s="489" t="s">
        <v>25</v>
      </c>
      <c r="O20" s="504" t="s">
        <v>321</v>
      </c>
      <c r="P20" s="505" t="s">
        <v>322</v>
      </c>
      <c r="Q20" s="506" t="s">
        <v>25</v>
      </c>
      <c r="S20" s="670"/>
    </row>
    <row r="21" spans="1:21" s="66" customFormat="1">
      <c r="A21" s="385" t="s">
        <v>350</v>
      </c>
      <c r="C21" s="411">
        <v>6000</v>
      </c>
      <c r="D21" s="412">
        <f>365*24</f>
        <v>8760</v>
      </c>
      <c r="E21" s="277"/>
      <c r="F21" s="686">
        <v>5078618</v>
      </c>
      <c r="G21" s="675">
        <f>F21/1000000</f>
        <v>5.0786179999999996</v>
      </c>
      <c r="H21" s="436">
        <f>G21*$U$8</f>
        <v>436.76114799999999</v>
      </c>
      <c r="I21" s="463">
        <f>F21/(C21*D21)</f>
        <v>9.6625152207001519E-2</v>
      </c>
      <c r="J21" s="464">
        <f>F21/C21</f>
        <v>846.43633333333332</v>
      </c>
      <c r="K21" s="240"/>
      <c r="L21" s="689">
        <v>140000</v>
      </c>
      <c r="M21" s="490">
        <f>L21/1000000</f>
        <v>0.14000000000000001</v>
      </c>
      <c r="N21" s="491">
        <f>M21*86</f>
        <v>12.040000000000001</v>
      </c>
      <c r="O21" s="698">
        <f>F21-L21</f>
        <v>4938618</v>
      </c>
      <c r="P21" s="517">
        <f>O21/1000000</f>
        <v>4.938618</v>
      </c>
      <c r="Q21" s="419">
        <f>P21*86</f>
        <v>424.72114799999997</v>
      </c>
      <c r="S21" s="670"/>
    </row>
    <row r="22" spans="1:21">
      <c r="F22" s="10"/>
      <c r="S22" s="670"/>
      <c r="T22" s="66"/>
      <c r="U22" s="66"/>
    </row>
    <row r="23" spans="1:21" s="66" customFormat="1">
      <c r="A23" s="65" t="s">
        <v>351</v>
      </c>
      <c r="C23" s="407" t="s">
        <v>342</v>
      </c>
      <c r="D23" s="408" t="s">
        <v>343</v>
      </c>
      <c r="E23" s="275"/>
      <c r="F23" s="898" t="s">
        <v>313</v>
      </c>
      <c r="G23" s="899"/>
      <c r="H23" s="907"/>
      <c r="I23" s="921" t="s">
        <v>314</v>
      </c>
      <c r="J23" s="921"/>
      <c r="K23" s="922"/>
      <c r="L23" s="918" t="s">
        <v>344</v>
      </c>
      <c r="M23" s="919"/>
      <c r="N23" s="920"/>
      <c r="O23" s="923" t="s">
        <v>316</v>
      </c>
      <c r="P23" s="924"/>
      <c r="Q23" s="925"/>
    </row>
    <row r="24" spans="1:21" s="66" customFormat="1" ht="12.75">
      <c r="A24" s="386" t="s">
        <v>352</v>
      </c>
      <c r="C24" s="390" t="s">
        <v>346</v>
      </c>
      <c r="D24" s="392" t="s">
        <v>347</v>
      </c>
      <c r="E24" s="275"/>
      <c r="F24" s="423" t="s">
        <v>321</v>
      </c>
      <c r="G24" s="424" t="s">
        <v>322</v>
      </c>
      <c r="H24" s="425" t="s">
        <v>25</v>
      </c>
      <c r="I24" s="462" t="s">
        <v>348</v>
      </c>
      <c r="J24" s="462" t="s">
        <v>349</v>
      </c>
      <c r="K24" s="235"/>
      <c r="L24" s="487" t="s">
        <v>321</v>
      </c>
      <c r="M24" s="488" t="s">
        <v>322</v>
      </c>
      <c r="N24" s="489" t="s">
        <v>25</v>
      </c>
      <c r="O24" s="505" t="s">
        <v>321</v>
      </c>
      <c r="P24" s="505" t="s">
        <v>322</v>
      </c>
      <c r="Q24" s="506" t="s">
        <v>25</v>
      </c>
    </row>
    <row r="25" spans="1:21" s="66" customFormat="1" ht="12.75">
      <c r="A25" s="385" t="s">
        <v>353</v>
      </c>
      <c r="C25" s="688">
        <v>6000</v>
      </c>
      <c r="D25" s="410">
        <f>365*24</f>
        <v>8760</v>
      </c>
      <c r="E25" s="384"/>
      <c r="F25" s="687">
        <v>6403205</v>
      </c>
      <c r="G25" s="426">
        <f>F25/1000000</f>
        <v>6.4032049999999998</v>
      </c>
      <c r="H25" s="434">
        <f>G25*$U$8</f>
        <v>550.67562999999996</v>
      </c>
      <c r="I25" s="465">
        <f>F25/(C25*D25)</f>
        <v>0.12182657914764079</v>
      </c>
      <c r="J25" s="466">
        <f>F25/C25</f>
        <v>1067.2008333333333</v>
      </c>
      <c r="K25" s="237"/>
      <c r="L25" s="688">
        <v>44000</v>
      </c>
      <c r="M25" s="781">
        <f>L25/1000000</f>
        <v>4.3999999999999997E-2</v>
      </c>
      <c r="N25" s="482">
        <f>M25*86</f>
        <v>3.7839999999999998</v>
      </c>
      <c r="O25" s="518">
        <f>F25-L25</f>
        <v>6359205</v>
      </c>
      <c r="P25" s="515">
        <f>O25/1000000</f>
        <v>6.3592050000000002</v>
      </c>
      <c r="Q25" s="418">
        <f>P25*86</f>
        <v>546.89162999999996</v>
      </c>
    </row>
    <row r="26" spans="1:21" s="66" customFormat="1" ht="12.75">
      <c r="A26" s="385" t="s">
        <v>354</v>
      </c>
      <c r="C26" s="688">
        <v>822</v>
      </c>
      <c r="D26" s="410">
        <f>365*24</f>
        <v>8760</v>
      </c>
      <c r="E26" s="384"/>
      <c r="F26" s="687">
        <v>790850</v>
      </c>
      <c r="G26" s="426">
        <f>F26/1000000</f>
        <v>0.79085000000000005</v>
      </c>
      <c r="H26" s="434">
        <f>G26*$U$8</f>
        <v>68.013100000000009</v>
      </c>
      <c r="I26" s="465">
        <f>F26/(C26*D26)</f>
        <v>0.10982929484829294</v>
      </c>
      <c r="J26" s="466">
        <f>F26/C26</f>
        <v>962.10462287104622</v>
      </c>
      <c r="K26" s="237"/>
      <c r="L26" s="475">
        <v>0</v>
      </c>
      <c r="M26" s="481">
        <f>L26/1000000</f>
        <v>0</v>
      </c>
      <c r="N26" s="482">
        <f>M26*86</f>
        <v>0</v>
      </c>
      <c r="O26" s="518">
        <f>F26-L26</f>
        <v>790850</v>
      </c>
      <c r="P26" s="515">
        <f>O26/1000000</f>
        <v>0.79085000000000005</v>
      </c>
      <c r="Q26" s="418">
        <f>P26*86</f>
        <v>68.013100000000009</v>
      </c>
    </row>
    <row r="27" spans="1:21" s="66" customFormat="1" ht="12.75">
      <c r="A27" s="385" t="s">
        <v>355</v>
      </c>
      <c r="C27" s="809">
        <v>191</v>
      </c>
      <c r="D27" s="412">
        <f>365*24</f>
        <v>8760</v>
      </c>
      <c r="E27" s="384"/>
      <c r="F27" s="699">
        <v>179851</v>
      </c>
      <c r="G27" s="428">
        <f>F27/1000000</f>
        <v>0.17985100000000001</v>
      </c>
      <c r="H27" s="436">
        <f>G27*$U$8</f>
        <v>15.467186000000002</v>
      </c>
      <c r="I27" s="465"/>
      <c r="J27" s="466"/>
      <c r="K27" s="237"/>
      <c r="L27" s="492">
        <v>0</v>
      </c>
      <c r="M27" s="490">
        <f>L27/1000000</f>
        <v>0</v>
      </c>
      <c r="N27" s="491">
        <f>M27*86</f>
        <v>0</v>
      </c>
      <c r="O27" s="518"/>
      <c r="P27" s="515"/>
      <c r="Q27" s="418"/>
    </row>
    <row r="28" spans="1:21" s="66" customFormat="1">
      <c r="A28" s="297" t="s">
        <v>155</v>
      </c>
      <c r="C28" s="664">
        <f>SUM(C25:C27)</f>
        <v>7013</v>
      </c>
      <c r="D28" s="412">
        <v>8760</v>
      </c>
      <c r="F28" s="445">
        <f>SUM(F25:F27)</f>
        <v>7373906</v>
      </c>
      <c r="G28" s="665">
        <f>SUM(G25:G26)</f>
        <v>7.1940549999999996</v>
      </c>
      <c r="H28" s="666">
        <f>SUM(H25:H26)</f>
        <v>618.68872999999996</v>
      </c>
      <c r="I28" s="467">
        <f>F28/(C28*D28)</f>
        <v>0.12002995741112234</v>
      </c>
      <c r="J28" s="468">
        <f>F28/C28</f>
        <v>1051.4624269214316</v>
      </c>
      <c r="K28" s="237"/>
      <c r="L28" s="382"/>
      <c r="M28" s="382"/>
      <c r="N28" s="382"/>
      <c r="O28" s="519">
        <f>SUM(O25:O26)</f>
        <v>7150055</v>
      </c>
      <c r="P28" s="520">
        <f>SUM(P25:P26)</f>
        <v>7.150055</v>
      </c>
      <c r="Q28" s="521">
        <f>SUM(Q25:Q26)</f>
        <v>614.90472999999997</v>
      </c>
    </row>
    <row r="29" spans="1:21" s="66" customFormat="1">
      <c r="A29" s="386" t="s">
        <v>356</v>
      </c>
      <c r="B29" s="66" t="s">
        <v>357</v>
      </c>
      <c r="C29"/>
      <c r="D29"/>
      <c r="F29"/>
      <c r="G29"/>
      <c r="H29"/>
      <c r="I29" s="452" t="s">
        <v>348</v>
      </c>
      <c r="J29" s="452" t="s">
        <v>349</v>
      </c>
      <c r="K29" s="469"/>
      <c r="L29" s="297" t="s">
        <v>358</v>
      </c>
      <c r="M29" s="66" t="s">
        <v>359</v>
      </c>
      <c r="O29" s="280"/>
      <c r="P29" s="280"/>
      <c r="Q29" s="280"/>
    </row>
    <row r="30" spans="1:21" s="66" customFormat="1" ht="12.75">
      <c r="A30" s="66" t="s">
        <v>360</v>
      </c>
      <c r="B30" s="66">
        <v>2010</v>
      </c>
      <c r="C30" s="660">
        <v>25.38</v>
      </c>
      <c r="D30" s="392">
        <v>8760</v>
      </c>
      <c r="F30" s="661">
        <v>38171</v>
      </c>
      <c r="G30" s="662">
        <f>F30/1000000</f>
        <v>3.8170999999999997E-2</v>
      </c>
      <c r="H30" s="663">
        <f>G30*$U$8</f>
        <v>3.2827059999999997</v>
      </c>
      <c r="I30" s="465">
        <f>F30/(C30*D30)</f>
        <v>0.17168715883862101</v>
      </c>
      <c r="J30" s="466">
        <f>F30/C30</f>
        <v>1503.97951142632</v>
      </c>
      <c r="K30" s="238"/>
      <c r="L30" s="297" t="s">
        <v>361</v>
      </c>
      <c r="M30" s="66" t="s">
        <v>362</v>
      </c>
      <c r="N30" s="278"/>
      <c r="O30" s="280"/>
      <c r="P30" s="280"/>
      <c r="Q30" s="280"/>
    </row>
    <row r="31" spans="1:21" s="66" customFormat="1">
      <c r="A31" s="66" t="s">
        <v>363</v>
      </c>
      <c r="C31" s="413"/>
      <c r="D31" s="414"/>
      <c r="F31" s="442"/>
      <c r="G31" s="443"/>
      <c r="H31" s="427"/>
      <c r="I31" s="237"/>
      <c r="J31" s="237"/>
      <c r="K31" s="238"/>
      <c r="L31" s="383"/>
      <c r="N31" s="382"/>
      <c r="O31" s="382"/>
    </row>
    <row r="32" spans="1:21" s="66" customFormat="1">
      <c r="A32" s="66" t="s">
        <v>364</v>
      </c>
      <c r="B32" s="66">
        <v>2019</v>
      </c>
      <c r="C32" s="397">
        <v>752</v>
      </c>
      <c r="D32" s="410">
        <v>8760</v>
      </c>
      <c r="F32" s="873"/>
      <c r="G32" s="443">
        <f>F32/1000000</f>
        <v>0</v>
      </c>
      <c r="H32" s="427">
        <f>G32*$U$8</f>
        <v>0</v>
      </c>
      <c r="I32" s="237"/>
      <c r="J32" s="466">
        <v>1400</v>
      </c>
      <c r="K32" s="238"/>
      <c r="L32" s="383"/>
      <c r="N32" s="382"/>
      <c r="O32" s="382"/>
      <c r="Q32" s="279"/>
    </row>
    <row r="33" spans="1:23" s="66" customFormat="1">
      <c r="A33" s="66" t="s">
        <v>365</v>
      </c>
      <c r="B33" s="66">
        <v>2021</v>
      </c>
      <c r="C33" s="397">
        <v>2500</v>
      </c>
      <c r="D33" s="410">
        <v>8760</v>
      </c>
      <c r="F33" s="873"/>
      <c r="G33" s="443">
        <f t="shared" ref="G33:G35" si="2">F33/1000000</f>
        <v>0</v>
      </c>
      <c r="H33" s="427">
        <f t="shared" ref="H33:H35" si="3">G33*$U$8</f>
        <v>0</v>
      </c>
      <c r="I33" s="237"/>
      <c r="J33" s="466">
        <v>1400</v>
      </c>
      <c r="K33" s="238"/>
      <c r="L33" s="383"/>
      <c r="N33" s="382"/>
      <c r="O33" s="382"/>
      <c r="Q33" s="279"/>
    </row>
    <row r="34" spans="1:23" s="66" customFormat="1">
      <c r="A34" s="66" t="s">
        <v>366</v>
      </c>
      <c r="B34" s="66">
        <v>2021</v>
      </c>
      <c r="C34" s="397">
        <v>250</v>
      </c>
      <c r="D34" s="410">
        <v>8760</v>
      </c>
      <c r="F34" s="873"/>
      <c r="G34" s="443">
        <f t="shared" si="2"/>
        <v>0</v>
      </c>
      <c r="H34" s="427">
        <f t="shared" si="3"/>
        <v>0</v>
      </c>
      <c r="J34" s="466">
        <v>1400</v>
      </c>
      <c r="L34" s="383"/>
      <c r="N34" s="382"/>
      <c r="O34" s="382"/>
      <c r="Q34" s="279"/>
    </row>
    <row r="35" spans="1:23" s="66" customFormat="1">
      <c r="A35" s="66" t="s">
        <v>367</v>
      </c>
      <c r="B35" s="66">
        <v>2021</v>
      </c>
      <c r="C35" s="872">
        <v>150</v>
      </c>
      <c r="D35" s="412">
        <v>8760</v>
      </c>
      <c r="F35" s="441"/>
      <c r="G35" s="444">
        <f t="shared" si="2"/>
        <v>0</v>
      </c>
      <c r="H35" s="429">
        <f t="shared" si="3"/>
        <v>0</v>
      </c>
      <c r="I35" s="237"/>
      <c r="J35" s="466">
        <v>1400</v>
      </c>
      <c r="K35" s="238"/>
      <c r="L35" s="383"/>
      <c r="N35" s="382"/>
      <c r="O35" s="382"/>
      <c r="Q35" s="279"/>
    </row>
    <row r="36" spans="1:23" s="66" customFormat="1">
      <c r="A36" s="297" t="s">
        <v>46</v>
      </c>
      <c r="C36" s="415">
        <f>SUM(C30:C32)</f>
        <v>777.38</v>
      </c>
      <c r="D36" s="416">
        <v>8760</v>
      </c>
      <c r="F36" s="445">
        <f>SUM(F30:F32)</f>
        <v>38171</v>
      </c>
      <c r="G36" s="446">
        <f>SUM(G30:G32)</f>
        <v>3.8170999999999997E-2</v>
      </c>
      <c r="H36" s="447">
        <f>SUM(H30:H32)</f>
        <v>3.2827059999999997</v>
      </c>
      <c r="I36" s="239"/>
      <c r="J36" s="239"/>
      <c r="K36" s="240"/>
      <c r="L36" s="383"/>
      <c r="N36" s="382"/>
      <c r="O36" s="382"/>
      <c r="Q36" s="279"/>
    </row>
    <row r="37" spans="1:23">
      <c r="G37" s="21">
        <f>G28+G36</f>
        <v>7.2322259999999998</v>
      </c>
      <c r="L37" s="383"/>
      <c r="N37" s="382"/>
      <c r="O37" s="795"/>
      <c r="P37" s="796" t="s">
        <v>368</v>
      </c>
      <c r="Q37" s="795"/>
      <c r="R37" s="795"/>
      <c r="S37" s="795"/>
      <c r="T37" s="795"/>
      <c r="U37" s="795"/>
      <c r="V37" s="795"/>
      <c r="W37" s="795"/>
    </row>
    <row r="38" spans="1:23" ht="15.75">
      <c r="A38" s="269" t="s">
        <v>369</v>
      </c>
      <c r="E38" s="66"/>
      <c r="F38" s="66"/>
      <c r="G38" s="66"/>
      <c r="N38" s="382"/>
      <c r="O38" s="795"/>
      <c r="P38" s="795"/>
      <c r="Q38" s="795"/>
      <c r="R38" s="797"/>
      <c r="S38" s="795"/>
      <c r="T38" s="795"/>
      <c r="U38" s="795"/>
      <c r="V38" s="795"/>
      <c r="W38" s="795"/>
    </row>
    <row r="39" spans="1:23">
      <c r="E39" s="66"/>
      <c r="F39" s="66"/>
      <c r="G39" s="66"/>
      <c r="O39" s="795"/>
      <c r="P39" s="796" t="s">
        <v>370</v>
      </c>
      <c r="Q39" s="796" t="s">
        <v>371</v>
      </c>
      <c r="R39" s="796" t="s">
        <v>372</v>
      </c>
      <c r="S39" s="796" t="s">
        <v>373</v>
      </c>
      <c r="T39" s="796" t="s">
        <v>374</v>
      </c>
      <c r="U39" s="795"/>
      <c r="V39" s="795"/>
      <c r="W39" s="795"/>
    </row>
    <row r="40" spans="1:23" s="66" customFormat="1" ht="12.75">
      <c r="A40" s="281" t="s">
        <v>375</v>
      </c>
      <c r="B40" s="76" t="s">
        <v>322</v>
      </c>
      <c r="C40" s="281" t="s">
        <v>26</v>
      </c>
      <c r="O40" s="798" t="s">
        <v>6</v>
      </c>
      <c r="P40" s="799">
        <f>F21</f>
        <v>5078618</v>
      </c>
      <c r="Q40" s="800">
        <f>L21</f>
        <v>140000</v>
      </c>
      <c r="R40" s="801">
        <f>P40-Q40</f>
        <v>4938618</v>
      </c>
      <c r="S40" s="802">
        <f>D61</f>
        <v>5.2542527702972998E-2</v>
      </c>
      <c r="T40" s="801">
        <f>R40*(1-S40)</f>
        <v>4679130.5269205989</v>
      </c>
      <c r="U40" s="798" t="s">
        <v>321</v>
      </c>
      <c r="V40" s="798"/>
      <c r="W40" s="798"/>
    </row>
    <row r="41" spans="1:23" s="66" customFormat="1" ht="12.75">
      <c r="A41" s="282" t="s">
        <v>376</v>
      </c>
      <c r="B41" s="298">
        <f>(F7+F11)/1000000</f>
        <v>378.88785300000001</v>
      </c>
      <c r="C41" s="283">
        <f>$B41/$B$45</f>
        <v>0.86779544019135924</v>
      </c>
      <c r="O41" s="798"/>
      <c r="P41" s="798"/>
      <c r="Q41" s="798"/>
      <c r="R41" s="798"/>
      <c r="S41" s="798"/>
      <c r="T41" s="798"/>
      <c r="U41" s="798"/>
      <c r="V41" s="798"/>
      <c r="W41" s="798"/>
    </row>
    <row r="42" spans="1:23" s="66" customFormat="1" ht="12.75">
      <c r="A42" s="282" t="s">
        <v>377</v>
      </c>
      <c r="B42" s="298">
        <f>(F6+F10+F14+F15)/1000000</f>
        <v>45.231090000000002</v>
      </c>
      <c r="C42" s="283">
        <f>$B42/$B$45</f>
        <v>0.10359617851587601</v>
      </c>
      <c r="O42" s="798" t="s">
        <v>19</v>
      </c>
      <c r="P42" s="799">
        <f>F28</f>
        <v>7373906</v>
      </c>
      <c r="Q42" s="799">
        <f>L25</f>
        <v>44000</v>
      </c>
      <c r="R42" s="799">
        <f>P42-Q42</f>
        <v>7329906</v>
      </c>
      <c r="S42" s="802">
        <f>D61</f>
        <v>5.2542527702972998E-2</v>
      </c>
      <c r="T42" s="801">
        <f>R42*(1-S42)</f>
        <v>6944774.2109348122</v>
      </c>
      <c r="U42" s="798" t="s">
        <v>321</v>
      </c>
      <c r="V42" s="798"/>
      <c r="W42" s="798"/>
    </row>
    <row r="43" spans="1:23" s="66" customFormat="1" ht="12.75">
      <c r="A43" s="282" t="s">
        <v>42</v>
      </c>
      <c r="B43" s="298">
        <f>F21/1000000</f>
        <v>5.0786179999999996</v>
      </c>
      <c r="C43" s="283">
        <f>$B43/$B$45</f>
        <v>1.1631942032392787E-2</v>
      </c>
      <c r="O43" s="798"/>
      <c r="P43" s="798"/>
      <c r="Q43" s="798"/>
      <c r="R43" s="798"/>
      <c r="S43" s="798"/>
      <c r="T43" s="798"/>
      <c r="U43" s="798"/>
      <c r="V43" s="798"/>
      <c r="W43" s="798"/>
    </row>
    <row r="44" spans="1:23" s="66" customFormat="1" ht="12.75">
      <c r="A44" s="282" t="s">
        <v>19</v>
      </c>
      <c r="B44" s="298">
        <f>(F28+F36)/1000000</f>
        <v>7.412077</v>
      </c>
      <c r="C44" s="283">
        <f>$B44/$B$45</f>
        <v>1.6976439260371984E-2</v>
      </c>
      <c r="O44" s="803" t="s">
        <v>155</v>
      </c>
      <c r="P44" s="798"/>
      <c r="Q44" s="798"/>
      <c r="R44" s="798"/>
      <c r="S44" s="798"/>
      <c r="T44" s="804">
        <f>T40+T42</f>
        <v>11623904.737855412</v>
      </c>
      <c r="U44" s="798" t="s">
        <v>321</v>
      </c>
      <c r="V44" s="805">
        <f>T44/1000000*86</f>
        <v>999.65580745556542</v>
      </c>
      <c r="W44" s="798" t="s">
        <v>25</v>
      </c>
    </row>
    <row r="45" spans="1:23" s="66" customFormat="1" ht="12.75">
      <c r="A45" s="281" t="s">
        <v>46</v>
      </c>
      <c r="B45" s="785">
        <f>SUM(B41:B44)</f>
        <v>436.60963800000002</v>
      </c>
      <c r="C45" s="284">
        <f>$B45/$B$45</f>
        <v>1</v>
      </c>
      <c r="O45" s="798"/>
      <c r="P45" s="798"/>
      <c r="Q45" s="798"/>
      <c r="R45" s="798"/>
      <c r="S45" s="798"/>
      <c r="T45" s="798"/>
      <c r="U45" s="798"/>
      <c r="V45" s="798"/>
      <c r="W45" s="798"/>
    </row>
    <row r="46" spans="1:23" s="66" customFormat="1" ht="12.75">
      <c r="O46" s="798" t="s">
        <v>378</v>
      </c>
      <c r="P46" s="798"/>
      <c r="Q46" s="798"/>
      <c r="R46" s="798"/>
      <c r="S46" s="798"/>
      <c r="T46" s="799">
        <v>401657822</v>
      </c>
      <c r="U46" s="798" t="s">
        <v>321</v>
      </c>
      <c r="V46" s="801">
        <f>T46/1000000*86</f>
        <v>34542.572692000002</v>
      </c>
      <c r="W46" s="798" t="s">
        <v>25</v>
      </c>
    </row>
    <row r="47" spans="1:23" s="66" customFormat="1" ht="12.75">
      <c r="A47" s="66" t="s">
        <v>379</v>
      </c>
      <c r="H47" s="285"/>
      <c r="O47" s="798"/>
      <c r="P47" s="798"/>
      <c r="Q47" s="798"/>
      <c r="R47" s="798"/>
      <c r="S47" s="798"/>
      <c r="T47" s="798"/>
      <c r="U47" s="798"/>
      <c r="V47" s="798"/>
      <c r="W47" s="798"/>
    </row>
    <row r="48" spans="1:23" s="66" customFormat="1" ht="12.75">
      <c r="B48" s="286" t="s">
        <v>380</v>
      </c>
      <c r="C48" s="286" t="s">
        <v>381</v>
      </c>
      <c r="D48" s="66" t="s">
        <v>339</v>
      </c>
      <c r="E48" s="66" t="s">
        <v>382</v>
      </c>
      <c r="F48" s="286" t="s">
        <v>46</v>
      </c>
      <c r="G48" s="285"/>
      <c r="O48" s="798" t="s">
        <v>383</v>
      </c>
      <c r="P48" s="798"/>
      <c r="Q48" s="798"/>
      <c r="R48" s="798"/>
      <c r="S48" s="798"/>
      <c r="T48" s="807">
        <f>T44/T46</f>
        <v>2.8939819172388512E-2</v>
      </c>
      <c r="U48" s="798"/>
      <c r="V48" s="798"/>
      <c r="W48" s="798"/>
    </row>
    <row r="49" spans="1:23" s="66" customFormat="1" ht="12.75">
      <c r="A49" s="294" t="s">
        <v>384</v>
      </c>
      <c r="B49" s="299">
        <f>G8+G12</f>
        <v>379.32958600000001</v>
      </c>
      <c r="C49" s="300">
        <f>G14</f>
        <v>44.679453000000002</v>
      </c>
      <c r="D49" s="780">
        <f>G15</f>
        <v>0.109904</v>
      </c>
      <c r="E49" s="788"/>
      <c r="F49" s="300">
        <f>SUM(B49:D49)</f>
        <v>424.118943</v>
      </c>
      <c r="G49" s="285"/>
      <c r="O49" s="798"/>
      <c r="P49" s="798"/>
      <c r="Q49" s="798"/>
      <c r="R49" s="798"/>
      <c r="S49" s="798"/>
      <c r="T49" s="798"/>
      <c r="U49" s="798"/>
      <c r="V49" s="798"/>
      <c r="W49" s="798"/>
    </row>
    <row r="50" spans="1:23" s="66" customFormat="1" ht="12.75">
      <c r="A50" s="294" t="s">
        <v>385</v>
      </c>
      <c r="B50" s="287">
        <f>G21+G25</f>
        <v>11.481822999999999</v>
      </c>
      <c r="C50" s="300">
        <f>G26</f>
        <v>0.79085000000000005</v>
      </c>
      <c r="D50" s="289">
        <f>G27</f>
        <v>0.17985100000000001</v>
      </c>
      <c r="E50" s="787">
        <f>G36</f>
        <v>3.8170999999999997E-2</v>
      </c>
      <c r="F50" s="300">
        <f>SUM(B50:E50)</f>
        <v>12.490694999999999</v>
      </c>
      <c r="G50" s="285"/>
      <c r="O50" s="798" t="s">
        <v>77</v>
      </c>
      <c r="P50" s="798"/>
      <c r="Q50" s="798"/>
      <c r="R50" s="798"/>
      <c r="S50" s="798"/>
      <c r="T50" s="798"/>
      <c r="U50" s="798"/>
      <c r="V50" s="801">
        <f>'Energy Balance-2021'!O37</f>
        <v>96824.01376576531</v>
      </c>
      <c r="W50" s="798" t="s">
        <v>25</v>
      </c>
    </row>
    <row r="51" spans="1:23" s="66" customFormat="1" ht="12.75">
      <c r="A51" s="294" t="s">
        <v>155</v>
      </c>
      <c r="B51" s="299">
        <f>B49+B50</f>
        <v>390.81140900000003</v>
      </c>
      <c r="C51" s="299">
        <f>C49+C50</f>
        <v>45.470303000000001</v>
      </c>
      <c r="D51" s="299">
        <f>D49+D50</f>
        <v>0.28975499999999998</v>
      </c>
      <c r="E51" s="299">
        <f>E49+E50</f>
        <v>3.8170999999999997E-2</v>
      </c>
      <c r="F51" s="786">
        <f>F49+F50</f>
        <v>436.60963800000002</v>
      </c>
      <c r="O51" s="798"/>
      <c r="P51" s="798"/>
      <c r="Q51" s="798"/>
      <c r="R51" s="798"/>
      <c r="S51" s="798"/>
      <c r="T51" s="798"/>
      <c r="U51" s="798"/>
      <c r="V51" s="798"/>
      <c r="W51" s="798"/>
    </row>
    <row r="52" spans="1:23" s="66" customFormat="1" ht="12.75">
      <c r="A52" s="387" t="s">
        <v>386</v>
      </c>
      <c r="B52" s="287">
        <f>B50*0.2248</f>
        <v>2.5811138103999998</v>
      </c>
      <c r="C52" s="287">
        <f>C50*0.2248</f>
        <v>0.17778308000000001</v>
      </c>
      <c r="D52" s="287">
        <f>D50*0.2248</f>
        <v>4.0430504800000003E-2</v>
      </c>
      <c r="E52" s="287">
        <f>E50*0.2248</f>
        <v>8.5808407999999996E-3</v>
      </c>
      <c r="F52" s="300">
        <f>SUM(B52:E52)</f>
        <v>2.8079082360000003</v>
      </c>
      <c r="G52" s="81" t="s">
        <v>387</v>
      </c>
      <c r="O52" s="798" t="s">
        <v>388</v>
      </c>
      <c r="P52" s="798"/>
      <c r="Q52" s="798"/>
      <c r="R52" s="798"/>
      <c r="S52" s="798"/>
      <c r="T52" s="798"/>
      <c r="U52" s="798"/>
      <c r="V52" s="806">
        <f>V44/V50</f>
        <v>1.0324461552212786E-2</v>
      </c>
      <c r="W52" s="798"/>
    </row>
    <row r="53" spans="1:23" s="66" customFormat="1" ht="12.75">
      <c r="L53" s="136"/>
    </row>
    <row r="54" spans="1:23" s="66" customFormat="1" ht="12.75">
      <c r="L54" s="136"/>
      <c r="O54" s="66" t="s">
        <v>389</v>
      </c>
      <c r="T54" s="279">
        <v>401657822</v>
      </c>
      <c r="U54" s="66" t="s">
        <v>321</v>
      </c>
    </row>
    <row r="55" spans="1:23" s="66" customFormat="1" ht="12.75">
      <c r="A55" s="66" t="s">
        <v>390</v>
      </c>
      <c r="B55" s="290"/>
      <c r="C55" s="291"/>
      <c r="D55" s="291"/>
      <c r="E55" s="291"/>
      <c r="O55" s="66" t="s">
        <v>391</v>
      </c>
      <c r="T55" s="866">
        <f>J84*1000000</f>
        <v>65840208.99475003</v>
      </c>
      <c r="U55" s="66" t="s">
        <v>321</v>
      </c>
    </row>
    <row r="56" spans="1:23" s="66" customFormat="1" ht="12.75">
      <c r="B56" s="286" t="s">
        <v>380</v>
      </c>
      <c r="C56" s="286" t="s">
        <v>381</v>
      </c>
      <c r="D56" s="286" t="s">
        <v>46</v>
      </c>
      <c r="E56" s="278" t="s">
        <v>392</v>
      </c>
      <c r="R56" s="66" t="s">
        <v>393</v>
      </c>
      <c r="T56" s="280">
        <f>T54+T55</f>
        <v>467498030.99475002</v>
      </c>
      <c r="U56" s="66" t="s">
        <v>321</v>
      </c>
    </row>
    <row r="57" spans="1:23" s="66" customFormat="1" ht="12.75">
      <c r="A57" s="294" t="s">
        <v>394</v>
      </c>
      <c r="B57" s="287">
        <f>(M8+M12+M21+M25)</f>
        <v>12.041107</v>
      </c>
      <c r="C57" s="288">
        <f>M14+M26</f>
        <v>0.96008899999999997</v>
      </c>
      <c r="D57" s="288">
        <f>B57+C57</f>
        <v>13.001196</v>
      </c>
      <c r="E57" s="324">
        <f>D57*86</f>
        <v>1118.102856</v>
      </c>
      <c r="O57" s="66" t="s">
        <v>395</v>
      </c>
      <c r="T57" s="867">
        <f>T40/T56</f>
        <v>1.0008877506851243E-2</v>
      </c>
    </row>
    <row r="58" spans="1:23" s="66" customFormat="1" ht="12.75">
      <c r="A58" s="294" t="s">
        <v>396</v>
      </c>
      <c r="B58" s="287">
        <f>B51-B57</f>
        <v>378.77030200000002</v>
      </c>
      <c r="C58" s="288">
        <f>C51-C57</f>
        <v>44.510214000000005</v>
      </c>
      <c r="D58" s="288">
        <f>B58+C58</f>
        <v>423.28051600000003</v>
      </c>
      <c r="E58" s="324">
        <f>D58*86</f>
        <v>36402.124376</v>
      </c>
      <c r="O58" s="66" t="s">
        <v>397</v>
      </c>
      <c r="T58" s="867">
        <f>T42/T56</f>
        <v>1.4855194568750604E-2</v>
      </c>
    </row>
    <row r="59" spans="1:23" s="66" customFormat="1" ht="12.75">
      <c r="A59" s="295" t="s">
        <v>398</v>
      </c>
      <c r="B59" s="292">
        <v>354.28327200000001</v>
      </c>
      <c r="C59" s="292">
        <v>46.056669999999997</v>
      </c>
      <c r="D59" s="288">
        <f>B59+C59</f>
        <v>400.33994200000001</v>
      </c>
      <c r="E59" s="324">
        <f>D59*86</f>
        <v>34429.235011999997</v>
      </c>
      <c r="O59" s="66" t="s">
        <v>399</v>
      </c>
      <c r="T59" s="867">
        <f>1-T57-T58</f>
        <v>0.97513592792439818</v>
      </c>
    </row>
    <row r="60" spans="1:23" s="66" customFormat="1" ht="15" customHeight="1">
      <c r="A60" s="294" t="s">
        <v>400</v>
      </c>
      <c r="B60" s="289">
        <f>B58-B59</f>
        <v>24.487030000000004</v>
      </c>
      <c r="C60" s="289">
        <f>C58-C59</f>
        <v>-1.5464559999999921</v>
      </c>
      <c r="D60" s="288">
        <f>B60+C60</f>
        <v>22.940574000000012</v>
      </c>
      <c r="E60" s="324">
        <f>D60*86</f>
        <v>1972.889364000001</v>
      </c>
      <c r="I60" s="668">
        <f>C66+C67</f>
        <v>0</v>
      </c>
    </row>
    <row r="61" spans="1:23" ht="15" customHeight="1">
      <c r="A61" s="294" t="s">
        <v>401</v>
      </c>
      <c r="B61" s="293">
        <f>B60/B51</f>
        <v>6.2656896487891439E-2</v>
      </c>
      <c r="C61" s="293">
        <f>C60/C51</f>
        <v>-3.4010241805514076E-2</v>
      </c>
      <c r="D61" s="293">
        <f>D60/F51</f>
        <v>5.2542527702972998E-2</v>
      </c>
      <c r="E61" s="66"/>
      <c r="I61" s="668">
        <f>I60+C68</f>
        <v>93437</v>
      </c>
    </row>
    <row r="62" spans="1:23">
      <c r="I62" s="784">
        <f>D63-I60</f>
        <v>0</v>
      </c>
      <c r="S62" s="847" t="s">
        <v>402</v>
      </c>
      <c r="T62" s="848" t="s">
        <v>321</v>
      </c>
    </row>
    <row r="63" spans="1:23" ht="15.75">
      <c r="A63" s="74" t="s">
        <v>403</v>
      </c>
      <c r="D63" s="783"/>
      <c r="N63" s="538"/>
      <c r="O63" s="539" t="s">
        <v>321</v>
      </c>
      <c r="P63" s="540" t="s">
        <v>322</v>
      </c>
      <c r="S63" s="849" t="s">
        <v>404</v>
      </c>
      <c r="T63" s="850">
        <v>363267008</v>
      </c>
    </row>
    <row r="64" spans="1:23">
      <c r="F64" s="670"/>
      <c r="H64" s="916" t="s">
        <v>405</v>
      </c>
      <c r="I64" s="917"/>
      <c r="J64" s="531"/>
      <c r="K64" s="531"/>
      <c r="L64" s="549">
        <f>F65</f>
        <v>138745369</v>
      </c>
      <c r="N64" s="541" t="s">
        <v>405</v>
      </c>
      <c r="O64" s="701">
        <f>L64</f>
        <v>138745369</v>
      </c>
      <c r="P64" s="543">
        <f>O64/1000000</f>
        <v>138.74536900000001</v>
      </c>
      <c r="S64" s="851" t="s">
        <v>406</v>
      </c>
      <c r="T64" s="852">
        <v>38390814</v>
      </c>
    </row>
    <row r="65" spans="1:20">
      <c r="A65" s="530" t="s">
        <v>405</v>
      </c>
      <c r="B65" s="531"/>
      <c r="C65" s="704">
        <v>138745369</v>
      </c>
      <c r="E65" s="538" t="s">
        <v>405</v>
      </c>
      <c r="F65" s="705">
        <f>C65</f>
        <v>138745369</v>
      </c>
      <c r="H65" s="544"/>
      <c r="I65" s="533"/>
      <c r="J65" s="533"/>
      <c r="K65" s="533"/>
      <c r="L65" s="545"/>
      <c r="N65" s="544"/>
      <c r="O65" s="533"/>
      <c r="P65" s="545"/>
      <c r="S65" s="849"/>
      <c r="T65" s="853">
        <f>T63+T64</f>
        <v>401657822</v>
      </c>
    </row>
    <row r="66" spans="1:20">
      <c r="A66" s="532" t="s">
        <v>407</v>
      </c>
      <c r="B66" s="533"/>
      <c r="C66" s="677"/>
      <c r="E66" s="544"/>
      <c r="F66" s="670"/>
      <c r="H66" s="911" t="s">
        <v>408</v>
      </c>
      <c r="I66" s="912"/>
      <c r="J66" s="912"/>
      <c r="K66" s="913"/>
      <c r="L66" s="537">
        <f>0.27*F67</f>
        <v>56004170.850000001</v>
      </c>
      <c r="N66" s="541" t="s">
        <v>70</v>
      </c>
      <c r="O66" s="542">
        <f>L66</f>
        <v>56004170.850000001</v>
      </c>
      <c r="P66" s="543">
        <f>O66/1000000</f>
        <v>56.004170850000001</v>
      </c>
      <c r="T66" s="11"/>
    </row>
    <row r="67" spans="1:20">
      <c r="A67" s="532" t="s">
        <v>409</v>
      </c>
      <c r="B67" s="533"/>
      <c r="C67" s="677"/>
      <c r="E67" s="541" t="s">
        <v>410</v>
      </c>
      <c r="F67" s="706">
        <v>207422855</v>
      </c>
      <c r="H67" s="544"/>
      <c r="I67" s="533"/>
      <c r="J67" s="533"/>
      <c r="K67" s="533"/>
      <c r="L67" s="545"/>
      <c r="N67" s="544"/>
      <c r="O67" s="533"/>
      <c r="P67" s="545"/>
    </row>
    <row r="68" spans="1:20">
      <c r="A68" s="534" t="s">
        <v>411</v>
      </c>
      <c r="B68" s="535"/>
      <c r="C68" s="782">
        <v>93437</v>
      </c>
      <c r="E68" s="544"/>
      <c r="F68" s="545"/>
      <c r="H68" s="911" t="s">
        <v>412</v>
      </c>
      <c r="I68" s="912"/>
      <c r="J68" s="912"/>
      <c r="K68" s="913"/>
      <c r="L68" s="537">
        <f>F67-L66</f>
        <v>151418684.15000001</v>
      </c>
      <c r="N68" s="544"/>
      <c r="O68" s="533"/>
      <c r="P68" s="545"/>
    </row>
    <row r="69" spans="1:20">
      <c r="A69" s="532" t="s">
        <v>413</v>
      </c>
      <c r="B69" s="533"/>
      <c r="C69" s="677"/>
      <c r="E69" s="541" t="s">
        <v>159</v>
      </c>
      <c r="F69" s="545"/>
      <c r="H69" s="544"/>
      <c r="I69" s="533"/>
      <c r="J69" s="533"/>
      <c r="K69" s="533"/>
      <c r="L69" s="545"/>
      <c r="N69" s="541" t="s">
        <v>69</v>
      </c>
      <c r="O69" s="702">
        <f>L68+L70</f>
        <v>206908282.15000001</v>
      </c>
      <c r="P69" s="543">
        <f>O69/1000000</f>
        <v>206.90828215000002</v>
      </c>
    </row>
    <row r="70" spans="1:20">
      <c r="A70" s="532" t="s">
        <v>166</v>
      </c>
      <c r="B70" s="533"/>
      <c r="C70" s="677"/>
      <c r="E70" s="544"/>
      <c r="F70" s="707">
        <v>55489598</v>
      </c>
      <c r="H70" s="914" t="s">
        <v>159</v>
      </c>
      <c r="I70" s="915"/>
      <c r="J70" s="533"/>
      <c r="K70" s="533"/>
      <c r="L70" s="537">
        <f>F70</f>
        <v>55489598</v>
      </c>
      <c r="N70" s="544"/>
      <c r="O70" s="533"/>
      <c r="P70" s="545"/>
    </row>
    <row r="71" spans="1:20">
      <c r="A71" s="532" t="s">
        <v>414</v>
      </c>
      <c r="B71" s="533"/>
      <c r="C71" s="677">
        <v>1019437</v>
      </c>
      <c r="E71" s="544"/>
      <c r="F71" s="546"/>
      <c r="H71" s="544"/>
      <c r="I71" s="533"/>
      <c r="J71" s="533"/>
      <c r="K71" s="533"/>
      <c r="L71" s="550"/>
      <c r="N71" s="544"/>
      <c r="O71" s="535"/>
      <c r="P71" s="546"/>
      <c r="S71" s="9"/>
    </row>
    <row r="72" spans="1:20">
      <c r="A72" s="536" t="s">
        <v>46</v>
      </c>
      <c r="B72" s="535"/>
      <c r="C72" s="700"/>
      <c r="E72" s="547"/>
      <c r="F72" s="551">
        <f>F65+F67+F70</f>
        <v>401657822</v>
      </c>
      <c r="H72" s="547"/>
      <c r="I72" s="535"/>
      <c r="J72" s="535"/>
      <c r="K72" s="535"/>
      <c r="L72" s="551">
        <f>L64+L66+L68+L70</f>
        <v>401657822</v>
      </c>
      <c r="N72" s="547"/>
      <c r="O72" s="703">
        <f>O64+O66+O69</f>
        <v>401657822</v>
      </c>
      <c r="P72" s="548">
        <f>O72/1000000</f>
        <v>401.65782200000001</v>
      </c>
      <c r="S72" s="9"/>
    </row>
    <row r="75" spans="1:20" ht="18.75">
      <c r="A75" s="57" t="s">
        <v>415</v>
      </c>
      <c r="C75" s="64"/>
    </row>
    <row r="76" spans="1:20">
      <c r="F76" s="908" t="s">
        <v>314</v>
      </c>
      <c r="G76" s="909"/>
      <c r="H76" s="909"/>
      <c r="I76" s="910"/>
    </row>
    <row r="77" spans="1:20">
      <c r="A77" s="76" t="s">
        <v>416</v>
      </c>
      <c r="B77" s="310" t="s">
        <v>309</v>
      </c>
      <c r="C77" s="901" t="s">
        <v>312</v>
      </c>
      <c r="D77" s="902"/>
      <c r="E77" s="903"/>
      <c r="F77" s="904" t="s">
        <v>417</v>
      </c>
      <c r="G77" s="905"/>
      <c r="H77" s="906"/>
      <c r="I77" s="470" t="s">
        <v>418</v>
      </c>
      <c r="J77" s="898" t="s">
        <v>313</v>
      </c>
      <c r="K77" s="899"/>
      <c r="L77" s="765" t="s">
        <v>419</v>
      </c>
      <c r="M77" s="766"/>
      <c r="N77" s="767" t="s">
        <v>420</v>
      </c>
      <c r="O77" s="768"/>
    </row>
    <row r="78" spans="1:20" ht="15.75">
      <c r="A78" s="309"/>
      <c r="B78" s="305"/>
      <c r="C78" s="391" t="s">
        <v>320</v>
      </c>
      <c r="D78" s="391" t="s">
        <v>101</v>
      </c>
      <c r="E78" s="392" t="s">
        <v>25</v>
      </c>
      <c r="F78" s="461" t="s">
        <v>421</v>
      </c>
      <c r="G78" s="461" t="s">
        <v>422</v>
      </c>
      <c r="H78" s="777" t="s">
        <v>423</v>
      </c>
      <c r="I78" s="470" t="s">
        <v>424</v>
      </c>
      <c r="J78" s="424" t="s">
        <v>322</v>
      </c>
      <c r="K78" s="424" t="s">
        <v>25</v>
      </c>
      <c r="L78" s="475" t="s">
        <v>322</v>
      </c>
      <c r="M78" s="477" t="s">
        <v>25</v>
      </c>
      <c r="N78" s="505" t="s">
        <v>322</v>
      </c>
      <c r="O78" s="506" t="s">
        <v>25</v>
      </c>
    </row>
    <row r="79" spans="1:20">
      <c r="A79" s="270" t="s">
        <v>140</v>
      </c>
      <c r="B79" s="271" t="s">
        <v>331</v>
      </c>
      <c r="C79" s="495"/>
      <c r="D79" s="496">
        <f>'Petroleum Stat-2021'!C45</f>
        <v>12146.57625</v>
      </c>
      <c r="E79" s="497">
        <f>D79*$U$6</f>
        <v>12571.70641875</v>
      </c>
      <c r="F79" s="769">
        <v>3.5</v>
      </c>
      <c r="G79" s="772">
        <f>1/F79</f>
        <v>0.2857142857142857</v>
      </c>
      <c r="H79" s="774">
        <f>G79*0.8381*1000</f>
        <v>239.45714285714283</v>
      </c>
      <c r="I79" s="471">
        <f>K79/E79</f>
        <v>0.34700066345143465</v>
      </c>
      <c r="J79" s="448">
        <f>D79/H79</f>
        <v>50.725470558405924</v>
      </c>
      <c r="K79" s="449">
        <f>J79*86</f>
        <v>4362.3904680229098</v>
      </c>
      <c r="L79" s="475"/>
      <c r="M79" s="477"/>
      <c r="N79" s="522">
        <f>J79</f>
        <v>50.725470558405924</v>
      </c>
      <c r="O79" s="523">
        <f>N79*86</f>
        <v>4362.3904680229098</v>
      </c>
    </row>
    <row r="80" spans="1:20">
      <c r="A80" s="270" t="s">
        <v>425</v>
      </c>
      <c r="B80" s="271" t="s">
        <v>331</v>
      </c>
      <c r="C80" s="495"/>
      <c r="D80" s="496">
        <f>'Petroleum Stat-2021'!C46</f>
        <v>1896.4692809999999</v>
      </c>
      <c r="E80" s="497">
        <f>D80*$U$6</f>
        <v>1962.8457058349998</v>
      </c>
      <c r="F80" s="769">
        <v>3.5</v>
      </c>
      <c r="G80" s="772">
        <f>1/F80</f>
        <v>0.2857142857142857</v>
      </c>
      <c r="H80" s="774">
        <f>G80*0.8381*1000</f>
        <v>239.45714285714283</v>
      </c>
      <c r="I80" s="471">
        <f>K80/E80</f>
        <v>0.34700066345143465</v>
      </c>
      <c r="J80" s="448">
        <f>D80/H80</f>
        <v>7.9198693276458663</v>
      </c>
      <c r="K80" s="449">
        <f>J80*86</f>
        <v>681.10876217754446</v>
      </c>
      <c r="L80" s="475"/>
      <c r="M80" s="477"/>
      <c r="N80" s="522">
        <f>J80</f>
        <v>7.9198693276458663</v>
      </c>
      <c r="O80" s="523">
        <f>N80*86</f>
        <v>681.10876217754446</v>
      </c>
    </row>
    <row r="81" spans="1:15">
      <c r="A81" s="270" t="s">
        <v>145</v>
      </c>
      <c r="B81" s="271" t="s">
        <v>331</v>
      </c>
      <c r="C81" s="495"/>
      <c r="D81" s="496">
        <f>'Petroleum Stat-2021'!C47</f>
        <v>163.64999999999998</v>
      </c>
      <c r="E81" s="497">
        <f>D81*$U$6</f>
        <v>169.37774999999996</v>
      </c>
      <c r="F81" s="769">
        <v>3.5</v>
      </c>
      <c r="G81" s="772">
        <f>1/F81</f>
        <v>0.2857142857142857</v>
      </c>
      <c r="H81" s="774">
        <f>G81*0.8381*1000</f>
        <v>239.45714285714283</v>
      </c>
      <c r="I81" s="471">
        <f>K81/E81</f>
        <v>0.34700066345143471</v>
      </c>
      <c r="J81" s="448">
        <f>D81/H81</f>
        <v>0.68342083283617705</v>
      </c>
      <c r="K81" s="449">
        <f>J81*86</f>
        <v>58.774191623911229</v>
      </c>
      <c r="L81" s="778">
        <f>J81</f>
        <v>0.68342083283617705</v>
      </c>
      <c r="M81" s="493">
        <f>L81*86</f>
        <v>58.774191623911229</v>
      </c>
      <c r="N81" s="505"/>
      <c r="O81" s="506"/>
    </row>
    <row r="82" spans="1:15">
      <c r="A82" s="270" t="s">
        <v>426</v>
      </c>
      <c r="B82" s="271" t="s">
        <v>331</v>
      </c>
      <c r="C82" s="495"/>
      <c r="D82" s="496">
        <f>'Petroleum Stat-2021'!C48</f>
        <v>1551.12</v>
      </c>
      <c r="E82" s="497">
        <f>D82*$U$6</f>
        <v>1605.4091999999998</v>
      </c>
      <c r="F82" s="769">
        <v>3.5</v>
      </c>
      <c r="G82" s="772">
        <f>1/F82</f>
        <v>0.2857142857142857</v>
      </c>
      <c r="H82" s="774">
        <f>G82*0.8381*1000</f>
        <v>239.45714285714283</v>
      </c>
      <c r="I82" s="471">
        <f>K82/E82</f>
        <v>0.34700066345143471</v>
      </c>
      <c r="J82" s="448">
        <f>D82/H82</f>
        <v>6.4776518315236853</v>
      </c>
      <c r="K82" s="449">
        <f>J82*86</f>
        <v>557.07805751103695</v>
      </c>
      <c r="L82" s="778">
        <f>J82</f>
        <v>6.4776518315236853</v>
      </c>
      <c r="M82" s="493">
        <f>L82*86</f>
        <v>557.07805751103695</v>
      </c>
      <c r="N82" s="522">
        <f>Q82/1000000</f>
        <v>0</v>
      </c>
      <c r="O82" s="523">
        <f>N82*86</f>
        <v>0</v>
      </c>
    </row>
    <row r="83" spans="1:15">
      <c r="A83" s="308" t="s">
        <v>427</v>
      </c>
      <c r="B83" s="273" t="s">
        <v>331</v>
      </c>
      <c r="C83" s="498"/>
      <c r="D83" s="864">
        <f>'Petroleum Stat-2021'!C49</f>
        <v>8.0928000000000004</v>
      </c>
      <c r="E83" s="499">
        <f>D83*$U$6</f>
        <v>8.376047999999999</v>
      </c>
      <c r="F83" s="770">
        <v>3.5</v>
      </c>
      <c r="G83" s="773">
        <f>1/F83</f>
        <v>0.2857142857142857</v>
      </c>
      <c r="H83" s="775">
        <f>G83*0.8381*1000</f>
        <v>239.45714285714283</v>
      </c>
      <c r="I83" s="472">
        <f>K83/E83</f>
        <v>0.34700066345143471</v>
      </c>
      <c r="J83" s="448">
        <f>D83/H83</f>
        <v>3.3796444338384447E-2</v>
      </c>
      <c r="K83" s="450">
        <f>J83*86</f>
        <v>2.9064942131010625</v>
      </c>
      <c r="L83" s="475"/>
      <c r="M83" s="477"/>
      <c r="N83" s="522">
        <f>J83</f>
        <v>3.3796444338384447E-2</v>
      </c>
      <c r="O83" s="523">
        <f>N83*86</f>
        <v>2.9064942131010625</v>
      </c>
    </row>
    <row r="84" spans="1:15">
      <c r="A84" s="311" t="s">
        <v>46</v>
      </c>
      <c r="B84" s="312"/>
      <c r="C84" s="500">
        <f>SUM(C79:C83)</f>
        <v>0</v>
      </c>
      <c r="D84" s="500">
        <f>SUM(D79:D83)</f>
        <v>15765.908331000001</v>
      </c>
      <c r="E84" s="500">
        <f>SUM(E79:E83)</f>
        <v>16317.715122584999</v>
      </c>
      <c r="F84" s="771"/>
      <c r="G84" s="473"/>
      <c r="H84" s="776"/>
      <c r="I84" s="474"/>
      <c r="J84" s="868">
        <f t="shared" ref="J84:O84" si="4">SUM(J79:J83)</f>
        <v>65.840208994750029</v>
      </c>
      <c r="K84" s="451">
        <f t="shared" si="4"/>
        <v>5662.2579735485024</v>
      </c>
      <c r="L84" s="494">
        <f t="shared" si="4"/>
        <v>7.1610726643598621</v>
      </c>
      <c r="M84" s="494">
        <f t="shared" si="4"/>
        <v>615.85224913494812</v>
      </c>
      <c r="N84" s="779">
        <f t="shared" si="4"/>
        <v>58.679136330390172</v>
      </c>
      <c r="O84" s="524">
        <f t="shared" si="4"/>
        <v>5046.4057244135547</v>
      </c>
    </row>
    <row r="85" spans="1:15">
      <c r="A85" s="81" t="s">
        <v>428</v>
      </c>
    </row>
    <row r="86" spans="1:15">
      <c r="A86" s="81" t="s">
        <v>429</v>
      </c>
      <c r="I86" s="11"/>
      <c r="N86" s="5"/>
    </row>
    <row r="87" spans="1:15">
      <c r="I87" s="11"/>
    </row>
    <row r="88" spans="1:15" ht="15.75">
      <c r="A88" s="57" t="s">
        <v>430</v>
      </c>
      <c r="I88" s="11"/>
    </row>
    <row r="89" spans="1:15">
      <c r="I89" s="11"/>
    </row>
    <row r="90" spans="1:15">
      <c r="A90" t="s">
        <v>431</v>
      </c>
      <c r="B90" s="3" t="s">
        <v>166</v>
      </c>
      <c r="C90" s="3" t="s">
        <v>432</v>
      </c>
      <c r="D90" s="307" t="s">
        <v>46</v>
      </c>
      <c r="E90" s="72" t="s">
        <v>433</v>
      </c>
      <c r="I90" s="11"/>
    </row>
    <row r="91" spans="1:15">
      <c r="B91" s="313" t="s">
        <v>322</v>
      </c>
      <c r="C91" s="313" t="s">
        <v>322</v>
      </c>
      <c r="D91" s="313" t="s">
        <v>322</v>
      </c>
      <c r="E91" s="313" t="s">
        <v>25</v>
      </c>
    </row>
    <row r="92" spans="1:15">
      <c r="A92" s="314" t="s">
        <v>405</v>
      </c>
      <c r="B92" s="315">
        <f>O64/1000000</f>
        <v>138.74536900000001</v>
      </c>
      <c r="C92" s="315"/>
      <c r="D92" s="316">
        <f>B92+C92</f>
        <v>138.74536900000001</v>
      </c>
      <c r="E92" s="317">
        <f>D92*86</f>
        <v>11932.101734000002</v>
      </c>
      <c r="F92" s="48"/>
    </row>
    <row r="93" spans="1:15">
      <c r="A93" s="318" t="s">
        <v>70</v>
      </c>
      <c r="B93" s="28">
        <f>O66/1000000</f>
        <v>56.004170850000001</v>
      </c>
      <c r="C93" s="28">
        <f>L84</f>
        <v>7.1610726643598621</v>
      </c>
      <c r="D93" s="9">
        <f>B93+C93</f>
        <v>63.165243514359865</v>
      </c>
      <c r="E93" s="319">
        <f>D93*86</f>
        <v>5432.2109422349486</v>
      </c>
      <c r="F93" s="48"/>
    </row>
    <row r="94" spans="1:15">
      <c r="A94" s="320" t="s">
        <v>69</v>
      </c>
      <c r="B94" s="321">
        <f>O69/1000000</f>
        <v>206.90828215000002</v>
      </c>
      <c r="C94" s="321">
        <f>N84</f>
        <v>58.679136330390172</v>
      </c>
      <c r="D94" s="322">
        <f>B94+C94</f>
        <v>265.58741848039017</v>
      </c>
      <c r="E94" s="323">
        <f>D94*86</f>
        <v>22840.517989313554</v>
      </c>
      <c r="F94" s="48"/>
    </row>
    <row r="95" spans="1:15">
      <c r="A95" s="85" t="s">
        <v>46</v>
      </c>
      <c r="B95" s="388">
        <f>SUM(B92:B94)</f>
        <v>401.65782200000001</v>
      </c>
      <c r="C95" s="388">
        <f>SUM(C92:C94)</f>
        <v>65.840208994750029</v>
      </c>
      <c r="D95" s="388">
        <f>SUM(D92:D94)</f>
        <v>467.49803099475002</v>
      </c>
      <c r="E95" s="389">
        <f>SUM(E92:E94)</f>
        <v>40204.830665548507</v>
      </c>
      <c r="F95" s="48"/>
      <c r="G95" s="2"/>
      <c r="H95" s="2"/>
      <c r="I95" s="865">
        <v>467498</v>
      </c>
      <c r="J95" s="2"/>
    </row>
    <row r="96" spans="1:15">
      <c r="A96" s="2"/>
      <c r="B96" s="2"/>
      <c r="C96" s="2"/>
      <c r="D96" s="2"/>
      <c r="E96" s="2"/>
      <c r="F96" s="2"/>
      <c r="G96" s="2"/>
      <c r="H96" s="2"/>
      <c r="I96" s="2"/>
      <c r="J96" s="2"/>
    </row>
    <row r="98" spans="1:10">
      <c r="D98" s="11"/>
      <c r="E98" s="11"/>
      <c r="F98" s="11"/>
      <c r="G98" s="11"/>
      <c r="H98" s="11"/>
      <c r="I98" s="11"/>
      <c r="J98" s="11"/>
    </row>
    <row r="99" spans="1:10">
      <c r="D99" s="11"/>
      <c r="E99" s="11"/>
      <c r="F99" s="11"/>
      <c r="G99" s="11"/>
      <c r="H99" s="11"/>
      <c r="I99" s="11"/>
      <c r="J99" s="11"/>
    </row>
    <row r="100" spans="1:10">
      <c r="D100" s="11"/>
      <c r="E100" s="11"/>
      <c r="F100" s="11"/>
      <c r="G100" s="11"/>
      <c r="H100" s="11"/>
      <c r="I100" s="11"/>
      <c r="J100" s="11"/>
    </row>
    <row r="101" spans="1:10">
      <c r="D101" s="11"/>
      <c r="E101" s="11"/>
      <c r="F101" s="11"/>
      <c r="G101" s="11"/>
      <c r="H101" s="11"/>
      <c r="I101" s="11"/>
      <c r="J101" s="11"/>
    </row>
    <row r="102" spans="1:10">
      <c r="D102" s="11"/>
      <c r="E102" s="11"/>
      <c r="F102" s="11"/>
      <c r="G102" s="11"/>
      <c r="H102" s="11"/>
      <c r="I102" s="11"/>
      <c r="J102" s="11"/>
    </row>
    <row r="103" spans="1:10">
      <c r="D103" s="11"/>
      <c r="E103" s="11"/>
      <c r="F103" s="11"/>
      <c r="G103" s="11"/>
      <c r="H103" s="11"/>
      <c r="I103" s="11"/>
      <c r="J103" s="11"/>
    </row>
    <row r="104" spans="1:10">
      <c r="A104" s="20"/>
      <c r="B104" s="20"/>
      <c r="C104" s="20"/>
      <c r="D104" s="58"/>
      <c r="E104" s="58"/>
      <c r="F104" s="58"/>
      <c r="G104" s="58"/>
      <c r="H104" s="58"/>
      <c r="I104" s="58"/>
      <c r="J104" s="58"/>
    </row>
    <row r="114" spans="3:7">
      <c r="C114" s="42"/>
      <c r="G114" s="11"/>
    </row>
  </sheetData>
  <mergeCells count="27">
    <mergeCell ref="I23:K23"/>
    <mergeCell ref="L23:N23"/>
    <mergeCell ref="O19:Q19"/>
    <mergeCell ref="L4:N4"/>
    <mergeCell ref="O23:Q23"/>
    <mergeCell ref="O4:Q4"/>
    <mergeCell ref="L6:L7"/>
    <mergeCell ref="L10:L11"/>
    <mergeCell ref="I4:K4"/>
    <mergeCell ref="M6:M7"/>
    <mergeCell ref="M10:M11"/>
    <mergeCell ref="J77:K77"/>
    <mergeCell ref="F1:G1"/>
    <mergeCell ref="C77:E77"/>
    <mergeCell ref="F77:H77"/>
    <mergeCell ref="C4:E4"/>
    <mergeCell ref="F4:H4"/>
    <mergeCell ref="F23:H23"/>
    <mergeCell ref="F19:H19"/>
    <mergeCell ref="F76:I76"/>
    <mergeCell ref="H68:K68"/>
    <mergeCell ref="H70:I70"/>
    <mergeCell ref="H64:I64"/>
    <mergeCell ref="I19:K19"/>
    <mergeCell ref="H66:K66"/>
    <mergeCell ref="H1:L1"/>
    <mergeCell ref="L19:N19"/>
  </mergeCells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64"/>
  <sheetViews>
    <sheetView topLeftCell="A24" workbookViewId="0">
      <selection activeCell="O42" sqref="O42"/>
    </sheetView>
  </sheetViews>
  <sheetFormatPr defaultRowHeight="15"/>
  <sheetData>
    <row r="2" spans="2:2" ht="23.25">
      <c r="B2" s="659" t="s">
        <v>434</v>
      </c>
    </row>
    <row r="27" spans="2:7" ht="23.25">
      <c r="B27" s="659" t="s">
        <v>435</v>
      </c>
    </row>
    <row r="28" spans="2:7">
      <c r="C28" s="2"/>
    </row>
    <row r="30" spans="2:7">
      <c r="G30" s="55"/>
    </row>
    <row r="32" spans="2:7">
      <c r="G32" s="55"/>
    </row>
    <row r="34" spans="1:7">
      <c r="G34" s="55"/>
    </row>
    <row r="37" spans="1:7">
      <c r="A37" s="2"/>
    </row>
    <row r="64" spans="1:1">
      <c r="A64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Deftones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ACER</dc:creator>
  <cp:keywords/>
  <dc:description/>
  <cp:lastModifiedBy>Jeremy Abelard</cp:lastModifiedBy>
  <cp:revision/>
  <dcterms:created xsi:type="dcterms:W3CDTF">2016-10-21T11:29:00Z</dcterms:created>
  <dcterms:modified xsi:type="dcterms:W3CDTF">2022-08-22T07:37:59Z</dcterms:modified>
  <cp:category/>
  <cp:contentStatus/>
</cp:coreProperties>
</file>