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8100" windowHeight="6375"/>
  </bookViews>
  <sheets>
    <sheet name="Energy Balance-2020" sheetId="1" r:id="rId1"/>
    <sheet name="Petroleum Stat-2020" sheetId="2" r:id="rId2"/>
    <sheet name="Electricity Stat-2020" sheetId="3" r:id="rId3"/>
    <sheet name="Biomass, SWH &amp; Kero" sheetId="7" r:id="rId4"/>
    <sheet name="Charts" sheetId="6" r:id="rId5"/>
  </sheets>
  <calcPr calcId="125725"/>
</workbook>
</file>

<file path=xl/calcChain.xml><?xml version="1.0" encoding="utf-8"?>
<calcChain xmlns="http://schemas.openxmlformats.org/spreadsheetml/2006/main">
  <c r="S38" i="1"/>
  <c r="D41" i="2"/>
  <c r="C41"/>
  <c r="D40"/>
  <c r="C40"/>
  <c r="N40"/>
  <c r="M40"/>
  <c r="E48" i="3"/>
  <c r="F49"/>
  <c r="E49"/>
  <c r="F47"/>
  <c r="E47"/>
  <c r="I59"/>
  <c r="I58"/>
  <c r="I57"/>
  <c r="F46" l="1"/>
  <c r="D49"/>
  <c r="D48"/>
  <c r="D47"/>
  <c r="D46"/>
  <c r="N80"/>
  <c r="N77"/>
  <c r="N76"/>
  <c r="M79"/>
  <c r="L79"/>
  <c r="L78"/>
  <c r="M78" s="1"/>
  <c r="E3"/>
  <c r="E2"/>
  <c r="B30" i="1"/>
  <c r="B10"/>
  <c r="B9"/>
  <c r="R70" i="2"/>
  <c r="R65"/>
  <c r="S70"/>
  <c r="S73" s="1"/>
  <c r="S65"/>
  <c r="Q58"/>
  <c r="Q56"/>
  <c r="Q57"/>
  <c r="Q55"/>
  <c r="S51"/>
  <c r="U54"/>
  <c r="U53"/>
  <c r="X50"/>
  <c r="X49"/>
  <c r="K72"/>
  <c r="K71"/>
  <c r="K70"/>
  <c r="K69"/>
  <c r="K68"/>
  <c r="M64"/>
  <c r="M62"/>
  <c r="M57"/>
  <c r="M50"/>
  <c r="N64"/>
  <c r="F74"/>
  <c r="F73"/>
  <c r="F72"/>
  <c r="F71"/>
  <c r="F70"/>
  <c r="H66"/>
  <c r="H61"/>
  <c r="H56"/>
  <c r="I61"/>
  <c r="I66" s="1"/>
  <c r="I50"/>
  <c r="B94"/>
  <c r="B93"/>
  <c r="B92"/>
  <c r="B91"/>
  <c r="B90"/>
  <c r="B89"/>
  <c r="B88"/>
  <c r="C83"/>
  <c r="D83" l="1"/>
  <c r="D74"/>
  <c r="D85" s="1"/>
  <c r="D70"/>
  <c r="D63"/>
  <c r="D57"/>
  <c r="D50"/>
  <c r="B41" i="3"/>
  <c r="B39"/>
  <c r="S16" l="1"/>
  <c r="O17"/>
  <c r="O16"/>
  <c r="L17"/>
  <c r="F17"/>
  <c r="E17"/>
  <c r="L16"/>
  <c r="M10"/>
  <c r="M6"/>
  <c r="F16" l="1"/>
  <c r="E16"/>
  <c r="L12"/>
  <c r="L8"/>
  <c r="E65" i="1"/>
  <c r="B67"/>
  <c r="D2" i="3" l="1"/>
  <c r="H32"/>
  <c r="G32"/>
  <c r="F32"/>
  <c r="O15"/>
  <c r="P15" s="1"/>
  <c r="Q15" s="1"/>
  <c r="J15"/>
  <c r="I15"/>
  <c r="G15"/>
  <c r="H15" s="1"/>
  <c r="D15"/>
  <c r="E15" s="1"/>
  <c r="I7"/>
  <c r="J7"/>
  <c r="J6"/>
  <c r="I6"/>
  <c r="M32" i="7"/>
  <c r="M33"/>
  <c r="M34"/>
  <c r="M35"/>
  <c r="M36"/>
  <c r="M37"/>
  <c r="M38"/>
  <c r="M39"/>
  <c r="M40"/>
  <c r="M31"/>
  <c r="K15" i="3" l="1"/>
  <c r="I5" i="1"/>
  <c r="K5"/>
  <c r="N29"/>
  <c r="I29"/>
  <c r="L48" i="7"/>
  <c r="L47"/>
  <c r="G61"/>
  <c r="K36"/>
  <c r="K31"/>
  <c r="G55"/>
  <c r="I36"/>
  <c r="I31"/>
  <c r="G36" l="1"/>
  <c r="G31"/>
  <c r="E36"/>
  <c r="E31"/>
  <c r="C36"/>
  <c r="D40"/>
  <c r="D39"/>
  <c r="D38"/>
  <c r="D37"/>
  <c r="D33"/>
  <c r="D34"/>
  <c r="D35"/>
  <c r="D32"/>
  <c r="C31"/>
  <c r="I32" l="1"/>
  <c r="K32"/>
  <c r="I37"/>
  <c r="K37"/>
  <c r="I33"/>
  <c r="K33"/>
  <c r="I40"/>
  <c r="K40"/>
  <c r="I34"/>
  <c r="K34"/>
  <c r="I39"/>
  <c r="K39"/>
  <c r="I35"/>
  <c r="K35"/>
  <c r="I38"/>
  <c r="K38"/>
  <c r="E39"/>
  <c r="E35"/>
  <c r="G37"/>
  <c r="G33"/>
  <c r="E40"/>
  <c r="E32"/>
  <c r="G38"/>
  <c r="G34"/>
  <c r="E37"/>
  <c r="E33"/>
  <c r="G39"/>
  <c r="G35"/>
  <c r="E38"/>
  <c r="E34"/>
  <c r="G40"/>
  <c r="G32"/>
  <c r="F33" i="3" l="1"/>
  <c r="C33"/>
  <c r="M27"/>
  <c r="N27" s="1"/>
  <c r="J26"/>
  <c r="G26"/>
  <c r="H26" s="1"/>
  <c r="G27"/>
  <c r="H27" s="1"/>
  <c r="F28"/>
  <c r="D26"/>
  <c r="I26" s="1"/>
  <c r="D27"/>
  <c r="C28"/>
  <c r="G31" i="1" l="1"/>
  <c r="F62" i="3"/>
  <c r="L61" s="1"/>
  <c r="L67"/>
  <c r="L63"/>
  <c r="O63" s="1"/>
  <c r="P63" l="1"/>
  <c r="B90"/>
  <c r="O61"/>
  <c r="F69"/>
  <c r="L65"/>
  <c r="O66" s="1"/>
  <c r="G77"/>
  <c r="H77" s="1"/>
  <c r="J77" s="1"/>
  <c r="G78"/>
  <c r="H78" s="1"/>
  <c r="J78" s="1"/>
  <c r="G79"/>
  <c r="H79" s="1"/>
  <c r="J79" s="1"/>
  <c r="G80"/>
  <c r="H80" s="1"/>
  <c r="J80" s="1"/>
  <c r="G76"/>
  <c r="H76" s="1"/>
  <c r="J76" s="1"/>
  <c r="C81"/>
  <c r="O77"/>
  <c r="K78"/>
  <c r="K79"/>
  <c r="O80"/>
  <c r="E77"/>
  <c r="E78"/>
  <c r="E80"/>
  <c r="E76"/>
  <c r="K76" l="1"/>
  <c r="I76" s="1"/>
  <c r="K80"/>
  <c r="I80" s="1"/>
  <c r="P66"/>
  <c r="B91"/>
  <c r="B89"/>
  <c r="O69"/>
  <c r="P69" s="1"/>
  <c r="P61"/>
  <c r="D81"/>
  <c r="K77"/>
  <c r="I77" s="1"/>
  <c r="L69"/>
  <c r="I78"/>
  <c r="E79"/>
  <c r="E81" s="1"/>
  <c r="C16" i="1" s="1"/>
  <c r="N79" i="3"/>
  <c r="O79" s="1"/>
  <c r="I79" l="1"/>
  <c r="J81"/>
  <c r="D89"/>
  <c r="B92"/>
  <c r="K81"/>
  <c r="M16" i="1" s="1"/>
  <c r="N81" i="3"/>
  <c r="C91" s="1"/>
  <c r="D91" s="1"/>
  <c r="E91" s="1"/>
  <c r="M30" i="1" s="1"/>
  <c r="O76" i="3"/>
  <c r="O81" s="1"/>
  <c r="L81" l="1"/>
  <c r="C90" s="1"/>
  <c r="M81"/>
  <c r="E89"/>
  <c r="J36" i="1"/>
  <c r="K36"/>
  <c r="L36"/>
  <c r="G30"/>
  <c r="C92" i="3" l="1"/>
  <c r="D90"/>
  <c r="M29" i="1"/>
  <c r="B101" i="2"/>
  <c r="L79"/>
  <c r="H50"/>
  <c r="H71" s="1"/>
  <c r="B34" i="1" s="1"/>
  <c r="W49" i="2"/>
  <c r="W50" s="1"/>
  <c r="P57"/>
  <c r="R57" s="1"/>
  <c r="P56"/>
  <c r="R56" s="1"/>
  <c r="P55"/>
  <c r="R55" s="1"/>
  <c r="R51"/>
  <c r="H72"/>
  <c r="H73"/>
  <c r="H74"/>
  <c r="B31" i="1" s="1"/>
  <c r="H70" i="2"/>
  <c r="B32" i="1" s="1"/>
  <c r="E90" i="3" l="1"/>
  <c r="D92"/>
  <c r="P58" i="2"/>
  <c r="H75"/>
  <c r="R58"/>
  <c r="E33" i="1" s="1"/>
  <c r="E36" s="1"/>
  <c r="C74" i="2"/>
  <c r="C63"/>
  <c r="C57"/>
  <c r="C70"/>
  <c r="C50"/>
  <c r="F75"/>
  <c r="G74" s="1"/>
  <c r="M69"/>
  <c r="M70"/>
  <c r="F31" i="1" s="1"/>
  <c r="M71" i="2"/>
  <c r="M68"/>
  <c r="F29" i="1" s="1"/>
  <c r="W54" i="2"/>
  <c r="D31" i="1" s="1"/>
  <c r="D36" s="1"/>
  <c r="W53" i="2"/>
  <c r="U55"/>
  <c r="V53" s="1"/>
  <c r="D89"/>
  <c r="D90"/>
  <c r="C32" i="1" s="1"/>
  <c r="D91" i="2"/>
  <c r="C34" i="1" s="1"/>
  <c r="D92" i="2"/>
  <c r="C31" i="1" s="1"/>
  <c r="D93" i="2"/>
  <c r="C35" i="1" s="1"/>
  <c r="D94" i="2"/>
  <c r="C30" i="1" s="1"/>
  <c r="D88" i="2"/>
  <c r="B95"/>
  <c r="C91" s="1"/>
  <c r="F30" i="1" l="1"/>
  <c r="F36"/>
  <c r="C36"/>
  <c r="M31"/>
  <c r="E92" i="3"/>
  <c r="C85" i="2"/>
  <c r="L72"/>
  <c r="M72"/>
  <c r="L69"/>
  <c r="D95"/>
  <c r="L68"/>
  <c r="G75"/>
  <c r="G71"/>
  <c r="W55"/>
  <c r="G72"/>
  <c r="G70"/>
  <c r="V55"/>
  <c r="L71"/>
  <c r="G73"/>
  <c r="V54"/>
  <c r="L70"/>
  <c r="C92"/>
  <c r="C90"/>
  <c r="C93"/>
  <c r="C89"/>
  <c r="C94"/>
  <c r="C95"/>
  <c r="C88"/>
  <c r="C35" l="1"/>
  <c r="D35"/>
  <c r="E35"/>
  <c r="F35"/>
  <c r="G35"/>
  <c r="H35"/>
  <c r="I35"/>
  <c r="J35"/>
  <c r="D33"/>
  <c r="E33"/>
  <c r="F33"/>
  <c r="G33"/>
  <c r="H33" i="1" s="1"/>
  <c r="H36" s="1"/>
  <c r="H33" i="2"/>
  <c r="I33"/>
  <c r="J33"/>
  <c r="C26"/>
  <c r="D26"/>
  <c r="E26"/>
  <c r="F26"/>
  <c r="G26"/>
  <c r="H26"/>
  <c r="I26"/>
  <c r="J26"/>
  <c r="C27"/>
  <c r="D27"/>
  <c r="E27"/>
  <c r="F27"/>
  <c r="G27"/>
  <c r="H27"/>
  <c r="I27"/>
  <c r="J27"/>
  <c r="C29"/>
  <c r="D29"/>
  <c r="C10" i="1" s="1"/>
  <c r="E29" i="2"/>
  <c r="E10" i="1" s="1"/>
  <c r="F29" i="2"/>
  <c r="D10" i="1" s="1"/>
  <c r="G29" i="2"/>
  <c r="H10" i="1" s="1"/>
  <c r="H29" i="2"/>
  <c r="F10" i="1" s="1"/>
  <c r="I29" i="2"/>
  <c r="J29"/>
  <c r="G10" i="1" s="1"/>
  <c r="C30" i="2"/>
  <c r="B11" i="1" s="1"/>
  <c r="D30" i="2"/>
  <c r="E30"/>
  <c r="F30"/>
  <c r="G30"/>
  <c r="H30"/>
  <c r="I30"/>
  <c r="J30"/>
  <c r="D25"/>
  <c r="E25"/>
  <c r="F25"/>
  <c r="G25"/>
  <c r="H6" i="1" s="1"/>
  <c r="H25" i="2"/>
  <c r="I25"/>
  <c r="J25"/>
  <c r="AD21"/>
  <c r="AC21"/>
  <c r="AB21"/>
  <c r="AA21"/>
  <c r="Z21"/>
  <c r="Y21"/>
  <c r="W21"/>
  <c r="X15"/>
  <c r="Y15"/>
  <c r="Z15"/>
  <c r="AA15"/>
  <c r="AB15"/>
  <c r="AC15"/>
  <c r="AD15"/>
  <c r="W15"/>
  <c r="D9"/>
  <c r="D12" s="1"/>
  <c r="E9"/>
  <c r="E12" s="1"/>
  <c r="F9"/>
  <c r="F28" s="1"/>
  <c r="D9" i="1" s="1"/>
  <c r="G9" i="2"/>
  <c r="G28" s="1"/>
  <c r="H9"/>
  <c r="H12" s="1"/>
  <c r="I9"/>
  <c r="I12" s="1"/>
  <c r="J9"/>
  <c r="J28" s="1"/>
  <c r="G9" i="1" s="1"/>
  <c r="G12" l="1"/>
  <c r="B53" s="1"/>
  <c r="H28" i="2"/>
  <c r="F9" i="1" s="1"/>
  <c r="J31" i="2"/>
  <c r="F31"/>
  <c r="D28"/>
  <c r="C9" i="1" s="1"/>
  <c r="G31" i="2"/>
  <c r="H9" i="1"/>
  <c r="H12" s="1"/>
  <c r="B55" s="1"/>
  <c r="F12" i="2"/>
  <c r="G12"/>
  <c r="I28"/>
  <c r="I31" s="1"/>
  <c r="E28"/>
  <c r="E9" i="1" s="1"/>
  <c r="J12" i="2"/>
  <c r="C28"/>
  <c r="H31" l="1"/>
  <c r="D31"/>
  <c r="E31"/>
  <c r="D56" i="3"/>
  <c r="E56" s="1"/>
  <c r="C33" i="2" l="1"/>
  <c r="D18"/>
  <c r="E18"/>
  <c r="F18"/>
  <c r="G18"/>
  <c r="H18"/>
  <c r="I18"/>
  <c r="J18"/>
  <c r="B40" i="3" l="1"/>
  <c r="B38"/>
  <c r="L24" i="7" l="1"/>
  <c r="L25" s="1"/>
  <c r="L26" s="1"/>
  <c r="J31" l="1"/>
  <c r="J36"/>
  <c r="J34"/>
  <c r="J32"/>
  <c r="J40"/>
  <c r="G29" i="1" s="1"/>
  <c r="G36" s="1"/>
  <c r="J38" i="7"/>
  <c r="J33"/>
  <c r="J35"/>
  <c r="J39"/>
  <c r="J37"/>
  <c r="G56"/>
  <c r="G57" s="1"/>
  <c r="G62" s="1"/>
  <c r="O17"/>
  <c r="O18" s="1"/>
  <c r="O19" s="1"/>
  <c r="H20"/>
  <c r="D18"/>
  <c r="E18" s="1"/>
  <c r="B18"/>
  <c r="C15" s="1"/>
  <c r="C17"/>
  <c r="O9"/>
  <c r="O10" s="1"/>
  <c r="O11" s="1"/>
  <c r="O12" s="1"/>
  <c r="H12"/>
  <c r="C13"/>
  <c r="C10"/>
  <c r="L34" l="1"/>
  <c r="L31"/>
  <c r="L39"/>
  <c r="L37"/>
  <c r="L40"/>
  <c r="L35"/>
  <c r="L33"/>
  <c r="L36"/>
  <c r="L38"/>
  <c r="L32"/>
  <c r="K12" i="1"/>
  <c r="B52" s="1"/>
  <c r="H36" i="7"/>
  <c r="H31"/>
  <c r="H37"/>
  <c r="H40"/>
  <c r="H34"/>
  <c r="H39"/>
  <c r="H32"/>
  <c r="H33"/>
  <c r="H35"/>
  <c r="H38"/>
  <c r="F36"/>
  <c r="F31"/>
  <c r="F32"/>
  <c r="F34"/>
  <c r="F39"/>
  <c r="F35"/>
  <c r="F33"/>
  <c r="F40"/>
  <c r="F37"/>
  <c r="F38"/>
  <c r="E12"/>
  <c r="C14"/>
  <c r="C16"/>
  <c r="C18"/>
  <c r="E11"/>
  <c r="E15"/>
  <c r="C11"/>
  <c r="E13"/>
  <c r="E17"/>
  <c r="E16"/>
  <c r="E10"/>
  <c r="E14"/>
  <c r="I12" i="1" l="1"/>
  <c r="B54" s="1"/>
  <c r="X21" i="2" l="1"/>
  <c r="O34" i="1" l="1"/>
  <c r="B102" s="1"/>
  <c r="O21" i="3" l="1"/>
  <c r="C8" i="1" l="1"/>
  <c r="E8"/>
  <c r="C6"/>
  <c r="E6"/>
  <c r="D6"/>
  <c r="F6"/>
  <c r="F12" s="1"/>
  <c r="B48" s="1"/>
  <c r="B6"/>
  <c r="B12" s="1"/>
  <c r="B47" l="1"/>
  <c r="C12"/>
  <c r="B46" s="1"/>
  <c r="E12"/>
  <c r="B49" s="1"/>
  <c r="H37" i="2"/>
  <c r="I37"/>
  <c r="E37"/>
  <c r="B79" i="1"/>
  <c r="J37" i="2"/>
  <c r="F37"/>
  <c r="G37"/>
  <c r="B77" i="1"/>
  <c r="B81"/>
  <c r="D37" i="2"/>
  <c r="O33" i="1" l="1"/>
  <c r="B103" l="1"/>
  <c r="M36"/>
  <c r="B72" l="1"/>
  <c r="O24" l="1"/>
  <c r="E21"/>
  <c r="F21"/>
  <c r="G21"/>
  <c r="H21"/>
  <c r="H27" s="1"/>
  <c r="H37" s="1"/>
  <c r="H38" s="1"/>
  <c r="I21"/>
  <c r="J30" i="3"/>
  <c r="I30"/>
  <c r="G30"/>
  <c r="G33" s="1"/>
  <c r="B21" i="1"/>
  <c r="M12"/>
  <c r="N12"/>
  <c r="O7"/>
  <c r="M26" i="3"/>
  <c r="N26" s="1"/>
  <c r="O26"/>
  <c r="O25"/>
  <c r="P25" s="1"/>
  <c r="M25"/>
  <c r="N25" s="1"/>
  <c r="J25"/>
  <c r="G25"/>
  <c r="H25" s="1"/>
  <c r="D25"/>
  <c r="I25" s="1"/>
  <c r="M21"/>
  <c r="N21" s="1"/>
  <c r="P21"/>
  <c r="Q21" s="1"/>
  <c r="J21"/>
  <c r="G21"/>
  <c r="D21"/>
  <c r="I21" s="1"/>
  <c r="O14"/>
  <c r="P14" s="1"/>
  <c r="Q14" s="1"/>
  <c r="M14"/>
  <c r="M12"/>
  <c r="N12" s="1"/>
  <c r="M8"/>
  <c r="F12"/>
  <c r="O12" s="1"/>
  <c r="P12" s="1"/>
  <c r="Q12" s="1"/>
  <c r="F8"/>
  <c r="J14"/>
  <c r="J11"/>
  <c r="J10"/>
  <c r="I14"/>
  <c r="I11"/>
  <c r="I10"/>
  <c r="D14"/>
  <c r="E14" s="1"/>
  <c r="D11"/>
  <c r="E11" s="1"/>
  <c r="D10"/>
  <c r="E10" s="1"/>
  <c r="D7"/>
  <c r="D6"/>
  <c r="G7"/>
  <c r="H7" s="1"/>
  <c r="G10"/>
  <c r="H10" s="1"/>
  <c r="G11"/>
  <c r="G14"/>
  <c r="G6"/>
  <c r="H6" s="1"/>
  <c r="D8" i="1"/>
  <c r="D12" s="1"/>
  <c r="C25" i="2"/>
  <c r="O8" i="3" l="1"/>
  <c r="P8" s="1"/>
  <c r="B45" i="1"/>
  <c r="B57" s="1"/>
  <c r="S5"/>
  <c r="H30" i="3"/>
  <c r="B54"/>
  <c r="N14"/>
  <c r="C54"/>
  <c r="H14"/>
  <c r="C46"/>
  <c r="H28"/>
  <c r="C47"/>
  <c r="C49" s="1"/>
  <c r="H21"/>
  <c r="L18" i="1" s="1"/>
  <c r="L21" s="1"/>
  <c r="B47" i="3"/>
  <c r="B49" s="1"/>
  <c r="G12"/>
  <c r="O28"/>
  <c r="I27" i="1"/>
  <c r="C31" i="2"/>
  <c r="I28" i="3"/>
  <c r="M17"/>
  <c r="N8"/>
  <c r="H11"/>
  <c r="K11" s="1"/>
  <c r="G8"/>
  <c r="G17" s="1"/>
  <c r="E6"/>
  <c r="C15" i="1" s="1"/>
  <c r="G27"/>
  <c r="G37" s="1"/>
  <c r="E27"/>
  <c r="E37" s="1"/>
  <c r="E38" s="1"/>
  <c r="H8" i="3"/>
  <c r="E12"/>
  <c r="E7"/>
  <c r="K7" s="1"/>
  <c r="K10"/>
  <c r="P26"/>
  <c r="Q26" s="1"/>
  <c r="Q25"/>
  <c r="G28"/>
  <c r="J28"/>
  <c r="O8" i="1"/>
  <c r="O11"/>
  <c r="O10"/>
  <c r="O9"/>
  <c r="C37" i="2"/>
  <c r="K14" i="3" l="1"/>
  <c r="K6"/>
  <c r="H33"/>
  <c r="J19" i="1" s="1"/>
  <c r="M19" s="1"/>
  <c r="O19" s="1"/>
  <c r="I36"/>
  <c r="I37" s="1"/>
  <c r="I38" s="1"/>
  <c r="L5"/>
  <c r="L12" s="1"/>
  <c r="D54" i="3"/>
  <c r="E54" s="1"/>
  <c r="B75" i="1"/>
  <c r="N17" i="3"/>
  <c r="M23" i="1" s="1"/>
  <c r="O23" s="1"/>
  <c r="C48" i="3"/>
  <c r="C55" s="1"/>
  <c r="C57" s="1"/>
  <c r="C58" s="1"/>
  <c r="B46"/>
  <c r="H12"/>
  <c r="K12" s="1"/>
  <c r="Q28"/>
  <c r="P28"/>
  <c r="E8"/>
  <c r="F27" i="1"/>
  <c r="F37" s="1"/>
  <c r="F38" s="1"/>
  <c r="B74"/>
  <c r="M18"/>
  <c r="O18" s="1"/>
  <c r="Q8" i="3"/>
  <c r="Q17" s="1"/>
  <c r="P17"/>
  <c r="D15" i="1"/>
  <c r="J17"/>
  <c r="M17" s="1"/>
  <c r="B42" i="3"/>
  <c r="O6" i="1"/>
  <c r="B27"/>
  <c r="H17" i="3" l="1"/>
  <c r="K8"/>
  <c r="S24" i="1"/>
  <c r="S23" s="1"/>
  <c r="J5"/>
  <c r="J12" s="1"/>
  <c r="B51" s="1"/>
  <c r="L27"/>
  <c r="L37" s="1"/>
  <c r="B50"/>
  <c r="F48" i="3"/>
  <c r="B48"/>
  <c r="B55" s="1"/>
  <c r="B80" i="1"/>
  <c r="O35"/>
  <c r="B107" s="1"/>
  <c r="C41" i="3"/>
  <c r="C40"/>
  <c r="C39"/>
  <c r="C38"/>
  <c r="C42"/>
  <c r="O17" i="1"/>
  <c r="M15"/>
  <c r="S18" s="1"/>
  <c r="O32"/>
  <c r="D21"/>
  <c r="D27" s="1"/>
  <c r="D37" s="1"/>
  <c r="D38" s="1"/>
  <c r="J21"/>
  <c r="C21"/>
  <c r="C27" s="1"/>
  <c r="C37" s="1"/>
  <c r="C38" s="1"/>
  <c r="O16"/>
  <c r="K20"/>
  <c r="B101" l="1"/>
  <c r="B100" s="1"/>
  <c r="B58"/>
  <c r="S6"/>
  <c r="S7" s="1"/>
  <c r="O5"/>
  <c r="S19"/>
  <c r="B56"/>
  <c r="O15"/>
  <c r="D55" i="3"/>
  <c r="E55" s="1"/>
  <c r="B57"/>
  <c r="B36" i="1"/>
  <c r="J27"/>
  <c r="J37" s="1"/>
  <c r="K17" i="3"/>
  <c r="M21" i="1"/>
  <c r="K21"/>
  <c r="N20"/>
  <c r="O12"/>
  <c r="C51" l="1"/>
  <c r="C57"/>
  <c r="C58"/>
  <c r="C50"/>
  <c r="C48"/>
  <c r="C47"/>
  <c r="C46"/>
  <c r="C54"/>
  <c r="C49"/>
  <c r="C55"/>
  <c r="C53"/>
  <c r="C52"/>
  <c r="B73"/>
  <c r="S22"/>
  <c r="T5"/>
  <c r="T7"/>
  <c r="T6"/>
  <c r="C45"/>
  <c r="C56"/>
  <c r="B58" i="3"/>
  <c r="D57"/>
  <c r="B37" i="1"/>
  <c r="B38" s="1"/>
  <c r="B76"/>
  <c r="O13"/>
  <c r="O31"/>
  <c r="O30"/>
  <c r="B104" s="1"/>
  <c r="K27"/>
  <c r="K37" s="1"/>
  <c r="S14"/>
  <c r="S10"/>
  <c r="S12"/>
  <c r="S13"/>
  <c r="S11"/>
  <c r="N21"/>
  <c r="N27" s="1"/>
  <c r="O20"/>
  <c r="O21" s="1"/>
  <c r="D58" i="3" l="1"/>
  <c r="E57"/>
  <c r="M26" i="1" s="1"/>
  <c r="S15"/>
  <c r="N36"/>
  <c r="B106"/>
  <c r="O29"/>
  <c r="N37" l="1"/>
  <c r="N38" s="1"/>
  <c r="S25"/>
  <c r="O26"/>
  <c r="O27" s="1"/>
  <c r="M27"/>
  <c r="M37" s="1"/>
  <c r="M38" s="1"/>
  <c r="O36"/>
  <c r="B105"/>
  <c r="B78"/>
  <c r="B82" s="1"/>
  <c r="F39" l="1"/>
  <c r="O41"/>
  <c r="C39"/>
  <c r="B39"/>
  <c r="O44"/>
  <c r="N41"/>
  <c r="D39"/>
  <c r="U27"/>
  <c r="S26"/>
  <c r="O37"/>
  <c r="O38" s="1"/>
  <c r="S32"/>
  <c r="S29"/>
  <c r="S35"/>
  <c r="B108"/>
  <c r="C105" s="1"/>
  <c r="S31"/>
  <c r="S34"/>
  <c r="C78"/>
  <c r="S30"/>
  <c r="S33"/>
  <c r="T24" l="1"/>
  <c r="T23"/>
  <c r="T22"/>
  <c r="T25"/>
  <c r="S36"/>
  <c r="C77"/>
  <c r="C75"/>
  <c r="C81"/>
  <c r="C73"/>
  <c r="C79"/>
  <c r="C80"/>
  <c r="C74"/>
  <c r="C76"/>
  <c r="C72"/>
  <c r="C100"/>
  <c r="C102"/>
  <c r="C107"/>
  <c r="C103"/>
  <c r="C101"/>
  <c r="C104"/>
  <c r="C106"/>
  <c r="V24" l="1"/>
  <c r="C108"/>
  <c r="C82"/>
  <c r="T26"/>
</calcChain>
</file>

<file path=xl/comments1.xml><?xml version="1.0" encoding="utf-8"?>
<comments xmlns="http://schemas.openxmlformats.org/spreadsheetml/2006/main">
  <authors>
    <author>ACER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<sst xmlns="http://schemas.openxmlformats.org/spreadsheetml/2006/main" count="746" uniqueCount="432">
  <si>
    <t>PETROLEUM PRODUCTS</t>
  </si>
  <si>
    <t>Gasoil</t>
  </si>
  <si>
    <t>Fuel Oil</t>
  </si>
  <si>
    <t>Jet A1</t>
  </si>
  <si>
    <t>LPG</t>
  </si>
  <si>
    <t>Gasoline</t>
  </si>
  <si>
    <t>Fuelwood</t>
  </si>
  <si>
    <t>BIOMASS</t>
  </si>
  <si>
    <t>SOLAR</t>
  </si>
  <si>
    <t>WIND</t>
  </si>
  <si>
    <t>ELECTRICITY</t>
  </si>
  <si>
    <t>HEAT</t>
  </si>
  <si>
    <t>Imports</t>
  </si>
  <si>
    <t>Exports (-)</t>
  </si>
  <si>
    <t>Loss (-) or Gain (+)</t>
  </si>
  <si>
    <t>Electricity Generation from HFO and LFO by PUC</t>
  </si>
  <si>
    <t>Electricity Generation from LFO by Auto-producers</t>
  </si>
  <si>
    <t>Electricity Generation from Wind by PUC</t>
  </si>
  <si>
    <t>Electricity Generation from off-grid Solar PV</t>
  </si>
  <si>
    <t>Road Transports</t>
  </si>
  <si>
    <t>Industry</t>
  </si>
  <si>
    <t>Residential</t>
  </si>
  <si>
    <t>Electricity Generation from grid-connected Solar PV</t>
  </si>
  <si>
    <t>Prod. (+)                 Cons. (-)</t>
  </si>
  <si>
    <t>Primary Energy Production</t>
  </si>
  <si>
    <t>PRIMARY ENERGY PRODUCTION &amp; ENERGY SUPPLIES</t>
  </si>
  <si>
    <t>SECONDARY PRODUCTION</t>
  </si>
  <si>
    <t>DISTRIBUTION OF ENERGY</t>
  </si>
  <si>
    <t>Losses in transportation and distribution</t>
  </si>
  <si>
    <t>Electricity consumption for power stations</t>
  </si>
  <si>
    <t>Heat consumption for Fuel Oil Treatment</t>
  </si>
  <si>
    <t>SEYCHELLES</t>
  </si>
  <si>
    <t>TOTAL PRIMARY CONSUMPTION (1)</t>
  </si>
  <si>
    <t>TOTAL SECONDARY PRODUCTION (2)</t>
  </si>
  <si>
    <t>TOTAL FINAL DISTRIBUTION (1+2+Losses)</t>
  </si>
  <si>
    <t>MOGAS</t>
  </si>
  <si>
    <t>GAS OIL</t>
  </si>
  <si>
    <t>JET A1</t>
  </si>
  <si>
    <t>FUEL OIL</t>
  </si>
  <si>
    <t>AVGAS</t>
  </si>
  <si>
    <t>KEROSENE</t>
  </si>
  <si>
    <t>MSP (unleaded)</t>
  </si>
  <si>
    <t>A. Imports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</si>
  <si>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</si>
  <si>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</si>
  <si>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</si>
  <si>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</si>
  <si>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</si>
  <si>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</si>
  <si>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</si>
  <si>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Inter Product Transfer</t>
  </si>
  <si>
    <t>Coversion Factor from MT to TOE</t>
  </si>
  <si>
    <t>MT</t>
  </si>
  <si>
    <t>TOE</t>
  </si>
  <si>
    <t>Kerosene</t>
  </si>
  <si>
    <t>Fuel Consumption</t>
  </si>
  <si>
    <t>Total</t>
  </si>
  <si>
    <t>LFO</t>
  </si>
  <si>
    <t>HFO</t>
  </si>
  <si>
    <t>Station Use</t>
  </si>
  <si>
    <t>Energy Sent out</t>
  </si>
  <si>
    <t>kW</t>
  </si>
  <si>
    <t>kWh</t>
  </si>
  <si>
    <t>TOTAL</t>
  </si>
  <si>
    <t>GWh</t>
  </si>
  <si>
    <t>Litre</t>
  </si>
  <si>
    <t>SFC  (L/kWh)</t>
  </si>
  <si>
    <t>kWh/L</t>
  </si>
  <si>
    <t>Praslin</t>
  </si>
  <si>
    <t>Fuel</t>
  </si>
  <si>
    <t>Performance Indicators</t>
  </si>
  <si>
    <t>Efficiency %</t>
  </si>
  <si>
    <t>Power Station</t>
  </si>
  <si>
    <t>Capacity Factor</t>
  </si>
  <si>
    <t>Capacity</t>
  </si>
  <si>
    <t>hr/yr</t>
  </si>
  <si>
    <t>SOLAR PV</t>
  </si>
  <si>
    <t>PUC</t>
  </si>
  <si>
    <t>Elec</t>
  </si>
  <si>
    <t>Hotels</t>
  </si>
  <si>
    <t>Industrials</t>
  </si>
  <si>
    <t>Construction</t>
  </si>
  <si>
    <t>Production of Solar Heat / Solar Water Heaters</t>
  </si>
  <si>
    <t>Mahe</t>
  </si>
  <si>
    <t>m2</t>
  </si>
  <si>
    <t>C</t>
  </si>
  <si>
    <t>ENERGY SECTOR OWN CONSUMPTION</t>
  </si>
  <si>
    <t>TOTAL FINAL ENERGY CONSUMPTION</t>
  </si>
  <si>
    <t>Statistical Difference</t>
  </si>
  <si>
    <t>THERMAL PLANTS</t>
  </si>
  <si>
    <t>Wind</t>
  </si>
  <si>
    <t>Solar PV</t>
  </si>
  <si>
    <t>Solar Thermal</t>
  </si>
  <si>
    <t>Electricity</t>
  </si>
  <si>
    <t>Road Transportation</t>
  </si>
  <si>
    <t>Energy Independence Rate</t>
  </si>
  <si>
    <t>Others</t>
  </si>
  <si>
    <t>Service</t>
  </si>
  <si>
    <t>SERVICE</t>
  </si>
  <si>
    <t>Street Lights</t>
  </si>
  <si>
    <t>Tourism</t>
  </si>
  <si>
    <t>Avgas</t>
  </si>
  <si>
    <t>International Marine &amp; Air Bunkers (-)</t>
  </si>
  <si>
    <t>FLH</t>
  </si>
  <si>
    <t>By Fossil Fuel</t>
  </si>
  <si>
    <t>By Renewable Sources</t>
  </si>
  <si>
    <t>Sold to Customers</t>
  </si>
  <si>
    <t>Sent to T&amp;D Network</t>
  </si>
  <si>
    <t>Station Units</t>
  </si>
  <si>
    <t>Sub-total</t>
  </si>
  <si>
    <t>Losses</t>
  </si>
  <si>
    <t>Summary of Generation by Island in GWh</t>
  </si>
  <si>
    <t>Losses (% Generation)</t>
  </si>
  <si>
    <t>FINAL ENERGY CONSUMPTION</t>
  </si>
  <si>
    <t>MOGAS (LRP)</t>
  </si>
  <si>
    <t>GASOIL</t>
  </si>
  <si>
    <t>MSP (UNLEADED)</t>
  </si>
  <si>
    <t>IMPORTS SEYPEC</t>
  </si>
  <si>
    <t>IMPORTS PPO</t>
  </si>
  <si>
    <t>1.STOCK 01/01/2017 SEYPEC</t>
  </si>
  <si>
    <t>2.STOCK 01/01/2017 PPO</t>
  </si>
  <si>
    <t>3.STOCK 31/12/2017 SEYPEC</t>
  </si>
  <si>
    <t>4.STOCK 31/12/2017 PPO</t>
  </si>
  <si>
    <t>STOCK CHANGE (1+2)-(3+4)</t>
  </si>
  <si>
    <t>(LOSS)/GAIN</t>
  </si>
  <si>
    <t>INTER PRODUCT TRANSFER</t>
  </si>
  <si>
    <t>TOTAL SUPPLY (A+B+C+D)</t>
  </si>
  <si>
    <t>LOCAL SALES</t>
  </si>
  <si>
    <t>PPO OFFTAKES</t>
  </si>
  <si>
    <t>TOTAL SALES</t>
  </si>
  <si>
    <t>Domestic</t>
  </si>
  <si>
    <t>Government</t>
  </si>
  <si>
    <t>Maritime Transportation</t>
  </si>
  <si>
    <t>kg</t>
  </si>
  <si>
    <t>Wood</t>
  </si>
  <si>
    <t>m3</t>
  </si>
  <si>
    <t>Charcoal</t>
  </si>
  <si>
    <t>Lunch</t>
  </si>
  <si>
    <t>Dinner</t>
  </si>
  <si>
    <t>Breakfast</t>
  </si>
  <si>
    <t>FUELWOOD</t>
  </si>
  <si>
    <t>In a day, a household would consume the following amount of fuelwood:</t>
  </si>
  <si>
    <t>In a year, a household consumes</t>
  </si>
  <si>
    <t xml:space="preserve"> 2.5 kg x 365 days =</t>
  </si>
  <si>
    <t>CHARCOAL</t>
  </si>
  <si>
    <t xml:space="preserve"> 1.3 kg x 365 days =</t>
  </si>
  <si>
    <t>Gas (LPG)</t>
  </si>
  <si>
    <t>LPG/Electricity</t>
  </si>
  <si>
    <t>No Cooking</t>
  </si>
  <si>
    <t>Not Stated</t>
  </si>
  <si>
    <t>Fuelwood &amp; charcoal</t>
  </si>
  <si>
    <t>Assuming that:</t>
  </si>
  <si>
    <t>1 TOE =</t>
  </si>
  <si>
    <t>GJ</t>
  </si>
  <si>
    <t>Domestic Air Transportation</t>
  </si>
  <si>
    <t>Biomass</t>
  </si>
  <si>
    <t>Solar Heat</t>
  </si>
  <si>
    <t>SECTOR</t>
  </si>
  <si>
    <t>Share</t>
  </si>
  <si>
    <t>Energy Form</t>
  </si>
  <si>
    <t>Only 0.1% of households use kerosene for cooking in 2010</t>
  </si>
  <si>
    <t>Assuming a consumption of 0.5 litre/day of kerosene for a household</t>
  </si>
  <si>
    <t>0.5 litre x 365 days =</t>
  </si>
  <si>
    <t>Ind&amp;Com</t>
  </si>
  <si>
    <t>TRANSPORTS</t>
  </si>
  <si>
    <t>RESIDENTIAL</t>
  </si>
  <si>
    <t>INDUSTRY</t>
  </si>
  <si>
    <t>Technology</t>
  </si>
  <si>
    <t>Stock Change (+ taking from stock, - feeding into stock)</t>
  </si>
  <si>
    <t xml:space="preserve">Source: </t>
  </si>
  <si>
    <t xml:space="preserve">NBS, Population and Housing Census 2010, </t>
  </si>
  <si>
    <t>6.4 Energy for Lighting and Cooking</t>
  </si>
  <si>
    <t>Based on the Censuses in 2002 and 2010, the table below shows the numbers of households using the speficied energy for cooking.</t>
  </si>
  <si>
    <t xml:space="preserve">Number of households cooking with the </t>
  </si>
  <si>
    <t>specified type of energy in 2002 vs. 2010</t>
  </si>
  <si>
    <t>Retailers (Residential)</t>
  </si>
  <si>
    <t>A. Imports SEPEC in 2019</t>
  </si>
  <si>
    <t xml:space="preserve">    1. Stock 01/01/19 SEPEC</t>
  </si>
  <si>
    <t xml:space="preserve">    2. Stock 31/12/19 SEPEC</t>
  </si>
  <si>
    <t>INTERNATIONAL SALES</t>
  </si>
  <si>
    <t>the original data have been replaced by Actual Sales data from Seypec</t>
  </si>
  <si>
    <t>hence may slightly differ from the original data</t>
  </si>
  <si>
    <t>SEPEC SUPPLY AND SALES FOR 2019 (Original Data)</t>
  </si>
  <si>
    <t>Auto-Producers of Elec</t>
  </si>
  <si>
    <t>Road Transportation (incl SPTC)</t>
  </si>
  <si>
    <t>Marine Transportation</t>
  </si>
  <si>
    <t>Artisanal Fishing</t>
  </si>
  <si>
    <t>PUC Elec Generation</t>
  </si>
  <si>
    <t>Share %</t>
  </si>
  <si>
    <t>Public Services</t>
  </si>
  <si>
    <t>IDC</t>
  </si>
  <si>
    <t>Hotels &amp; IDC</t>
  </si>
  <si>
    <t>AUTO-PRODUCERS OF ELECTRICITY</t>
  </si>
  <si>
    <t>IDC (Island Development Company)</t>
  </si>
  <si>
    <t>IOT (Indian Ocean Tuna)</t>
  </si>
  <si>
    <t>CCCS (Central Common Cold Store)</t>
  </si>
  <si>
    <t>Construction (All Building Contractors)</t>
  </si>
  <si>
    <t>UCPS (United Concrete Products of Seychelles)</t>
  </si>
  <si>
    <t>LA GOGUE DAM EXTENSION PROJECT</t>
  </si>
  <si>
    <t>STC (All its divisions)</t>
  </si>
  <si>
    <t>Consumer (MAHE) - excluding those already listed above*</t>
  </si>
  <si>
    <t xml:space="preserve">ROAD TRANSPORTATION </t>
  </si>
  <si>
    <t>SPTC</t>
  </si>
  <si>
    <t>MARINE TRANSPORTATION</t>
  </si>
  <si>
    <t>All ferries for Passengers (Cat Cocos + Cat Rose + ….)</t>
  </si>
  <si>
    <t>Marine Charter Association + Gondwana</t>
  </si>
  <si>
    <t>All ferries for Cargo (Praslin Hero + Lady Genevieve,…)</t>
  </si>
  <si>
    <t>SeyParadise Offshore</t>
  </si>
  <si>
    <t>PUC elec generation</t>
  </si>
  <si>
    <t>SFA</t>
  </si>
  <si>
    <t>Retail Stations</t>
  </si>
  <si>
    <t>SLTA (Seychelles Land Transport Agency)</t>
  </si>
  <si>
    <t>Police + Army Camp + SPDF+Firebrigade</t>
  </si>
  <si>
    <t>Air Seychelles (Domestic) + IDC Air + SPDF Air + Helicopters</t>
  </si>
  <si>
    <t>Ports Authority</t>
  </si>
  <si>
    <t>Coast Guards</t>
  </si>
  <si>
    <t>Government/Public services (All org not listed in the preceding sheet)</t>
  </si>
  <si>
    <t>Airport/SCCA</t>
  </si>
  <si>
    <t>Retailer (MAHE)</t>
  </si>
  <si>
    <t>Retailer (PRASLIN)</t>
  </si>
  <si>
    <t>ARTISANAL FISHING</t>
  </si>
  <si>
    <t>TOTAL for Gasoil</t>
  </si>
  <si>
    <t>sub-total</t>
  </si>
  <si>
    <t>ROAD TRANSPORTATION</t>
  </si>
  <si>
    <t>Retailer (MAHE&amp;PRASLIN)</t>
  </si>
  <si>
    <t>TOTAL for Gasoline</t>
  </si>
  <si>
    <t>VENTILATION OF GASOIL</t>
  </si>
  <si>
    <t>VENTILATION OF GASOLINE</t>
  </si>
  <si>
    <t>SUMMARY</t>
  </si>
  <si>
    <t>Consumer</t>
  </si>
  <si>
    <t>SEYBREW (Seychelles Breweries)</t>
  </si>
  <si>
    <t>Public services</t>
  </si>
  <si>
    <t>RESIDENTIAL SECTOR</t>
  </si>
  <si>
    <t>TOTAL for LPG</t>
  </si>
  <si>
    <t>VENTILATION OF JET A-1</t>
  </si>
  <si>
    <t>SPDF</t>
  </si>
  <si>
    <t>Air Seychelles (Domestic) + Helicopters</t>
  </si>
  <si>
    <t>AIR TRANSPORTATION</t>
  </si>
  <si>
    <t xml:space="preserve">Consumer (MAHE) </t>
  </si>
  <si>
    <t>VENTILATION OF KEROSENE</t>
  </si>
  <si>
    <t>Air Sey&amp;Helicopters</t>
  </si>
  <si>
    <t>VENTILATION OF HEAVY FUEL OIL</t>
  </si>
  <si>
    <t>ELECTRICITY GENERATION BY PUC</t>
  </si>
  <si>
    <t>SEYPEC Ventilation Rule of Thumb for LPG</t>
  </si>
  <si>
    <t>SEYPEC Ventilation Rule of Thumb for Gasoil</t>
  </si>
  <si>
    <t>Hotel Auto-producers</t>
  </si>
  <si>
    <t>…</t>
  </si>
  <si>
    <t>?? We don't know if some small quantities of gasoline</t>
  </si>
  <si>
    <t>is used in small fishermen boats</t>
  </si>
  <si>
    <t>These data are used by the Energy Balance sheet in the upper part</t>
  </si>
  <si>
    <t xml:space="preserve">Retailer (MAHE) </t>
  </si>
  <si>
    <t xml:space="preserve">Retailer (PRASLIN) </t>
  </si>
  <si>
    <t xml:space="preserve">Government/Public services </t>
  </si>
  <si>
    <t>TOTAL for Jet A-1</t>
  </si>
  <si>
    <t>TOTAL for HFO</t>
  </si>
  <si>
    <t>Renewable</t>
  </si>
  <si>
    <t>Auto-producers (LFO)</t>
  </si>
  <si>
    <t>On-grid Solar PV</t>
  </si>
  <si>
    <t>Off-grid Solar PV</t>
  </si>
  <si>
    <t>WIND FARM</t>
  </si>
  <si>
    <t>Density</t>
  </si>
  <si>
    <t>TOE/ton</t>
  </si>
  <si>
    <t>kg/L</t>
  </si>
  <si>
    <t>NCV</t>
  </si>
  <si>
    <t>GJ/kg</t>
  </si>
  <si>
    <t>ELECTRICITY STATISTICS</t>
  </si>
  <si>
    <t>1. ELECTRICITY GENERATION (PUC )</t>
  </si>
  <si>
    <t>L</t>
  </si>
  <si>
    <t>CF</t>
  </si>
  <si>
    <t>Full-Load Hours</t>
  </si>
  <si>
    <t>FLH:</t>
  </si>
  <si>
    <t>CF:</t>
  </si>
  <si>
    <t>Energy Generated</t>
  </si>
  <si>
    <t>Grid-Connected PV Plants</t>
  </si>
  <si>
    <t>Off-Grid PV Plants</t>
  </si>
  <si>
    <t>ELECTRICITY GENERATION MIX IN PUC</t>
  </si>
  <si>
    <t>Diesel- Heavy Fuel Oil</t>
  </si>
  <si>
    <t>Diesel- Light Fuel Oil</t>
  </si>
  <si>
    <t>Wind Farm</t>
  </si>
  <si>
    <t>Ile De Romainville &amp;</t>
  </si>
  <si>
    <t>Ile du Port</t>
  </si>
  <si>
    <t>Auto-Producer</t>
  </si>
  <si>
    <t>Industrial Sector</t>
  </si>
  <si>
    <t>Commercial Sector</t>
  </si>
  <si>
    <t>IDC (Island Developmt Co.)</t>
  </si>
  <si>
    <t>CCCS*</t>
  </si>
  <si>
    <t>* Central Common Cold Store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</si>
  <si>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</si>
  <si>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(a) the value of 3.5 kWh/L is based on average in hotels</t>
  </si>
  <si>
    <t>Prepaid</t>
  </si>
  <si>
    <t>Industrial &amp; Commercial HV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</si>
  <si>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</si>
  <si>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</si>
  <si>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Auto-Prod</t>
  </si>
  <si>
    <t xml:space="preserve">4. TOTAL ELECTRICITY CONSUMPTION BY SECTOR (FROM PUC &amp; AUTO-PRODUCERS) </t>
  </si>
  <si>
    <t>Statistical Difference in %</t>
  </si>
  <si>
    <t>Petroleum Fuel</t>
  </si>
  <si>
    <t>Biomass&amp;Heat</t>
  </si>
  <si>
    <t>Electricity Generation Mix</t>
  </si>
  <si>
    <t>PUC (HFO &amp; LFO)</t>
  </si>
  <si>
    <t>Share of Renewable in Elec Generation</t>
  </si>
  <si>
    <t>Shares of Sectors in FEC</t>
  </si>
  <si>
    <t>PRIMARY ENERGY CONSUMPTION  (PEC)</t>
  </si>
  <si>
    <t>FINAL ENERGY CONSUMPTION  (FEC)</t>
  </si>
  <si>
    <t>If Auto-producers are Not included</t>
  </si>
  <si>
    <t>If Auto-producers are Included</t>
  </si>
  <si>
    <t>SECTORIAL FINAL ENERGY CONSUMPTION</t>
  </si>
  <si>
    <t>On Mahe</t>
  </si>
  <si>
    <t>On Praslin</t>
  </si>
  <si>
    <t>On La Digue</t>
  </si>
  <si>
    <t>On Aldabra (SIF Research Centre)</t>
  </si>
  <si>
    <t>On Alphonse (IDC)</t>
  </si>
  <si>
    <t>On Curieuse (Environment Div)</t>
  </si>
  <si>
    <t>Annual Op. Hours</t>
  </si>
  <si>
    <t>Station Consumption</t>
  </si>
  <si>
    <t>Baie Ste Anne - Praslin</t>
  </si>
  <si>
    <t>Victoria C - Mahe</t>
  </si>
  <si>
    <t>Victoria B - Mahe</t>
  </si>
  <si>
    <t>Summary of Energy Flows by Island in GWh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</si>
  <si>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</si>
  <si>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LFO Savings due to RE on ML</t>
  </si>
  <si>
    <t>ML: million litres</t>
  </si>
  <si>
    <t>Column1</t>
  </si>
  <si>
    <t>2. ELECTRICITY SALES BY PUC</t>
  </si>
  <si>
    <t>3. ELECTRICITY GENERATION (AUTO-PRODUCERS )</t>
  </si>
  <si>
    <t>Total2</t>
  </si>
  <si>
    <t>Fuel  Density kg/L</t>
  </si>
  <si>
    <t>Source: SEYPEC</t>
  </si>
  <si>
    <t>Source: PUC Tariff review</t>
  </si>
  <si>
    <t>Conversion</t>
  </si>
  <si>
    <t>Factor</t>
  </si>
  <si>
    <t>NCV: Net Calorific Value</t>
  </si>
  <si>
    <t>Unit: TOE (Tonne of Oil Equivalent)</t>
  </si>
  <si>
    <t>In the Residential sector, the percentage of households cooking with biomass (wood or charcoal) has decreased from 1% to 0.5% between 2002 and 2010.</t>
  </si>
  <si>
    <t>Assuming that cooking a lunch or a dinner for a household requires 1 kg of fuel wood, and a breakfast requires 0.5 kg</t>
  </si>
  <si>
    <t>Assuming that cooking a lunch or a dinner for a household requires 0.5 kg of charcoal, and a breakfast requires 0.3 kg</t>
  </si>
  <si>
    <t xml:space="preserve">kg </t>
  </si>
  <si>
    <t>Year</t>
  </si>
  <si>
    <t>Population</t>
  </si>
  <si>
    <t>Households</t>
  </si>
  <si>
    <t>Average Household size</t>
  </si>
  <si>
    <t>ton</t>
  </si>
  <si>
    <t>Density of wood:</t>
  </si>
  <si>
    <t>0.5 g/cm3  or  0.5 ton/m3</t>
  </si>
  <si>
    <t>Net Calorific Value of wood: 0.233 TOE/m3</t>
  </si>
  <si>
    <t>Density of charcoal = 208 kg/m3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</si>
  <si>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</si>
  <si>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>TOE/hh.yr</t>
  </si>
  <si>
    <t>HH cooking with Wood 0.5%</t>
  </si>
  <si>
    <t>HH cooking with Charcoal 0.04%</t>
  </si>
  <si>
    <t>Density of Kerosene:</t>
  </si>
  <si>
    <t>0.784 kg/L</t>
  </si>
  <si>
    <t>L/hh.yr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</si>
  <si>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</si>
  <si>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kg/hh.yr</t>
  </si>
  <si>
    <t>HH cooking with kerosene 0.1%</t>
  </si>
  <si>
    <t>Consumption of Kerosene in TOE</t>
  </si>
  <si>
    <t>Consumption of Charcoal in TOE</t>
  </si>
  <si>
    <t>Consumption of Fuelwood in TOE</t>
  </si>
  <si>
    <t>Only 0.5% of households used fuelwood for cooking in 2010</t>
  </si>
  <si>
    <t>Only 0.04% of households used charcoal for cooking in 2010</t>
  </si>
  <si>
    <t>Model for Estimation of Consumption of Biomass and Kerosene in the Residential sector</t>
  </si>
  <si>
    <t>Energy for cooking</t>
  </si>
  <si>
    <t>Estimation of Solar Heat Use in the Residential sector</t>
  </si>
  <si>
    <t>Solar collector size:</t>
  </si>
  <si>
    <t>Storage tank size:</t>
  </si>
  <si>
    <t>Average temperature of cold water from the mains:</t>
  </si>
  <si>
    <t>specific heat of water</t>
  </si>
  <si>
    <t>Q = m.Cp.(T2-T1)</t>
  </si>
  <si>
    <t xml:space="preserve">Heat required annually to assure each day the availability of this hot water </t>
  </si>
  <si>
    <t>HH: household</t>
  </si>
  <si>
    <t>SWH: solar water heater</t>
  </si>
  <si>
    <t>HH using a SWH 16.7%</t>
  </si>
  <si>
    <t>TOE/yr.swh</t>
  </si>
  <si>
    <t>kJ/day.swh</t>
  </si>
  <si>
    <t>GJ/yr.swh</t>
  </si>
  <si>
    <t>Maximum temperature of hot water reached in the evening:</t>
  </si>
  <si>
    <t>Heat required to heat this amount of water to 43 C</t>
  </si>
  <si>
    <t>Maximum amount of heat required annually for 1 solar water heater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</si>
  <si>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</si>
  <si>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</si>
  <si>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</si>
  <si>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</si>
  <si>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Solar Heat in TOE</t>
  </si>
  <si>
    <t>In practice, due to the fluctuations of solar radiation, for some days the temperature is lower in the range of 32-40C</t>
  </si>
  <si>
    <t>In 2010, the total number of households was 24,770, based on the sample above there would be in the whole country roughly 4141 SWH</t>
  </si>
  <si>
    <t>In 2010, in 9953 households surveyed, 1664 households were equipped with a solar water heater, which represents 16.7% of households</t>
  </si>
  <si>
    <t>From past experience this is the maximum temperature which may reach in some extremely sunny days in Seychelles after mixing well the hot water</t>
  </si>
  <si>
    <t>Cp = 4.182</t>
  </si>
  <si>
    <t>kJ/kg.K</t>
  </si>
  <si>
    <t>Breakdown of Primar Energy Cons</t>
  </si>
  <si>
    <t>Breakdown of Final Energy Consum</t>
  </si>
  <si>
    <t>Electricity from HFO &amp; LFO</t>
  </si>
  <si>
    <t>Electricity from renewable</t>
  </si>
  <si>
    <t>GDP</t>
  </si>
  <si>
    <t>Per Capita PEC in TOE</t>
  </si>
  <si>
    <t xml:space="preserve">Million SCR, 2006 market price </t>
  </si>
  <si>
    <t>Primary energy Intensity</t>
  </si>
  <si>
    <t>Fuelwood &amp; Charcoal</t>
  </si>
  <si>
    <t>Airport/SCAA</t>
  </si>
  <si>
    <t>La Digue</t>
  </si>
  <si>
    <t>Fossile Fuel</t>
  </si>
  <si>
    <t>Renewable Energy</t>
  </si>
  <si>
    <t>FOSSILE FUEL SOURCES</t>
  </si>
  <si>
    <t>RENEWABLE ENERGY SOURCES</t>
  </si>
  <si>
    <t>YEAR:            2020</t>
  </si>
  <si>
    <t>NATIONAL ENERGY BALANCE FOR 2020</t>
  </si>
  <si>
    <t>Industrial &amp; Commercial C1 &amp; C2</t>
  </si>
  <si>
    <t>Year: 2020</t>
  </si>
  <si>
    <t>Grand Total</t>
  </si>
  <si>
    <t>SEPEC SUPPLY AND SALES FOR 2020</t>
  </si>
  <si>
    <t>All in Metric Ton and from 01/01/20 to 31/12/20.</t>
  </si>
  <si>
    <t>For 2019</t>
  </si>
  <si>
    <t>For 2020</t>
  </si>
  <si>
    <t>Cons</t>
  </si>
  <si>
    <t>Manuf</t>
  </si>
  <si>
    <t>Consumer (Sundry consumers/ Car hire)</t>
  </si>
  <si>
    <t>VENTILATION OF LPG   MT</t>
  </si>
  <si>
    <t>Yr2020</t>
  </si>
  <si>
    <t>Yr2019</t>
  </si>
  <si>
    <t>Yr 2020</t>
  </si>
  <si>
    <t>Yr 2019</t>
  </si>
  <si>
    <t>L/kWh</t>
  </si>
  <si>
    <t>MT/GWh</t>
  </si>
  <si>
    <t>SFC for LFO or gasoil</t>
  </si>
  <si>
    <t>Efficiency</t>
  </si>
  <si>
    <t>%</t>
  </si>
  <si>
    <t>Other islands</t>
  </si>
  <si>
    <t>Structure of Primary Energy Consumption in 2020</t>
  </si>
  <si>
    <t>Structure of Final Energy Consumption in 2020</t>
  </si>
  <si>
    <t>1.12 bn US$ in 2020</t>
  </si>
  <si>
    <t>SUMMARY FOR 2020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</si>
</sst>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0_);_(* \(#,##0.0000\);_(* &quot;-&quot;??_);_(@_)"/>
    <numFmt numFmtId="167" formatCode="_(* #,##0.0_);_(* \(#,##0.0\);_(* &quot;-&quot;??_);_(@_)"/>
    <numFmt numFmtId="168" formatCode="_(* #,##0.000_);_(* \(#,##0.000\);_(* &quot;-&quot;??_);_(@_)"/>
    <numFmt numFmtId="169" formatCode="0.000%"/>
    <numFmt numFmtId="170" formatCode="0_)"/>
    <numFmt numFmtId="171" formatCode="#,##0_ ;\-#,##0\ "/>
    <numFmt numFmtId="172" formatCode="0.000"/>
    <numFmt numFmtId="173" formatCode="#,##0.0"/>
    <numFmt numFmtId="174" formatCode="_-* #,##0_-;\-* #,##0_-;_-* &quot;-&quot;??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Maiandra GD"/>
      <family val="2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  <xf numFmtId="0" fontId="1" fillId="0" borderId="0"/>
  </cellStyleXfs>
  <cellXfs count="9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43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0" fillId="7" borderId="0" xfId="0" applyFill="1"/>
    <xf numFmtId="0" fontId="0" fillId="8" borderId="6" xfId="0" applyFill="1" applyBorder="1"/>
    <xf numFmtId="0" fontId="0" fillId="8" borderId="0" xfId="0" applyFill="1" applyBorder="1"/>
    <xf numFmtId="0" fontId="0" fillId="0" borderId="5" xfId="0" applyBorder="1"/>
    <xf numFmtId="0" fontId="2" fillId="0" borderId="7" xfId="0" applyFont="1" applyBorder="1"/>
    <xf numFmtId="0" fontId="0" fillId="0" borderId="0" xfId="0" applyFont="1"/>
    <xf numFmtId="0" fontId="0" fillId="0" borderId="0" xfId="0" applyBorder="1"/>
    <xf numFmtId="43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7" fontId="0" fillId="0" borderId="0" xfId="0" applyNumberFormat="1" applyBorder="1"/>
    <xf numFmtId="0" fontId="0" fillId="2" borderId="15" xfId="0" applyFill="1" applyBorder="1"/>
    <xf numFmtId="167" fontId="0" fillId="0" borderId="8" xfId="2" applyNumberFormat="1" applyFont="1" applyBorder="1"/>
    <xf numFmtId="0" fontId="0" fillId="2" borderId="8" xfId="0" applyFill="1" applyBorder="1"/>
    <xf numFmtId="167" fontId="0" fillId="2" borderId="8" xfId="0" applyNumberFormat="1" applyFill="1" applyBorder="1"/>
    <xf numFmtId="167" fontId="2" fillId="12" borderId="8" xfId="2" applyNumberFormat="1" applyFont="1" applyFill="1" applyBorder="1"/>
    <xf numFmtId="0" fontId="0" fillId="2" borderId="19" xfId="0" applyFill="1" applyBorder="1"/>
    <xf numFmtId="167" fontId="0" fillId="0" borderId="0" xfId="2" applyNumberFormat="1" applyFont="1" applyBorder="1"/>
    <xf numFmtId="43" fontId="2" fillId="12" borderId="0" xfId="2" applyFont="1" applyFill="1" applyBorder="1"/>
    <xf numFmtId="0" fontId="0" fillId="2" borderId="0" xfId="0" applyFill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165" fontId="0" fillId="0" borderId="0" xfId="0" applyNumberFormat="1" applyBorder="1"/>
    <xf numFmtId="43" fontId="0" fillId="0" borderId="0" xfId="0" applyNumberFormat="1" applyBorder="1"/>
    <xf numFmtId="167" fontId="0" fillId="0" borderId="0" xfId="1" applyNumberFormat="1" applyFont="1" applyBorder="1"/>
    <xf numFmtId="167" fontId="2" fillId="12" borderId="0" xfId="2" applyNumberFormat="1" applyFont="1" applyFill="1" applyBorder="1"/>
    <xf numFmtId="43" fontId="0" fillId="11" borderId="0" xfId="0" applyNumberFormat="1" applyFill="1" applyBorder="1"/>
    <xf numFmtId="0" fontId="0" fillId="11" borderId="0" xfId="0" applyFill="1" applyBorder="1"/>
    <xf numFmtId="167" fontId="0" fillId="2" borderId="0" xfId="0" applyNumberFormat="1" applyFill="1" applyBorder="1"/>
    <xf numFmtId="167" fontId="0" fillId="0" borderId="18" xfId="0" applyNumberFormat="1" applyBorder="1"/>
    <xf numFmtId="167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 applyFill="1"/>
    <xf numFmtId="0" fontId="0" fillId="0" borderId="1" xfId="0" applyBorder="1" applyAlignment="1">
      <alignment horizontal="center"/>
    </xf>
    <xf numFmtId="0" fontId="0" fillId="11" borderId="0" xfId="0" applyFill="1"/>
    <xf numFmtId="164" fontId="0" fillId="0" borderId="1" xfId="1" applyNumberFormat="1" applyFont="1" applyBorder="1"/>
    <xf numFmtId="0" fontId="18" fillId="0" borderId="0" xfId="0" applyFont="1"/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 applyProtection="1">
      <alignment horizontal="left" vertical="center"/>
    </xf>
    <xf numFmtId="43" fontId="0" fillId="0" borderId="0" xfId="2" applyFont="1" applyBorder="1"/>
    <xf numFmtId="165" fontId="2" fillId="7" borderId="0" xfId="0" applyNumberFormat="1" applyFont="1" applyFill="1"/>
    <xf numFmtId="167" fontId="15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4" fontId="0" fillId="11" borderId="0" xfId="1" applyNumberFormat="1" applyFont="1" applyFill="1"/>
    <xf numFmtId="0" fontId="2" fillId="11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170" fontId="14" fillId="0" borderId="0" xfId="0" applyNumberFormat="1" applyFont="1" applyBorder="1"/>
    <xf numFmtId="0" fontId="3" fillId="0" borderId="0" xfId="0" applyFont="1"/>
    <xf numFmtId="165" fontId="8" fillId="0" borderId="0" xfId="2" applyNumberFormat="1" applyFont="1"/>
    <xf numFmtId="165" fontId="0" fillId="0" borderId="1" xfId="2" applyNumberFormat="1" applyFont="1" applyBorder="1"/>
    <xf numFmtId="165" fontId="2" fillId="0" borderId="1" xfId="0" applyNumberFormat="1" applyFont="1" applyBorder="1"/>
    <xf numFmtId="10" fontId="0" fillId="0" borderId="1" xfId="1" applyNumberFormat="1" applyFont="1" applyBorder="1"/>
    <xf numFmtId="169" fontId="0" fillId="0" borderId="1" xfId="1" applyNumberFormat="1" applyFont="1" applyBorder="1"/>
    <xf numFmtId="167" fontId="0" fillId="0" borderId="0" xfId="2" applyNumberFormat="1" applyFont="1"/>
    <xf numFmtId="0" fontId="15" fillId="0" borderId="0" xfId="0" applyFont="1"/>
    <xf numFmtId="0" fontId="9" fillId="0" borderId="0" xfId="0" applyFont="1"/>
    <xf numFmtId="0" fontId="19" fillId="0" borderId="0" xfId="0" applyFont="1"/>
    <xf numFmtId="0" fontId="11" fillId="0" borderId="0" xfId="0" applyFont="1"/>
    <xf numFmtId="0" fontId="20" fillId="16" borderId="0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horizontal="center" vertical="center" wrapText="1"/>
    </xf>
    <xf numFmtId="165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 applyBorder="1"/>
    <xf numFmtId="169" fontId="0" fillId="0" borderId="0" xfId="1" applyNumberFormat="1" applyFont="1"/>
    <xf numFmtId="0" fontId="23" fillId="0" borderId="1" xfId="0" applyFont="1" applyBorder="1" applyAlignment="1">
      <alignment horizontal="center"/>
    </xf>
    <xf numFmtId="165" fontId="0" fillId="11" borderId="0" xfId="2" applyNumberFormat="1" applyFont="1" applyFill="1" applyBorder="1"/>
    <xf numFmtId="165" fontId="0" fillId="11" borderId="0" xfId="0" applyNumberFormat="1" applyFill="1" applyBorder="1"/>
    <xf numFmtId="0" fontId="0" fillId="19" borderId="0" xfId="0" applyFill="1"/>
    <xf numFmtId="0" fontId="24" fillId="0" borderId="0" xfId="0" applyFont="1"/>
    <xf numFmtId="0" fontId="25" fillId="0" borderId="0" xfId="0" applyFont="1"/>
    <xf numFmtId="43" fontId="22" fillId="14" borderId="0" xfId="2" applyFont="1" applyFill="1" applyBorder="1"/>
    <xf numFmtId="43" fontId="22" fillId="14" borderId="8" xfId="2" applyFont="1" applyFill="1" applyBorder="1"/>
    <xf numFmtId="43" fontId="2" fillId="14" borderId="18" xfId="2" applyFont="1" applyFill="1" applyBorder="1"/>
    <xf numFmtId="43" fontId="2" fillId="14" borderId="17" xfId="2" applyFont="1" applyFill="1" applyBorder="1"/>
    <xf numFmtId="167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43" fontId="0" fillId="0" borderId="8" xfId="2" applyFont="1" applyBorder="1"/>
    <xf numFmtId="0" fontId="0" fillId="14" borderId="6" xfId="0" applyFill="1" applyBorder="1"/>
    <xf numFmtId="0" fontId="0" fillId="14" borderId="0" xfId="0" applyFill="1" applyBorder="1"/>
    <xf numFmtId="43" fontId="9" fillId="14" borderId="0" xfId="2" applyFont="1" applyFill="1" applyBorder="1"/>
    <xf numFmtId="43" fontId="9" fillId="0" borderId="0" xfId="2" applyFont="1" applyBorder="1"/>
    <xf numFmtId="43" fontId="9" fillId="0" borderId="8" xfId="2" applyFont="1" applyBorder="1"/>
    <xf numFmtId="43" fontId="25" fillId="0" borderId="0" xfId="2" applyFont="1" applyBorder="1"/>
    <xf numFmtId="43" fontId="26" fillId="0" borderId="0" xfId="2" applyFont="1" applyBorder="1"/>
    <xf numFmtId="43" fontId="25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43" fontId="0" fillId="0" borderId="5" xfId="2" applyFont="1" applyBorder="1"/>
    <xf numFmtId="43" fontId="9" fillId="14" borderId="5" xfId="2" applyFont="1" applyFill="1" applyBorder="1"/>
    <xf numFmtId="43" fontId="9" fillId="0" borderId="5" xfId="2" applyFont="1" applyBorder="1"/>
    <xf numFmtId="43" fontId="25" fillId="0" borderId="5" xfId="2" applyFont="1" applyBorder="1"/>
    <xf numFmtId="43" fontId="2" fillId="14" borderId="13" xfId="2" applyFont="1" applyFill="1" applyBorder="1"/>
    <xf numFmtId="43" fontId="26" fillId="0" borderId="5" xfId="2" applyFont="1" applyBorder="1"/>
    <xf numFmtId="43" fontId="22" fillId="14" borderId="5" xfId="2" applyFont="1" applyFill="1" applyBorder="1"/>
    <xf numFmtId="0" fontId="17" fillId="14" borderId="6" xfId="0" applyFont="1" applyFill="1" applyBorder="1"/>
    <xf numFmtId="170" fontId="1" fillId="14" borderId="8" xfId="0" applyNumberFormat="1" applyFont="1" applyFill="1" applyBorder="1" applyAlignment="1">
      <alignment vertical="center"/>
    </xf>
    <xf numFmtId="170" fontId="1" fillId="0" borderId="8" xfId="0" applyNumberFormat="1" applyFont="1" applyBorder="1" applyAlignment="1">
      <alignment vertical="center"/>
    </xf>
    <xf numFmtId="43" fontId="1" fillId="14" borderId="5" xfId="2" applyFont="1" applyFill="1" applyBorder="1"/>
    <xf numFmtId="43" fontId="1" fillId="14" borderId="0" xfId="2" applyFont="1" applyFill="1" applyBorder="1"/>
    <xf numFmtId="43" fontId="1" fillId="14" borderId="8" xfId="2" applyFont="1" applyFill="1" applyBorder="1"/>
    <xf numFmtId="43" fontId="1" fillId="0" borderId="5" xfId="2" applyFont="1" applyBorder="1"/>
    <xf numFmtId="43" fontId="1" fillId="0" borderId="0" xfId="2" applyFont="1" applyBorder="1"/>
    <xf numFmtId="43" fontId="1" fillId="0" borderId="8" xfId="2" applyFont="1" applyBorder="1"/>
    <xf numFmtId="165" fontId="16" fillId="14" borderId="5" xfId="2" applyNumberFormat="1" applyFont="1" applyFill="1" applyBorder="1" applyAlignment="1" applyProtection="1">
      <alignment vertical="center"/>
    </xf>
    <xf numFmtId="165" fontId="16" fillId="14" borderId="0" xfId="2" applyNumberFormat="1" applyFont="1" applyFill="1" applyBorder="1" applyAlignment="1">
      <alignment vertical="center"/>
    </xf>
    <xf numFmtId="165" fontId="16" fillId="14" borderId="5" xfId="2" applyNumberFormat="1" applyFont="1" applyFill="1" applyBorder="1" applyAlignment="1">
      <alignment vertical="center"/>
    </xf>
    <xf numFmtId="165" fontId="16" fillId="0" borderId="5" xfId="2" applyNumberFormat="1" applyFont="1" applyBorder="1" applyAlignment="1" applyProtection="1">
      <alignment vertical="center"/>
    </xf>
    <xf numFmtId="165" fontId="16" fillId="0" borderId="0" xfId="2" applyNumberFormat="1" applyFont="1" applyBorder="1" applyAlignment="1" applyProtection="1">
      <alignment vertical="center"/>
    </xf>
    <xf numFmtId="165" fontId="16" fillId="0" borderId="5" xfId="2" applyNumberFormat="1" applyFont="1" applyBorder="1" applyAlignment="1">
      <alignment vertical="center"/>
    </xf>
    <xf numFmtId="165" fontId="16" fillId="0" borderId="0" xfId="2" applyNumberFormat="1" applyFont="1" applyBorder="1" applyAlignment="1">
      <alignment vertical="center"/>
    </xf>
    <xf numFmtId="165" fontId="16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 applyBorder="1"/>
    <xf numFmtId="43" fontId="11" fillId="0" borderId="0" xfId="2" applyFont="1" applyBorder="1"/>
    <xf numFmtId="43" fontId="11" fillId="0" borderId="8" xfId="2" applyFont="1" applyBorder="1"/>
    <xf numFmtId="43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2" fillId="5" borderId="2" xfId="0" applyFont="1" applyFill="1" applyBorder="1"/>
    <xf numFmtId="43" fontId="11" fillId="8" borderId="5" xfId="2" applyFont="1" applyFill="1" applyBorder="1"/>
    <xf numFmtId="43" fontId="11" fillId="8" borderId="0" xfId="2" applyFont="1" applyFill="1" applyBorder="1"/>
    <xf numFmtId="43" fontId="11" fillId="8" borderId="8" xfId="2" applyFont="1" applyFill="1" applyBorder="1"/>
    <xf numFmtId="0" fontId="2" fillId="8" borderId="6" xfId="0" applyFont="1" applyFill="1" applyBorder="1"/>
    <xf numFmtId="0" fontId="2" fillId="8" borderId="0" xfId="0" applyFont="1" applyFill="1" applyBorder="1"/>
    <xf numFmtId="43" fontId="2" fillId="8" borderId="5" xfId="2" applyFont="1" applyFill="1" applyBorder="1"/>
    <xf numFmtId="43" fontId="2" fillId="8" borderId="0" xfId="2" applyFont="1" applyFill="1" applyBorder="1"/>
    <xf numFmtId="43" fontId="2" fillId="8" borderId="8" xfId="2" applyFont="1" applyFill="1" applyBorder="1"/>
    <xf numFmtId="43" fontId="0" fillId="8" borderId="5" xfId="2" applyFont="1" applyFill="1" applyBorder="1"/>
    <xf numFmtId="43" fontId="0" fillId="8" borderId="0" xfId="2" applyFont="1" applyFill="1" applyBorder="1"/>
    <xf numFmtId="43" fontId="0" fillId="8" borderId="8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43" fontId="2" fillId="8" borderId="13" xfId="2" applyFont="1" applyFill="1" applyBorder="1"/>
    <xf numFmtId="43" fontId="2" fillId="8" borderId="18" xfId="2" applyFont="1" applyFill="1" applyBorder="1"/>
    <xf numFmtId="43" fontId="2" fillId="8" borderId="17" xfId="2" applyFont="1" applyFill="1" applyBorder="1"/>
    <xf numFmtId="0" fontId="27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0" borderId="0" xfId="0" applyFont="1"/>
    <xf numFmtId="170" fontId="14" fillId="0" borderId="15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170" fontId="14" fillId="0" borderId="5" xfId="0" applyNumberFormat="1" applyFont="1" applyBorder="1"/>
    <xf numFmtId="170" fontId="14" fillId="0" borderId="2" xfId="0" applyNumberFormat="1" applyFont="1" applyBorder="1" applyAlignment="1">
      <alignment vertical="center"/>
    </xf>
    <xf numFmtId="170" fontId="14" fillId="0" borderId="4" xfId="0" applyNumberFormat="1" applyFont="1" applyBorder="1" applyAlignment="1">
      <alignment vertical="center"/>
    </xf>
    <xf numFmtId="170" fontId="0" fillId="0" borderId="8" xfId="0" applyNumberFormat="1" applyBorder="1"/>
    <xf numFmtId="170" fontId="14" fillId="0" borderId="2" xfId="0" applyNumberFormat="1" applyFont="1" applyBorder="1" applyAlignment="1" applyProtection="1">
      <alignment horizontal="left" vertical="center"/>
    </xf>
    <xf numFmtId="170" fontId="14" fillId="0" borderId="14" xfId="0" applyNumberFormat="1" applyFont="1" applyBorder="1" applyAlignment="1">
      <alignment vertical="center"/>
    </xf>
    <xf numFmtId="170" fontId="14" fillId="0" borderId="6" xfId="0" applyNumberFormat="1" applyFont="1" applyBorder="1"/>
    <xf numFmtId="170" fontId="14" fillId="0" borderId="8" xfId="0" applyNumberFormat="1" applyFont="1" applyBorder="1"/>
    <xf numFmtId="170" fontId="14" fillId="0" borderId="6" xfId="0" applyNumberFormat="1" applyFont="1" applyBorder="1" applyAlignment="1">
      <alignment vertical="center"/>
    </xf>
    <xf numFmtId="170" fontId="14" fillId="0" borderId="8" xfId="0" applyNumberFormat="1" applyFont="1" applyBorder="1" applyAlignment="1">
      <alignment vertical="center"/>
    </xf>
    <xf numFmtId="170" fontId="14" fillId="0" borderId="16" xfId="0" applyNumberFormat="1" applyFont="1" applyBorder="1" applyAlignment="1">
      <alignment vertical="center"/>
    </xf>
    <xf numFmtId="170" fontId="16" fillId="0" borderId="1" xfId="0" applyNumberFormat="1" applyFont="1" applyBorder="1" applyAlignment="1" applyProtection="1">
      <alignment horizontal="center" vertical="center"/>
    </xf>
    <xf numFmtId="170" fontId="16" fillId="0" borderId="3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 applyProtection="1">
      <alignment horizontal="left" vertical="center"/>
    </xf>
    <xf numFmtId="170" fontId="16" fillId="0" borderId="4" xfId="0" applyNumberFormat="1" applyFont="1" applyBorder="1" applyAlignment="1" applyProtection="1">
      <alignment horizontal="center" vertical="center"/>
    </xf>
    <xf numFmtId="165" fontId="16" fillId="0" borderId="1" xfId="2" applyNumberFormat="1" applyFont="1" applyBorder="1" applyAlignment="1" applyProtection="1">
      <alignment vertical="center"/>
    </xf>
    <xf numFmtId="165" fontId="16" fillId="0" borderId="3" xfId="2" applyNumberFormat="1" applyFont="1" applyBorder="1" applyAlignment="1" applyProtection="1">
      <alignment vertical="center"/>
    </xf>
    <xf numFmtId="165" fontId="16" fillId="0" borderId="4" xfId="2" applyNumberFormat="1" applyFont="1" applyBorder="1" applyAlignment="1" applyProtection="1">
      <alignment vertical="center"/>
    </xf>
    <xf numFmtId="170" fontId="16" fillId="0" borderId="5" xfId="0" applyNumberFormat="1" applyFont="1" applyBorder="1" applyAlignment="1">
      <alignment vertical="center"/>
    </xf>
    <xf numFmtId="170" fontId="16" fillId="0" borderId="0" xfId="0" applyNumberFormat="1" applyFont="1" applyBorder="1" applyAlignment="1">
      <alignment vertical="center"/>
    </xf>
    <xf numFmtId="43" fontId="16" fillId="0" borderId="1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43" fontId="16" fillId="0" borderId="4" xfId="2" applyFont="1" applyBorder="1" applyAlignment="1">
      <alignment vertical="center"/>
    </xf>
    <xf numFmtId="165" fontId="11" fillId="0" borderId="0" xfId="2" applyNumberFormat="1" applyFont="1"/>
    <xf numFmtId="9" fontId="11" fillId="0" borderId="0" xfId="1" applyFont="1"/>
    <xf numFmtId="0" fontId="0" fillId="13" borderId="0" xfId="0" applyFill="1"/>
    <xf numFmtId="0" fontId="23" fillId="13" borderId="0" xfId="0" applyFont="1" applyFill="1"/>
    <xf numFmtId="0" fontId="11" fillId="13" borderId="0" xfId="0" applyFont="1" applyFill="1"/>
    <xf numFmtId="165" fontId="11" fillId="13" borderId="0" xfId="2" applyNumberFormat="1" applyFont="1" applyFill="1"/>
    <xf numFmtId="165" fontId="11" fillId="13" borderId="18" xfId="2" applyNumberFormat="1" applyFont="1" applyFill="1" applyBorder="1"/>
    <xf numFmtId="165" fontId="23" fillId="13" borderId="0" xfId="2" applyNumberFormat="1" applyFont="1" applyFill="1"/>
    <xf numFmtId="0" fontId="23" fillId="13" borderId="0" xfId="0" applyFont="1" applyFill="1" applyAlignment="1">
      <alignment horizontal="center"/>
    </xf>
    <xf numFmtId="0" fontId="0" fillId="20" borderId="0" xfId="0" applyFill="1"/>
    <xf numFmtId="0" fontId="23" fillId="20" borderId="0" xfId="0" applyFont="1" applyFill="1"/>
    <xf numFmtId="0" fontId="11" fillId="20" borderId="0" xfId="0" applyFont="1" applyFill="1"/>
    <xf numFmtId="165" fontId="11" fillId="20" borderId="0" xfId="2" applyNumberFormat="1" applyFont="1" applyFill="1"/>
    <xf numFmtId="165" fontId="11" fillId="20" borderId="18" xfId="2" applyNumberFormat="1" applyFont="1" applyFill="1" applyBorder="1"/>
    <xf numFmtId="165" fontId="23" fillId="20" borderId="0" xfId="2" applyNumberFormat="1" applyFont="1" applyFill="1"/>
    <xf numFmtId="0" fontId="23" fillId="7" borderId="0" xfId="0" applyFont="1" applyFill="1"/>
    <xf numFmtId="0" fontId="11" fillId="7" borderId="0" xfId="0" applyFont="1" applyFill="1"/>
    <xf numFmtId="165" fontId="11" fillId="7" borderId="0" xfId="2" applyNumberFormat="1" applyFont="1" applyFill="1"/>
    <xf numFmtId="165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5" fontId="23" fillId="7" borderId="0" xfId="0" applyNumberFormat="1" applyFont="1" applyFill="1"/>
    <xf numFmtId="165" fontId="23" fillId="7" borderId="0" xfId="2" applyNumberFormat="1" applyFont="1" applyFill="1"/>
    <xf numFmtId="0" fontId="23" fillId="7" borderId="0" xfId="0" applyFont="1" applyFill="1" applyAlignment="1">
      <alignment horizontal="right"/>
    </xf>
    <xf numFmtId="165" fontId="23" fillId="7" borderId="20" xfId="0" applyNumberFormat="1" applyFont="1" applyFill="1" applyBorder="1"/>
    <xf numFmtId="0" fontId="23" fillId="7" borderId="0" xfId="0" applyFont="1" applyFill="1" applyAlignment="1">
      <alignment horizontal="center"/>
    </xf>
    <xf numFmtId="43" fontId="11" fillId="20" borderId="0" xfId="2" applyFont="1" applyFill="1"/>
    <xf numFmtId="0" fontId="30" fillId="5" borderId="1" xfId="0" applyFont="1" applyFill="1" applyBorder="1" applyAlignment="1">
      <alignment horizontal="center"/>
    </xf>
    <xf numFmtId="0" fontId="23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5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5" fontId="11" fillId="21" borderId="18" xfId="2" applyNumberFormat="1" applyFont="1" applyFill="1" applyBorder="1"/>
    <xf numFmtId="164" fontId="11" fillId="21" borderId="18" xfId="1" applyNumberFormat="1" applyFont="1" applyFill="1" applyBorder="1"/>
    <xf numFmtId="165" fontId="23" fillId="21" borderId="0" xfId="0" applyNumberFormat="1" applyFont="1" applyFill="1"/>
    <xf numFmtId="9" fontId="23" fillId="21" borderId="0" xfId="1" applyFont="1" applyFill="1"/>
    <xf numFmtId="0" fontId="23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5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5" fontId="11" fillId="22" borderId="18" xfId="2" applyNumberFormat="1" applyFont="1" applyFill="1" applyBorder="1"/>
    <xf numFmtId="9" fontId="11" fillId="22" borderId="18" xfId="1" applyFont="1" applyFill="1" applyBorder="1"/>
    <xf numFmtId="165" fontId="23" fillId="22" borderId="0" xfId="0" applyNumberFormat="1" applyFont="1" applyFill="1"/>
    <xf numFmtId="9" fontId="23" fillId="22" borderId="0" xfId="1" applyFont="1" applyFill="1"/>
    <xf numFmtId="0" fontId="23" fillId="12" borderId="0" xfId="0" applyFont="1" applyFill="1"/>
    <xf numFmtId="0" fontId="23" fillId="12" borderId="0" xfId="0" applyFont="1" applyFill="1" applyAlignment="1">
      <alignment horizontal="center"/>
    </xf>
    <xf numFmtId="0" fontId="11" fillId="12" borderId="0" xfId="0" applyFont="1" applyFill="1"/>
    <xf numFmtId="165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5" fontId="11" fillId="12" borderId="0" xfId="2" applyNumberFormat="1" applyFont="1" applyFill="1" applyBorder="1"/>
    <xf numFmtId="9" fontId="11" fillId="12" borderId="18" xfId="1" applyFont="1" applyFill="1" applyBorder="1"/>
    <xf numFmtId="0" fontId="11" fillId="12" borderId="0" xfId="0" applyFont="1" applyFill="1" applyAlignment="1">
      <alignment horizontal="right"/>
    </xf>
    <xf numFmtId="165" fontId="23" fillId="12" borderId="20" xfId="0" applyNumberFormat="1" applyFont="1" applyFill="1" applyBorder="1"/>
    <xf numFmtId="0" fontId="0" fillId="15" borderId="0" xfId="0" applyFill="1"/>
    <xf numFmtId="0" fontId="23" fillId="15" borderId="0" xfId="0" applyFont="1" applyFill="1" applyAlignment="1">
      <alignment horizontal="center"/>
    </xf>
    <xf numFmtId="0" fontId="23" fillId="15" borderId="0" xfId="0" applyFont="1" applyFill="1"/>
    <xf numFmtId="0" fontId="11" fillId="15" borderId="0" xfId="0" applyFont="1" applyFill="1"/>
    <xf numFmtId="165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5" fontId="23" fillId="15" borderId="0" xfId="0" applyNumberFormat="1" applyFont="1" applyFill="1"/>
    <xf numFmtId="9" fontId="23" fillId="15" borderId="0" xfId="1" applyFont="1" applyFill="1"/>
    <xf numFmtId="0" fontId="0" fillId="23" borderId="0" xfId="0" applyFill="1"/>
    <xf numFmtId="0" fontId="23" fillId="23" borderId="0" xfId="0" applyFont="1" applyFill="1"/>
    <xf numFmtId="0" fontId="11" fillId="23" borderId="0" xfId="0" applyFont="1" applyFill="1"/>
    <xf numFmtId="165" fontId="11" fillId="23" borderId="0" xfId="2" applyNumberFormat="1" applyFont="1" applyFill="1"/>
    <xf numFmtId="165" fontId="11" fillId="23" borderId="18" xfId="2" applyNumberFormat="1" applyFont="1" applyFill="1" applyBorder="1"/>
    <xf numFmtId="165" fontId="23" fillId="23" borderId="0" xfId="0" applyNumberFormat="1" applyFont="1" applyFill="1"/>
    <xf numFmtId="0" fontId="23" fillId="3" borderId="0" xfId="0" applyFont="1" applyFill="1"/>
    <xf numFmtId="0" fontId="11" fillId="3" borderId="0" xfId="0" applyFont="1" applyFill="1"/>
    <xf numFmtId="165" fontId="11" fillId="3" borderId="0" xfId="2" applyNumberFormat="1" applyFont="1" applyFill="1"/>
    <xf numFmtId="165" fontId="11" fillId="3" borderId="18" xfId="2" applyNumberFormat="1" applyFont="1" applyFill="1" applyBorder="1"/>
    <xf numFmtId="165" fontId="11" fillId="3" borderId="0" xfId="0" applyNumberFormat="1" applyFont="1" applyFill="1"/>
    <xf numFmtId="165" fontId="23" fillId="3" borderId="0" xfId="0" applyNumberFormat="1" applyFont="1" applyFill="1"/>
    <xf numFmtId="165" fontId="23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3" fillId="23" borderId="0" xfId="1" applyFont="1" applyFill="1"/>
    <xf numFmtId="0" fontId="23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3" fillId="19" borderId="18" xfId="0" applyFont="1" applyFill="1" applyBorder="1"/>
    <xf numFmtId="9" fontId="23" fillId="19" borderId="0" xfId="1" applyFont="1" applyFill="1"/>
    <xf numFmtId="9" fontId="23" fillId="19" borderId="18" xfId="1" applyFont="1" applyFill="1" applyBorder="1"/>
    <xf numFmtId="0" fontId="31" fillId="25" borderId="0" xfId="0" applyFont="1" applyFill="1" applyAlignment="1"/>
    <xf numFmtId="0" fontId="19" fillId="25" borderId="0" xfId="0" applyFont="1" applyFill="1" applyAlignment="1"/>
    <xf numFmtId="0" fontId="23" fillId="25" borderId="0" xfId="0" applyFont="1" applyFill="1"/>
    <xf numFmtId="9" fontId="23" fillId="25" borderId="0" xfId="1" applyFont="1" applyFill="1"/>
    <xf numFmtId="9" fontId="23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3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 applyBorder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5" fontId="11" fillId="15" borderId="0" xfId="2" applyNumberFormat="1" applyFont="1" applyFill="1" applyBorder="1"/>
    <xf numFmtId="167" fontId="0" fillId="0" borderId="0" xfId="0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167" fontId="9" fillId="0" borderId="0" xfId="2" applyNumberFormat="1" applyFont="1" applyFill="1" applyBorder="1" applyAlignment="1">
      <alignment horizontal="center"/>
    </xf>
    <xf numFmtId="167" fontId="2" fillId="0" borderId="8" xfId="2" applyNumberFormat="1" applyFont="1" applyBorder="1"/>
    <xf numFmtId="167" fontId="2" fillId="11" borderId="8" xfId="2" applyNumberFormat="1" applyFont="1" applyFill="1" applyBorder="1"/>
    <xf numFmtId="10" fontId="3" fillId="0" borderId="1" xfId="1" applyNumberFormat="1" applyFont="1" applyBorder="1"/>
    <xf numFmtId="165" fontId="2" fillId="0" borderId="0" xfId="0" applyNumberFormat="1" applyFont="1" applyBorder="1"/>
    <xf numFmtId="0" fontId="19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0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NumberFormat="1" applyFont="1" applyFill="1" applyBorder="1"/>
    <xf numFmtId="0" fontId="19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2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0" borderId="0" xfId="0" applyFont="1"/>
    <xf numFmtId="165" fontId="11" fillId="0" borderId="0" xfId="0" applyNumberFormat="1" applyFont="1"/>
    <xf numFmtId="165" fontId="23" fillId="0" borderId="0" xfId="0" applyNumberFormat="1" applyFont="1"/>
    <xf numFmtId="0" fontId="23" fillId="0" borderId="1" xfId="0" applyFont="1" applyBorder="1"/>
    <xf numFmtId="0" fontId="11" fillId="11" borderId="1" xfId="0" applyFont="1" applyFill="1" applyBorder="1"/>
    <xf numFmtId="164" fontId="11" fillId="11" borderId="1" xfId="1" applyNumberFormat="1" applyFont="1" applyFill="1" applyBorder="1"/>
    <xf numFmtId="164" fontId="23" fillId="11" borderId="1" xfId="1" applyNumberFormat="1" applyFont="1" applyFill="1" applyBorder="1"/>
    <xf numFmtId="3" fontId="34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43" fontId="11" fillId="0" borderId="1" xfId="2" applyFont="1" applyBorder="1" applyAlignment="1">
      <alignment horizontal="left"/>
    </xf>
    <xf numFmtId="43" fontId="11" fillId="0" borderId="1" xfId="2" applyFont="1" applyBorder="1"/>
    <xf numFmtId="43" fontId="11" fillId="0" borderId="1" xfId="0" applyNumberFormat="1" applyFont="1" applyBorder="1"/>
    <xf numFmtId="3" fontId="34" fillId="0" borderId="0" xfId="0" applyNumberFormat="1" applyFont="1" applyBorder="1" applyAlignment="1">
      <alignment horizontal="left" wrapText="1"/>
    </xf>
    <xf numFmtId="43" fontId="11" fillId="0" borderId="0" xfId="0" applyNumberFormat="1" applyFont="1"/>
    <xf numFmtId="43" fontId="11" fillId="0" borderId="1" xfId="2" applyFont="1" applyBorder="1" applyAlignment="1">
      <alignment horizontal="center"/>
    </xf>
    <xf numFmtId="164" fontId="11" fillId="0" borderId="1" xfId="1" applyNumberFormat="1" applyFont="1" applyBorder="1"/>
    <xf numFmtId="3" fontId="35" fillId="0" borderId="1" xfId="0" applyNumberFormat="1" applyFont="1" applyBorder="1" applyAlignment="1">
      <alignment horizontal="left" wrapText="1"/>
    </xf>
    <xf numFmtId="3" fontId="35" fillId="0" borderId="13" xfId="0" applyNumberFormat="1" applyFont="1" applyBorder="1" applyAlignment="1">
      <alignment horizontal="left" wrapText="1"/>
    </xf>
    <xf numFmtId="0" fontId="11" fillId="11" borderId="0" xfId="0" applyFont="1" applyFill="1" applyBorder="1"/>
    <xf numFmtId="0" fontId="3" fillId="11" borderId="0" xfId="0" applyFont="1" applyFill="1"/>
    <xf numFmtId="0" fontId="11" fillId="0" borderId="0" xfId="0" applyFont="1" applyAlignment="1">
      <alignment horizontal="right"/>
    </xf>
    <xf numFmtId="167" fontId="11" fillId="11" borderId="1" xfId="2" applyNumberFormat="1" applyFont="1" applyFill="1" applyBorder="1"/>
    <xf numFmtId="167" fontId="11" fillId="0" borderId="1" xfId="2" applyNumberFormat="1" applyFont="1" applyBorder="1" applyAlignment="1">
      <alignment horizontal="left"/>
    </xf>
    <xf numFmtId="167" fontId="11" fillId="0" borderId="1" xfId="2" applyNumberFormat="1" applyFont="1" applyBorder="1"/>
    <xf numFmtId="0" fontId="23" fillId="11" borderId="0" xfId="0" applyFont="1" applyFill="1" applyBorder="1" applyAlignment="1"/>
    <xf numFmtId="0" fontId="23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 applyBorder="1"/>
    <xf numFmtId="0" fontId="11" fillId="0" borderId="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1" fillId="0" borderId="0" xfId="0" applyFont="1" applyBorder="1"/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3" fillId="0" borderId="4" xfId="0" applyFont="1" applyBorder="1" applyAlignment="1">
      <alignment horizontal="center"/>
    </xf>
    <xf numFmtId="0" fontId="11" fillId="0" borderId="2" xfId="0" applyFont="1" applyFill="1" applyBorder="1"/>
    <xf numFmtId="0" fontId="11" fillId="0" borderId="4" xfId="0" applyFont="1" applyBorder="1" applyAlignment="1">
      <alignment horizontal="center"/>
    </xf>
    <xf numFmtId="0" fontId="25" fillId="0" borderId="0" xfId="0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" fillId="6" borderId="14" xfId="0" applyFont="1" applyFill="1" applyBorder="1"/>
    <xf numFmtId="167" fontId="0" fillId="6" borderId="19" xfId="2" applyNumberFormat="1" applyFont="1" applyFill="1" applyBorder="1"/>
    <xf numFmtId="43" fontId="0" fillId="6" borderId="19" xfId="0" applyNumberFormat="1" applyFill="1" applyBorder="1"/>
    <xf numFmtId="167" fontId="2" fillId="6" borderId="15" xfId="0" applyNumberFormat="1" applyFont="1" applyFill="1" applyBorder="1"/>
    <xf numFmtId="0" fontId="2" fillId="0" borderId="6" xfId="0" applyFont="1" applyBorder="1"/>
    <xf numFmtId="167" fontId="2" fillId="0" borderId="8" xfId="0" applyNumberFormat="1" applyFont="1" applyBorder="1"/>
    <xf numFmtId="0" fontId="2" fillId="6" borderId="16" xfId="0" applyFont="1" applyFill="1" applyBorder="1"/>
    <xf numFmtId="167" fontId="0" fillId="6" borderId="18" xfId="2" applyNumberFormat="1" applyFont="1" applyFill="1" applyBorder="1"/>
    <xf numFmtId="43" fontId="0" fillId="6" borderId="18" xfId="0" applyNumberFormat="1" applyFill="1" applyBorder="1"/>
    <xf numFmtId="167" fontId="2" fillId="6" borderId="17" xfId="0" applyNumberFormat="1" applyFont="1" applyFill="1" applyBorder="1"/>
    <xf numFmtId="167" fontId="23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7" fontId="0" fillId="0" borderId="6" xfId="0" applyNumberFormat="1" applyFont="1" applyBorder="1"/>
    <xf numFmtId="165" fontId="0" fillId="0" borderId="6" xfId="2" applyNumberFormat="1" applyFont="1" applyBorder="1"/>
    <xf numFmtId="167" fontId="2" fillId="12" borderId="6" xfId="2" applyNumberFormat="1" applyFont="1" applyFill="1" applyBorder="1"/>
    <xf numFmtId="167" fontId="0" fillId="0" borderId="16" xfId="0" applyNumberFormat="1" applyBorder="1"/>
    <xf numFmtId="167" fontId="0" fillId="0" borderId="17" xfId="0" applyNumberFormat="1" applyBorder="1"/>
    <xf numFmtId="9" fontId="0" fillId="0" borderId="0" xfId="1" applyFont="1" applyBorder="1"/>
    <xf numFmtId="43" fontId="41" fillId="9" borderId="14" xfId="0" applyNumberFormat="1" applyFont="1" applyFill="1" applyBorder="1"/>
    <xf numFmtId="10" fontId="2" fillId="9" borderId="19" xfId="1" applyNumberFormat="1" applyFont="1" applyFill="1" applyBorder="1"/>
    <xf numFmtId="43" fontId="0" fillId="9" borderId="6" xfId="0" applyNumberFormat="1" applyFill="1" applyBorder="1"/>
    <xf numFmtId="10" fontId="2" fillId="9" borderId="0" xfId="1" applyNumberFormat="1" applyFont="1" applyFill="1" applyBorder="1"/>
    <xf numFmtId="164" fontId="0" fillId="9" borderId="8" xfId="1" applyNumberFormat="1" applyFont="1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8" xfId="0" applyFill="1" applyBorder="1"/>
    <xf numFmtId="165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7" fontId="9" fillId="0" borderId="0" xfId="2" applyNumberFormat="1" applyFont="1" applyBorder="1"/>
    <xf numFmtId="9" fontId="9" fillId="0" borderId="3" xfId="1" applyFont="1" applyBorder="1"/>
    <xf numFmtId="164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NumberFormat="1" applyFont="1" applyFill="1" applyBorder="1"/>
    <xf numFmtId="9" fontId="2" fillId="24" borderId="17" xfId="1" applyNumberFormat="1" applyFont="1" applyFill="1" applyBorder="1"/>
    <xf numFmtId="165" fontId="0" fillId="9" borderId="0" xfId="1" applyNumberFormat="1" applyFont="1" applyFill="1" applyBorder="1"/>
    <xf numFmtId="165" fontId="0" fillId="9" borderId="18" xfId="0" applyNumberFormat="1" applyFill="1" applyBorder="1"/>
    <xf numFmtId="164" fontId="0" fillId="9" borderId="17" xfId="1" applyNumberFormat="1" applyFont="1" applyFill="1" applyBorder="1"/>
    <xf numFmtId="9" fontId="0" fillId="9" borderId="17" xfId="1" applyFont="1" applyFill="1" applyBorder="1"/>
    <xf numFmtId="165" fontId="0" fillId="9" borderId="18" xfId="1" applyNumberFormat="1" applyFont="1" applyFill="1" applyBorder="1"/>
    <xf numFmtId="165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4" fontId="2" fillId="9" borderId="8" xfId="1" applyNumberFormat="1" applyFont="1" applyFill="1" applyBorder="1"/>
    <xf numFmtId="164" fontId="2" fillId="9" borderId="17" xfId="1" applyNumberFormat="1" applyFont="1" applyFill="1" applyBorder="1"/>
    <xf numFmtId="0" fontId="0" fillId="20" borderId="6" xfId="0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5" fontId="2" fillId="11" borderId="1" xfId="0" applyNumberFormat="1" applyFont="1" applyFill="1" applyBorder="1"/>
    <xf numFmtId="164" fontId="2" fillId="11" borderId="1" xfId="1" applyNumberFormat="1" applyFont="1" applyFill="1" applyBorder="1"/>
    <xf numFmtId="165" fontId="0" fillId="11" borderId="1" xfId="2" applyNumberFormat="1" applyFont="1" applyFill="1" applyBorder="1"/>
    <xf numFmtId="165" fontId="2" fillId="11" borderId="1" xfId="2" applyNumberFormat="1" applyFont="1" applyFill="1" applyBorder="1"/>
    <xf numFmtId="165" fontId="1" fillId="11" borderId="1" xfId="2" applyNumberFormat="1" applyFont="1" applyFill="1" applyBorder="1"/>
    <xf numFmtId="164" fontId="1" fillId="11" borderId="1" xfId="1" applyNumberFormat="1" applyFont="1" applyFill="1" applyBorder="1"/>
    <xf numFmtId="10" fontId="1" fillId="11" borderId="1" xfId="1" applyNumberFormat="1" applyFont="1" applyFill="1" applyBorder="1"/>
    <xf numFmtId="169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5" fontId="17" fillId="11" borderId="1" xfId="2" applyNumberFormat="1" applyFont="1" applyFill="1" applyBorder="1"/>
    <xf numFmtId="164" fontId="17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2" fillId="0" borderId="0" xfId="0" applyFont="1" applyBorder="1"/>
    <xf numFmtId="171" fontId="42" fillId="0" borderId="0" xfId="2" applyNumberFormat="1" applyFont="1" applyBorder="1" applyAlignment="1">
      <alignment horizontal="center" vertical="center"/>
    </xf>
    <xf numFmtId="165" fontId="25" fillId="0" borderId="0" xfId="2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0" fontId="33" fillId="0" borderId="0" xfId="0" applyFont="1" applyBorder="1"/>
    <xf numFmtId="0" fontId="11" fillId="0" borderId="1" xfId="0" applyFont="1" applyBorder="1"/>
    <xf numFmtId="167" fontId="0" fillId="0" borderId="19" xfId="0" applyNumberFormat="1" applyBorder="1"/>
    <xf numFmtId="167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43" fontId="11" fillId="27" borderId="0" xfId="0" applyNumberFormat="1" applyFont="1" applyFill="1" applyBorder="1"/>
    <xf numFmtId="43" fontId="11" fillId="27" borderId="8" xfId="0" applyNumberFormat="1" applyFont="1" applyFill="1" applyBorder="1"/>
    <xf numFmtId="43" fontId="11" fillId="27" borderId="18" xfId="0" applyNumberFormat="1" applyFont="1" applyFill="1" applyBorder="1"/>
    <xf numFmtId="43" fontId="11" fillId="27" borderId="17" xfId="0" applyNumberFormat="1" applyFont="1" applyFill="1" applyBorder="1"/>
    <xf numFmtId="165" fontId="11" fillId="27" borderId="6" xfId="2" applyNumberFormat="1" applyFont="1" applyFill="1" applyBorder="1"/>
    <xf numFmtId="0" fontId="11" fillId="27" borderId="0" xfId="0" applyFont="1" applyFill="1" applyBorder="1"/>
    <xf numFmtId="43" fontId="23" fillId="27" borderId="8" xfId="0" applyNumberFormat="1" applyFont="1" applyFill="1" applyBorder="1"/>
    <xf numFmtId="167" fontId="11" fillId="27" borderId="0" xfId="0" applyNumberFormat="1" applyFont="1" applyFill="1" applyBorder="1"/>
    <xf numFmtId="167" fontId="11" fillId="27" borderId="8" xfId="0" applyNumberFormat="1" applyFont="1" applyFill="1" applyBorder="1"/>
    <xf numFmtId="167" fontId="11" fillId="27" borderId="18" xfId="0" applyNumberFormat="1" applyFont="1" applyFill="1" applyBorder="1"/>
    <xf numFmtId="167" fontId="11" fillId="27" borderId="17" xfId="0" applyNumberFormat="1" applyFont="1" applyFill="1" applyBorder="1"/>
    <xf numFmtId="167" fontId="23" fillId="27" borderId="8" xfId="0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165" fontId="11" fillId="27" borderId="16" xfId="2" applyNumberFormat="1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0" fontId="11" fillId="27" borderId="16" xfId="0" applyFont="1" applyFill="1" applyBorder="1"/>
    <xf numFmtId="43" fontId="11" fillId="27" borderId="16" xfId="2" applyFont="1" applyFill="1" applyBorder="1"/>
    <xf numFmtId="165" fontId="11" fillId="27" borderId="17" xfId="0" applyNumberFormat="1" applyFont="1" applyFill="1" applyBorder="1" applyAlignment="1">
      <alignment horizontal="center"/>
    </xf>
    <xf numFmtId="43" fontId="11" fillId="4" borderId="8" xfId="0" applyNumberFormat="1" applyFont="1" applyFill="1" applyBorder="1"/>
    <xf numFmtId="167" fontId="11" fillId="4" borderId="8" xfId="0" applyNumberFormat="1" applyFont="1" applyFill="1" applyBorder="1"/>
    <xf numFmtId="167" fontId="11" fillId="4" borderId="17" xfId="0" applyNumberFormat="1" applyFont="1" applyFill="1" applyBorder="1"/>
    <xf numFmtId="165" fontId="23" fillId="4" borderId="9" xfId="0" applyNumberFormat="1" applyFont="1" applyFill="1" applyBorder="1"/>
    <xf numFmtId="167" fontId="23" fillId="4" borderId="10" xfId="0" applyNumberFormat="1" applyFont="1" applyFill="1" applyBorder="1"/>
    <xf numFmtId="167" fontId="23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43" fontId="11" fillId="15" borderId="0" xfId="2" applyNumberFormat="1" applyFont="1" applyFill="1" applyBorder="1"/>
    <xf numFmtId="43" fontId="11" fillId="15" borderId="8" xfId="0" applyNumberFormat="1" applyFont="1" applyFill="1" applyBorder="1"/>
    <xf numFmtId="43" fontId="11" fillId="15" borderId="18" xfId="2" applyNumberFormat="1" applyFont="1" applyFill="1" applyBorder="1"/>
    <xf numFmtId="43" fontId="11" fillId="15" borderId="17" xfId="0" applyNumberFormat="1" applyFont="1" applyFill="1" applyBorder="1"/>
    <xf numFmtId="165" fontId="23" fillId="15" borderId="6" xfId="0" applyNumberFormat="1" applyFont="1" applyFill="1" applyBorder="1"/>
    <xf numFmtId="43" fontId="23" fillId="15" borderId="0" xfId="0" applyNumberFormat="1" applyFont="1" applyFill="1" applyBorder="1"/>
    <xf numFmtId="43" fontId="23" fillId="15" borderId="8" xfId="0" applyNumberFormat="1" applyFont="1" applyFill="1" applyBorder="1"/>
    <xf numFmtId="167" fontId="11" fillId="15" borderId="0" xfId="2" applyNumberFormat="1" applyFont="1" applyFill="1" applyBorder="1"/>
    <xf numFmtId="167" fontId="11" fillId="15" borderId="8" xfId="0" applyNumberFormat="1" applyFont="1" applyFill="1" applyBorder="1"/>
    <xf numFmtId="167" fontId="11" fillId="15" borderId="18" xfId="2" applyNumberFormat="1" applyFont="1" applyFill="1" applyBorder="1"/>
    <xf numFmtId="167" fontId="11" fillId="15" borderId="17" xfId="0" applyNumberFormat="1" applyFont="1" applyFill="1" applyBorder="1"/>
    <xf numFmtId="167" fontId="23" fillId="15" borderId="0" xfId="0" applyNumberFormat="1" applyFont="1" applyFill="1" applyBorder="1"/>
    <xf numFmtId="167" fontId="23" fillId="15" borderId="8" xfId="0" applyNumberFormat="1" applyFont="1" applyFill="1" applyBorder="1"/>
    <xf numFmtId="167" fontId="23" fillId="15" borderId="10" xfId="0" applyNumberFormat="1" applyFont="1" applyFill="1" applyBorder="1"/>
    <xf numFmtId="167" fontId="23" fillId="15" borderId="11" xfId="0" applyNumberFormat="1" applyFont="1" applyFill="1" applyBorder="1"/>
    <xf numFmtId="165" fontId="11" fillId="15" borderId="16" xfId="2" applyNumberFormat="1" applyFont="1" applyFill="1" applyBorder="1"/>
    <xf numFmtId="0" fontId="11" fillId="15" borderId="6" xfId="0" applyFont="1" applyFill="1" applyBorder="1"/>
    <xf numFmtId="168" fontId="11" fillId="15" borderId="0" xfId="0" applyNumberFormat="1" applyFont="1" applyFill="1" applyBorder="1"/>
    <xf numFmtId="168" fontId="11" fillId="15" borderId="18" xfId="0" applyNumberFormat="1" applyFont="1" applyFill="1" applyBorder="1"/>
    <xf numFmtId="165" fontId="23" fillId="15" borderId="16" xfId="0" applyNumberFormat="1" applyFont="1" applyFill="1" applyBorder="1"/>
    <xf numFmtId="168" fontId="23" fillId="15" borderId="16" xfId="2" applyNumberFormat="1" applyFont="1" applyFill="1" applyBorder="1"/>
    <xf numFmtId="43" fontId="23" fillId="15" borderId="13" xfId="2" applyFont="1" applyFill="1" applyBorder="1"/>
    <xf numFmtId="43" fontId="11" fillId="15" borderId="0" xfId="0" applyNumberFormat="1" applyFont="1" applyFill="1" applyBorder="1" applyAlignment="1">
      <alignment horizontal="center"/>
    </xf>
    <xf numFmtId="165" fontId="11" fillId="15" borderId="0" xfId="0" applyNumberFormat="1" applyFont="1" applyFill="1" applyBorder="1" applyAlignment="1">
      <alignment horizontal="center"/>
    </xf>
    <xf numFmtId="165" fontId="11" fillId="15" borderId="18" xfId="0" applyNumberFormat="1" applyFont="1" applyFill="1" applyBorder="1" applyAlignment="1">
      <alignment horizontal="center"/>
    </xf>
    <xf numFmtId="3" fontId="37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Border="1" applyAlignment="1">
      <alignment horizontal="center"/>
    </xf>
    <xf numFmtId="166" fontId="11" fillId="24" borderId="0" xfId="2" applyNumberFormat="1" applyFont="1" applyFill="1" applyBorder="1"/>
    <xf numFmtId="43" fontId="11" fillId="24" borderId="0" xfId="2" applyFont="1" applyFill="1" applyBorder="1"/>
    <xf numFmtId="164" fontId="11" fillId="24" borderId="0" xfId="1" applyNumberFormat="1" applyFont="1" applyFill="1" applyBorder="1"/>
    <xf numFmtId="166" fontId="11" fillId="24" borderId="18" xfId="2" applyNumberFormat="1" applyFont="1" applyFill="1" applyBorder="1"/>
    <xf numFmtId="43" fontId="11" fillId="24" borderId="18" xfId="2" applyFont="1" applyFill="1" applyBorder="1"/>
    <xf numFmtId="164" fontId="11" fillId="24" borderId="18" xfId="1" applyNumberFormat="1" applyFont="1" applyFill="1" applyBorder="1"/>
    <xf numFmtId="0" fontId="11" fillId="24" borderId="10" xfId="0" applyFont="1" applyFill="1" applyBorder="1"/>
    <xf numFmtId="164" fontId="23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4" fontId="11" fillId="24" borderId="16" xfId="1" applyNumberFormat="1" applyFont="1" applyFill="1" applyBorder="1" applyAlignment="1">
      <alignment horizontal="center"/>
    </xf>
    <xf numFmtId="167" fontId="11" fillId="24" borderId="18" xfId="0" applyNumberFormat="1" applyFont="1" applyFill="1" applyBorder="1" applyAlignment="1">
      <alignment horizontal="center"/>
    </xf>
    <xf numFmtId="164" fontId="11" fillId="24" borderId="0" xfId="1" applyNumberFormat="1" applyFont="1" applyFill="1" applyBorder="1" applyAlignment="1">
      <alignment horizontal="center"/>
    </xf>
    <xf numFmtId="167" fontId="11" fillId="24" borderId="0" xfId="0" applyNumberFormat="1" applyFont="1" applyFill="1" applyBorder="1" applyAlignment="1"/>
    <xf numFmtId="164" fontId="23" fillId="24" borderId="0" xfId="1" applyNumberFormat="1" applyFont="1" applyFill="1" applyBorder="1" applyAlignment="1">
      <alignment horizontal="center"/>
    </xf>
    <xf numFmtId="167" fontId="23" fillId="24" borderId="0" xfId="0" applyNumberFormat="1" applyFont="1" applyFill="1" applyBorder="1" applyAlignment="1"/>
    <xf numFmtId="0" fontId="23" fillId="24" borderId="8" xfId="0" applyFont="1" applyFill="1" applyBorder="1" applyAlignment="1">
      <alignment horizontal="center"/>
    </xf>
    <xf numFmtId="167" fontId="11" fillId="24" borderId="0" xfId="0" applyNumberFormat="1" applyFont="1" applyFill="1" applyBorder="1"/>
    <xf numFmtId="0" fontId="11" fillId="24" borderId="15" xfId="0" applyFont="1" applyFill="1" applyBorder="1" applyAlignment="1">
      <alignment horizontal="center"/>
    </xf>
    <xf numFmtId="164" fontId="11" fillId="24" borderId="8" xfId="1" applyNumberFormat="1" applyFont="1" applyFill="1" applyBorder="1" applyAlignment="1">
      <alignment horizontal="center"/>
    </xf>
    <xf numFmtId="164" fontId="11" fillId="24" borderId="17" xfId="1" applyNumberFormat="1" applyFont="1" applyFill="1" applyBorder="1" applyAlignment="1">
      <alignment horizontal="center"/>
    </xf>
    <xf numFmtId="166" fontId="11" fillId="24" borderId="16" xfId="2" applyNumberFormat="1" applyFont="1" applyFill="1" applyBorder="1"/>
    <xf numFmtId="164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8" xfId="0" applyFont="1" applyFill="1" applyBorder="1"/>
    <xf numFmtId="0" fontId="11" fillId="26" borderId="17" xfId="0" applyFont="1" applyFill="1" applyBorder="1"/>
    <xf numFmtId="165" fontId="11" fillId="26" borderId="6" xfId="2" applyNumberFormat="1" applyFont="1" applyFill="1" applyBorder="1"/>
    <xf numFmtId="43" fontId="11" fillId="26" borderId="0" xfId="0" applyNumberFormat="1" applyFont="1" applyFill="1" applyBorder="1"/>
    <xf numFmtId="43" fontId="11" fillId="26" borderId="8" xfId="0" applyNumberFormat="1" applyFont="1" applyFill="1" applyBorder="1"/>
    <xf numFmtId="167" fontId="11" fillId="26" borderId="0" xfId="0" applyNumberFormat="1" applyFont="1" applyFill="1" applyBorder="1"/>
    <xf numFmtId="167" fontId="11" fillId="26" borderId="8" xfId="0" applyNumberFormat="1" applyFont="1" applyFill="1" applyBorder="1"/>
    <xf numFmtId="167" fontId="23" fillId="26" borderId="10" xfId="0" applyNumberFormat="1" applyFont="1" applyFill="1" applyBorder="1"/>
    <xf numFmtId="167" fontId="23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43" fontId="11" fillId="26" borderId="18" xfId="0" applyNumberFormat="1" applyFont="1" applyFill="1" applyBorder="1"/>
    <xf numFmtId="43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43" fontId="11" fillId="26" borderId="8" xfId="0" applyNumberFormat="1" applyFont="1" applyFill="1" applyBorder="1" applyAlignment="1">
      <alignment horizontal="center"/>
    </xf>
    <xf numFmtId="165" fontId="23" fillId="26" borderId="1" xfId="2" applyNumberFormat="1" applyFont="1" applyFill="1" applyBorder="1"/>
    <xf numFmtId="165" fontId="11" fillId="27" borderId="0" xfId="2" applyNumberFormat="1" applyFont="1" applyFill="1" applyBorder="1" applyAlignment="1">
      <alignment horizontal="center"/>
    </xf>
    <xf numFmtId="167" fontId="11" fillId="27" borderId="0" xfId="2" applyNumberFormat="1" applyFont="1" applyFill="1" applyBorder="1" applyAlignment="1">
      <alignment horizontal="center"/>
    </xf>
    <xf numFmtId="167" fontId="11" fillId="27" borderId="8" xfId="0" applyNumberFormat="1" applyFont="1" applyFill="1" applyBorder="1" applyAlignment="1">
      <alignment horizontal="center"/>
    </xf>
    <xf numFmtId="165" fontId="11" fillId="27" borderId="18" xfId="2" applyNumberFormat="1" applyFont="1" applyFill="1" applyBorder="1" applyAlignment="1">
      <alignment horizontal="center"/>
    </xf>
    <xf numFmtId="167" fontId="11" fillId="27" borderId="18" xfId="2" applyNumberFormat="1" applyFont="1" applyFill="1" applyBorder="1" applyAlignment="1">
      <alignment horizontal="center"/>
    </xf>
    <xf numFmtId="167" fontId="11" fillId="27" borderId="17" xfId="0" applyNumberFormat="1" applyFont="1" applyFill="1" applyBorder="1" applyAlignment="1">
      <alignment horizontal="center"/>
    </xf>
    <xf numFmtId="3" fontId="37" fillId="27" borderId="18" xfId="0" applyNumberFormat="1" applyFont="1" applyFill="1" applyBorder="1" applyAlignment="1">
      <alignment vertical="center"/>
    </xf>
    <xf numFmtId="165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43" fontId="11" fillId="0" borderId="1" xfId="2" applyNumberFormat="1" applyFont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5" fontId="11" fillId="4" borderId="6" xfId="0" applyNumberFormat="1" applyFont="1" applyFill="1" applyBorder="1"/>
    <xf numFmtId="43" fontId="11" fillId="4" borderId="0" xfId="0" applyNumberFormat="1" applyFont="1" applyFill="1" applyBorder="1"/>
    <xf numFmtId="167" fontId="11" fillId="4" borderId="0" xfId="0" applyNumberFormat="1" applyFont="1" applyFill="1" applyBorder="1"/>
    <xf numFmtId="165" fontId="11" fillId="4" borderId="16" xfId="0" applyNumberFormat="1" applyFont="1" applyFill="1" applyBorder="1"/>
    <xf numFmtId="167" fontId="11" fillId="4" borderId="18" xfId="0" applyNumberFormat="1" applyFont="1" applyFill="1" applyBorder="1"/>
    <xf numFmtId="165" fontId="11" fillId="4" borderId="0" xfId="0" applyNumberFormat="1" applyFont="1" applyFill="1" applyBorder="1"/>
    <xf numFmtId="165" fontId="23" fillId="4" borderId="2" xfId="0" applyNumberFormat="1" applyFont="1" applyFill="1" applyBorder="1"/>
    <xf numFmtId="167" fontId="23" fillId="4" borderId="3" xfId="0" applyNumberFormat="1" applyFont="1" applyFill="1" applyBorder="1"/>
    <xf numFmtId="167" fontId="23" fillId="4" borderId="4" xfId="0" applyNumberFormat="1" applyFont="1" applyFill="1" applyBorder="1"/>
    <xf numFmtId="43" fontId="11" fillId="4" borderId="0" xfId="0" applyNumberFormat="1" applyFont="1" applyFill="1" applyBorder="1" applyAlignment="1">
      <alignment horizontal="center"/>
    </xf>
    <xf numFmtId="43" fontId="11" fillId="4" borderId="8" xfId="0" applyNumberFormat="1" applyFont="1" applyFill="1" applyBorder="1" applyAlignment="1">
      <alignment horizontal="center"/>
    </xf>
    <xf numFmtId="165" fontId="23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2" fontId="11" fillId="28" borderId="1" xfId="0" applyNumberFormat="1" applyFont="1" applyFill="1" applyBorder="1"/>
    <xf numFmtId="0" fontId="39" fillId="28" borderId="14" xfId="3" applyFont="1" applyFill="1" applyBorder="1"/>
    <xf numFmtId="0" fontId="0" fillId="28" borderId="19" xfId="0" applyFill="1" applyBorder="1"/>
    <xf numFmtId="0" fontId="39" fillId="28" borderId="6" xfId="3" applyFont="1" applyFill="1" applyBorder="1"/>
    <xf numFmtId="0" fontId="0" fillId="28" borderId="0" xfId="0" applyFill="1" applyBorder="1"/>
    <xf numFmtId="0" fontId="39" fillId="28" borderId="16" xfId="3" applyFont="1" applyFill="1" applyBorder="1"/>
    <xf numFmtId="0" fontId="0" fillId="28" borderId="18" xfId="0" applyFill="1" applyBorder="1"/>
    <xf numFmtId="0" fontId="40" fillId="28" borderId="16" xfId="3" applyFont="1" applyFill="1" applyBorder="1" applyAlignment="1">
      <alignment horizontal="right"/>
    </xf>
    <xf numFmtId="165" fontId="2" fillId="28" borderId="1" xfId="0" applyNumberFormat="1" applyFont="1" applyFill="1" applyBorder="1"/>
    <xf numFmtId="0" fontId="0" fillId="28" borderId="14" xfId="0" applyFill="1" applyBorder="1"/>
    <xf numFmtId="0" fontId="18" fillId="28" borderId="19" xfId="0" applyFont="1" applyFill="1" applyBorder="1" applyAlignment="1">
      <alignment horizontal="center"/>
    </xf>
    <xf numFmtId="0" fontId="18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5" fontId="0" fillId="28" borderId="0" xfId="0" applyNumberFormat="1" applyFill="1" applyBorder="1"/>
    <xf numFmtId="43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43" fontId="0" fillId="28" borderId="17" xfId="0" applyNumberFormat="1" applyFill="1" applyBorder="1"/>
    <xf numFmtId="165" fontId="0" fillId="28" borderId="15" xfId="0" applyNumberFormat="1" applyFill="1" applyBorder="1"/>
    <xf numFmtId="0" fontId="0" fillId="28" borderId="4" xfId="0" applyFill="1" applyBorder="1"/>
    <xf numFmtId="165" fontId="0" fillId="28" borderId="17" xfId="0" applyNumberFormat="1" applyFill="1" applyBorder="1"/>
    <xf numFmtId="0" fontId="7" fillId="18" borderId="2" xfId="0" applyFont="1" applyFill="1" applyBorder="1" applyAlignment="1"/>
    <xf numFmtId="0" fontId="19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5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6" fillId="0" borderId="0" xfId="0" applyFont="1"/>
    <xf numFmtId="0" fontId="16" fillId="0" borderId="18" xfId="0" applyFont="1" applyBorder="1"/>
    <xf numFmtId="0" fontId="16" fillId="0" borderId="6" xfId="0" applyFont="1" applyBorder="1"/>
    <xf numFmtId="0" fontId="16" fillId="0" borderId="0" xfId="0" applyFont="1" applyBorder="1"/>
    <xf numFmtId="0" fontId="16" fillId="0" borderId="0" xfId="0" quotePrefix="1" applyFont="1" applyBorder="1"/>
    <xf numFmtId="165" fontId="16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6" fillId="0" borderId="0" xfId="0" applyNumberFormat="1" applyFont="1" applyBorder="1"/>
    <xf numFmtId="0" fontId="11" fillId="0" borderId="8" xfId="0" applyFont="1" applyBorder="1"/>
    <xf numFmtId="0" fontId="16" fillId="0" borderId="8" xfId="0" applyFont="1" applyBorder="1"/>
    <xf numFmtId="0" fontId="8" fillId="3" borderId="5" xfId="0" applyFont="1" applyFill="1" applyBorder="1" applyAlignment="1">
      <alignment horizontal="center"/>
    </xf>
    <xf numFmtId="3" fontId="16" fillId="15" borderId="5" xfId="0" applyNumberFormat="1" applyFont="1" applyFill="1" applyBorder="1" applyAlignment="1">
      <alignment horizontal="center"/>
    </xf>
    <xf numFmtId="173" fontId="37" fillId="15" borderId="5" xfId="0" applyNumberFormat="1" applyFont="1" applyFill="1" applyBorder="1" applyAlignment="1">
      <alignment horizontal="center"/>
    </xf>
    <xf numFmtId="0" fontId="23" fillId="15" borderId="1" xfId="0" applyFont="1" applyFill="1" applyBorder="1" applyAlignment="1">
      <alignment horizontal="center" vertical="center" wrapText="1"/>
    </xf>
    <xf numFmtId="3" fontId="44" fillId="15" borderId="5" xfId="0" applyNumberFormat="1" applyFont="1" applyFill="1" applyBorder="1" applyAlignment="1">
      <alignment horizontal="center"/>
    </xf>
    <xf numFmtId="3" fontId="37" fillId="15" borderId="5" xfId="0" applyNumberFormat="1" applyFont="1" applyFill="1" applyBorder="1" applyAlignment="1">
      <alignment horizontal="center"/>
    </xf>
    <xf numFmtId="3" fontId="45" fillId="15" borderId="5" xfId="0" applyNumberFormat="1" applyFont="1" applyFill="1" applyBorder="1" applyAlignment="1">
      <alignment horizontal="center"/>
    </xf>
    <xf numFmtId="173" fontId="16" fillId="15" borderId="5" xfId="0" applyNumberFormat="1" applyFont="1" applyFill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/>
    <xf numFmtId="43" fontId="16" fillId="0" borderId="18" xfId="0" applyNumberFormat="1" applyFont="1" applyBorder="1"/>
    <xf numFmtId="0" fontId="21" fillId="0" borderId="0" xfId="0" applyFont="1" applyBorder="1"/>
    <xf numFmtId="0" fontId="23" fillId="0" borderId="0" xfId="0" applyFont="1" applyBorder="1"/>
    <xf numFmtId="0" fontId="37" fillId="0" borderId="4" xfId="0" applyFont="1" applyBorder="1"/>
    <xf numFmtId="165" fontId="16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7" fontId="0" fillId="22" borderId="7" xfId="0" applyNumberFormat="1" applyFill="1" applyBorder="1" applyAlignment="1">
      <alignment horizontal="center"/>
    </xf>
    <xf numFmtId="167" fontId="0" fillId="22" borderId="5" xfId="0" applyNumberFormat="1" applyFill="1" applyBorder="1" applyAlignment="1">
      <alignment horizontal="center"/>
    </xf>
    <xf numFmtId="165" fontId="0" fillId="14" borderId="7" xfId="2" applyNumberFormat="1" applyFont="1" applyFill="1" applyBorder="1"/>
    <xf numFmtId="165" fontId="0" fillId="14" borderId="5" xfId="2" applyNumberFormat="1" applyFont="1" applyFill="1" applyBorder="1"/>
    <xf numFmtId="167" fontId="0" fillId="14" borderId="7" xfId="2" applyNumberFormat="1" applyFont="1" applyFill="1" applyBorder="1"/>
    <xf numFmtId="167" fontId="0" fillId="14" borderId="5" xfId="2" applyNumberFormat="1" applyFont="1" applyFill="1" applyBorder="1"/>
    <xf numFmtId="0" fontId="18" fillId="22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0" borderId="4" xfId="0" applyFont="1" applyBorder="1"/>
    <xf numFmtId="0" fontId="18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43" fontId="0" fillId="8" borderId="7" xfId="0" applyNumberFormat="1" applyFill="1" applyBorder="1"/>
    <xf numFmtId="1" fontId="0" fillId="8" borderId="5" xfId="0" applyNumberFormat="1" applyFill="1" applyBorder="1"/>
    <xf numFmtId="43" fontId="0" fillId="8" borderId="5" xfId="0" applyNumberFormat="1" applyFill="1" applyBorder="1"/>
    <xf numFmtId="43" fontId="37" fillId="5" borderId="2" xfId="2" applyFont="1" applyFill="1" applyBorder="1"/>
    <xf numFmtId="43" fontId="23" fillId="5" borderId="2" xfId="2" applyFont="1" applyFill="1" applyBorder="1"/>
    <xf numFmtId="165" fontId="11" fillId="6" borderId="6" xfId="2" applyNumberFormat="1" applyFont="1" applyFill="1" applyBorder="1"/>
    <xf numFmtId="164" fontId="11" fillId="6" borderId="8" xfId="1" applyNumberFormat="1" applyFont="1" applyFill="1" applyBorder="1"/>
    <xf numFmtId="165" fontId="11" fillId="18" borderId="6" xfId="2" applyNumberFormat="1" applyFont="1" applyFill="1" applyBorder="1"/>
    <xf numFmtId="164" fontId="11" fillId="18" borderId="8" xfId="1" applyNumberFormat="1" applyFont="1" applyFill="1" applyBorder="1"/>
    <xf numFmtId="165" fontId="11" fillId="6" borderId="16" xfId="2" applyNumberFormat="1" applyFont="1" applyFill="1" applyBorder="1"/>
    <xf numFmtId="164" fontId="11" fillId="6" borderId="17" xfId="1" applyNumberFormat="1" applyFont="1" applyFill="1" applyBorder="1"/>
    <xf numFmtId="165" fontId="23" fillId="6" borderId="16" xfId="2" applyNumberFormat="1" applyFont="1" applyFill="1" applyBorder="1"/>
    <xf numFmtId="164" fontId="23" fillId="6" borderId="17" xfId="1" applyNumberFormat="1" applyFont="1" applyFill="1" applyBorder="1"/>
    <xf numFmtId="165" fontId="11" fillId="17" borderId="6" xfId="2" applyNumberFormat="1" applyFont="1" applyFill="1" applyBorder="1"/>
    <xf numFmtId="164" fontId="11" fillId="17" borderId="8" xfId="1" applyNumberFormat="1" applyFont="1" applyFill="1" applyBorder="1"/>
    <xf numFmtId="165" fontId="23" fillId="18" borderId="6" xfId="2" applyNumberFormat="1" applyFont="1" applyFill="1" applyBorder="1"/>
    <xf numFmtId="10" fontId="11" fillId="18" borderId="8" xfId="1" applyNumberFormat="1" applyFont="1" applyFill="1" applyBorder="1"/>
    <xf numFmtId="165" fontId="11" fillId="17" borderId="16" xfId="2" applyNumberFormat="1" applyFont="1" applyFill="1" applyBorder="1"/>
    <xf numFmtId="164" fontId="11" fillId="17" borderId="17" xfId="1" applyNumberFormat="1" applyFont="1" applyFill="1" applyBorder="1"/>
    <xf numFmtId="165" fontId="23" fillId="17" borderId="16" xfId="2" applyNumberFormat="1" applyFont="1" applyFill="1" applyBorder="1"/>
    <xf numFmtId="164" fontId="23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3" fillId="0" borderId="13" xfId="0" applyFont="1" applyBorder="1"/>
    <xf numFmtId="0" fontId="18" fillId="0" borderId="1" xfId="0" applyFont="1" applyBorder="1"/>
    <xf numFmtId="0" fontId="31" fillId="0" borderId="0" xfId="0" applyFont="1"/>
    <xf numFmtId="0" fontId="46" fillId="0" borderId="0" xfId="0" applyFont="1"/>
    <xf numFmtId="43" fontId="11" fillId="0" borderId="0" xfId="2" applyFont="1"/>
    <xf numFmtId="43" fontId="23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167" fontId="0" fillId="9" borderId="0" xfId="0" applyNumberFormat="1" applyFill="1" applyBorder="1"/>
    <xf numFmtId="0" fontId="18" fillId="29" borderId="1" xfId="0" applyFont="1" applyFill="1" applyBorder="1" applyAlignment="1">
      <alignment horizontal="center" vertical="center" wrapText="1"/>
    </xf>
    <xf numFmtId="165" fontId="0" fillId="29" borderId="7" xfId="2" applyNumberFormat="1" applyFont="1" applyFill="1" applyBorder="1"/>
    <xf numFmtId="165" fontId="0" fillId="29" borderId="5" xfId="2" applyNumberFormat="1" applyFont="1" applyFill="1" applyBorder="1"/>
    <xf numFmtId="10" fontId="0" fillId="9" borderId="17" xfId="1" applyNumberFormat="1" applyFont="1" applyFill="1" applyBorder="1"/>
    <xf numFmtId="10" fontId="0" fillId="9" borderId="8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43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 applyBorder="1"/>
    <xf numFmtId="165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43" fontId="0" fillId="27" borderId="17" xfId="2" applyFont="1" applyFill="1" applyBorder="1"/>
    <xf numFmtId="0" fontId="0" fillId="2" borderId="14" xfId="0" applyFill="1" applyBorder="1"/>
    <xf numFmtId="43" fontId="0" fillId="0" borderId="6" xfId="0" applyNumberFormat="1" applyBorder="1"/>
    <xf numFmtId="167" fontId="0" fillId="0" borderId="6" xfId="2" applyNumberFormat="1" applyFont="1" applyBorder="1"/>
    <xf numFmtId="167" fontId="0" fillId="11" borderId="6" xfId="2" applyNumberFormat="1" applyFont="1" applyFill="1" applyBorder="1"/>
    <xf numFmtId="43" fontId="0" fillId="0" borderId="6" xfId="2" applyFont="1" applyBorder="1"/>
    <xf numFmtId="0" fontId="0" fillId="2" borderId="6" xfId="0" applyFill="1" applyBorder="1"/>
    <xf numFmtId="43" fontId="2" fillId="12" borderId="6" xfId="2" applyFont="1" applyFill="1" applyBorder="1"/>
    <xf numFmtId="167" fontId="0" fillId="2" borderId="6" xfId="0" applyNumberFormat="1" applyFill="1" applyBorder="1"/>
    <xf numFmtId="0" fontId="47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7" fillId="0" borderId="0" xfId="0" applyFont="1"/>
    <xf numFmtId="167" fontId="0" fillId="0" borderId="0" xfId="0" applyNumberFormat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43" fontId="11" fillId="27" borderId="14" xfId="2" applyFont="1" applyFill="1" applyBorder="1"/>
    <xf numFmtId="165" fontId="11" fillId="15" borderId="14" xfId="0" applyNumberFormat="1" applyFont="1" applyFill="1" applyBorder="1"/>
    <xf numFmtId="168" fontId="11" fillId="15" borderId="19" xfId="2" applyNumberFormat="1" applyFont="1" applyFill="1" applyBorder="1"/>
    <xf numFmtId="43" fontId="11" fillId="15" borderId="15" xfId="2" applyNumberFormat="1" applyFont="1" applyFill="1" applyBorder="1"/>
    <xf numFmtId="165" fontId="23" fillId="27" borderId="16" xfId="2" applyNumberFormat="1" applyFont="1" applyFill="1" applyBorder="1" applyAlignment="1">
      <alignment horizontal="center"/>
    </xf>
    <xf numFmtId="167" fontId="23" fillId="15" borderId="18" xfId="2" applyNumberFormat="1" applyFont="1" applyFill="1" applyBorder="1"/>
    <xf numFmtId="167" fontId="23" fillId="15" borderId="17" xfId="0" applyNumberFormat="1" applyFont="1" applyFill="1" applyBorder="1"/>
    <xf numFmtId="43" fontId="25" fillId="0" borderId="0" xfId="0" applyNumberFormat="1" applyFont="1"/>
    <xf numFmtId="165" fontId="25" fillId="0" borderId="0" xfId="0" applyNumberFormat="1" applyFont="1"/>
    <xf numFmtId="0" fontId="23" fillId="0" borderId="6" xfId="0" applyFont="1" applyBorder="1" applyAlignment="1">
      <alignment horizontal="center"/>
    </xf>
    <xf numFmtId="165" fontId="25" fillId="0" borderId="0" xfId="2" applyNumberFormat="1" applyFont="1"/>
    <xf numFmtId="3" fontId="0" fillId="0" borderId="0" xfId="0" applyNumberFormat="1"/>
    <xf numFmtId="166" fontId="0" fillId="0" borderId="0" xfId="2" applyNumberFormat="1" applyFont="1"/>
    <xf numFmtId="10" fontId="0" fillId="0" borderId="0" xfId="1" applyNumberFormat="1" applyFont="1" applyBorder="1"/>
    <xf numFmtId="169" fontId="0" fillId="0" borderId="0" xfId="1" applyNumberFormat="1" applyFont="1" applyBorder="1"/>
    <xf numFmtId="167" fontId="11" fillId="5" borderId="18" xfId="2" applyNumberFormat="1" applyFont="1" applyFill="1" applyBorder="1"/>
    <xf numFmtId="0" fontId="12" fillId="0" borderId="19" xfId="0" applyFont="1" applyBorder="1" applyAlignment="1">
      <alignment vertical="center"/>
    </xf>
    <xf numFmtId="165" fontId="11" fillId="5" borderId="8" xfId="2" applyNumberFormat="1" applyFont="1" applyFill="1" applyBorder="1"/>
    <xf numFmtId="3" fontId="48" fillId="11" borderId="1" xfId="0" applyNumberFormat="1" applyFont="1" applyFill="1" applyBorder="1" applyAlignment="1">
      <alignment vertical="center"/>
    </xf>
    <xf numFmtId="3" fontId="37" fillId="5" borderId="6" xfId="0" applyNumberFormat="1" applyFont="1" applyFill="1" applyBorder="1" applyAlignment="1">
      <alignment vertical="center"/>
    </xf>
    <xf numFmtId="3" fontId="48" fillId="11" borderId="13" xfId="0" applyNumberFormat="1" applyFont="1" applyFill="1" applyBorder="1" applyAlignment="1">
      <alignment horizontal="right" vertical="center"/>
    </xf>
    <xf numFmtId="3" fontId="37" fillId="5" borderId="16" xfId="0" applyNumberFormat="1" applyFont="1" applyFill="1" applyBorder="1" applyAlignment="1">
      <alignment horizontal="right" vertical="center"/>
    </xf>
    <xf numFmtId="3" fontId="37" fillId="5" borderId="16" xfId="0" applyNumberFormat="1" applyFont="1" applyFill="1" applyBorder="1"/>
    <xf numFmtId="3" fontId="48" fillId="0" borderId="5" xfId="0" applyNumberFormat="1" applyFont="1" applyBorder="1" applyAlignment="1">
      <alignment vertical="center"/>
    </xf>
    <xf numFmtId="165" fontId="23" fillId="5" borderId="0" xfId="2" applyNumberFormat="1" applyFont="1" applyFill="1" applyBorder="1"/>
    <xf numFmtId="3" fontId="48" fillId="0" borderId="1" xfId="0" applyNumberFormat="1" applyFont="1" applyBorder="1" applyAlignment="1">
      <alignment vertical="center"/>
    </xf>
    <xf numFmtId="165" fontId="23" fillId="5" borderId="16" xfId="2" applyNumberFormat="1" applyFont="1" applyFill="1" applyBorder="1"/>
    <xf numFmtId="165" fontId="11" fillId="5" borderId="6" xfId="2" applyNumberFormat="1" applyFont="1" applyFill="1" applyBorder="1"/>
    <xf numFmtId="165" fontId="11" fillId="5" borderId="6" xfId="2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 vertical="center"/>
    </xf>
    <xf numFmtId="165" fontId="11" fillId="26" borderId="16" xfId="2" applyNumberFormat="1" applyFont="1" applyFill="1" applyBorder="1"/>
    <xf numFmtId="0" fontId="11" fillId="11" borderId="0" xfId="0" applyFont="1" applyFill="1" applyBorder="1" applyAlignment="1">
      <alignment horizontal="center"/>
    </xf>
    <xf numFmtId="165" fontId="11" fillId="27" borderId="0" xfId="2" applyNumberFormat="1" applyFont="1" applyFill="1" applyBorder="1"/>
    <xf numFmtId="165" fontId="23" fillId="15" borderId="0" xfId="0" applyNumberFormat="1" applyFont="1" applyFill="1" applyBorder="1"/>
    <xf numFmtId="165" fontId="23" fillId="5" borderId="6" xfId="2" applyNumberFormat="1" applyFont="1" applyFill="1" applyBorder="1"/>
    <xf numFmtId="165" fontId="23" fillId="5" borderId="18" xfId="2" applyNumberFormat="1" applyFont="1" applyFill="1" applyBorder="1"/>
    <xf numFmtId="167" fontId="11" fillId="26" borderId="18" xfId="0" applyNumberFormat="1" applyFont="1" applyFill="1" applyBorder="1"/>
    <xf numFmtId="167" fontId="11" fillId="26" borderId="17" xfId="0" applyNumberFormat="1" applyFont="1" applyFill="1" applyBorder="1"/>
    <xf numFmtId="0" fontId="23" fillId="3" borderId="1" xfId="0" applyFont="1" applyFill="1" applyBorder="1"/>
    <xf numFmtId="165" fontId="11" fillId="5" borderId="6" xfId="0" applyNumberFormat="1" applyFont="1" applyFill="1" applyBorder="1"/>
    <xf numFmtId="165" fontId="23" fillId="27" borderId="11" xfId="0" applyNumberFormat="1" applyFont="1" applyFill="1" applyBorder="1"/>
    <xf numFmtId="165" fontId="11" fillId="5" borderId="16" xfId="0" applyNumberFormat="1" applyFont="1" applyFill="1" applyBorder="1"/>
    <xf numFmtId="165" fontId="11" fillId="5" borderId="16" xfId="2" applyNumberFormat="1" applyFont="1" applyFill="1" applyBorder="1"/>
    <xf numFmtId="165" fontId="23" fillId="28" borderId="17" xfId="0" applyNumberFormat="1" applyFont="1" applyFill="1" applyBorder="1"/>
    <xf numFmtId="165" fontId="11" fillId="28" borderId="0" xfId="0" applyNumberFormat="1" applyFont="1" applyFill="1" applyBorder="1"/>
    <xf numFmtId="165" fontId="23" fillId="28" borderId="1" xfId="0" applyNumberFormat="1" applyFont="1" applyFill="1" applyBorder="1"/>
    <xf numFmtId="165" fontId="11" fillId="28" borderId="18" xfId="0" applyNumberFormat="1" applyFont="1" applyFill="1" applyBorder="1"/>
    <xf numFmtId="174" fontId="23" fillId="5" borderId="0" xfId="2" applyNumberFormat="1" applyFont="1" applyFill="1"/>
    <xf numFmtId="165" fontId="23" fillId="5" borderId="15" xfId="2" applyNumberFormat="1" applyFont="1" applyFill="1" applyBorder="1"/>
    <xf numFmtId="165" fontId="0" fillId="5" borderId="15" xfId="0" applyNumberFormat="1" applyFill="1" applyBorder="1"/>
    <xf numFmtId="174" fontId="0" fillId="5" borderId="0" xfId="2" applyNumberFormat="1" applyFont="1" applyFill="1"/>
    <xf numFmtId="165" fontId="2" fillId="5" borderId="8" xfId="0" applyNumberFormat="1" applyFont="1" applyFill="1" applyBorder="1"/>
    <xf numFmtId="0" fontId="49" fillId="7" borderId="0" xfId="0" applyFont="1" applyFill="1"/>
    <xf numFmtId="165" fontId="11" fillId="7" borderId="0" xfId="2" applyNumberFormat="1" applyFont="1" applyFill="1" applyBorder="1"/>
    <xf numFmtId="0" fontId="25" fillId="13" borderId="0" xfId="0" applyFont="1" applyFill="1"/>
    <xf numFmtId="0" fontId="43" fillId="7" borderId="0" xfId="0" applyFont="1" applyFill="1" applyAlignment="1">
      <alignment horizontal="center"/>
    </xf>
    <xf numFmtId="0" fontId="43" fillId="13" borderId="0" xfId="0" applyFont="1" applyFill="1" applyAlignment="1">
      <alignment horizontal="center"/>
    </xf>
    <xf numFmtId="0" fontId="49" fillId="20" borderId="0" xfId="0" applyFont="1" applyFill="1" applyAlignment="1">
      <alignment horizontal="center"/>
    </xf>
    <xf numFmtId="165" fontId="23" fillId="20" borderId="21" xfId="0" applyNumberFormat="1" applyFont="1" applyFill="1" applyBorder="1"/>
    <xf numFmtId="165" fontId="23" fillId="13" borderId="21" xfId="0" applyNumberFormat="1" applyFont="1" applyFill="1" applyBorder="1"/>
    <xf numFmtId="0" fontId="49" fillId="22" borderId="0" xfId="0" applyFont="1" applyFill="1" applyAlignment="1">
      <alignment horizontal="center"/>
    </xf>
    <xf numFmtId="0" fontId="49" fillId="25" borderId="0" xfId="0" applyFont="1" applyFill="1" applyAlignment="1">
      <alignment horizontal="center"/>
    </xf>
    <xf numFmtId="165" fontId="25" fillId="25" borderId="0" xfId="2" applyNumberFormat="1" applyFont="1" applyFill="1"/>
    <xf numFmtId="165" fontId="25" fillId="25" borderId="18" xfId="2" applyNumberFormat="1" applyFont="1" applyFill="1" applyBorder="1"/>
    <xf numFmtId="165" fontId="50" fillId="25" borderId="0" xfId="0" applyNumberFormat="1" applyFont="1" applyFill="1"/>
    <xf numFmtId="165" fontId="50" fillId="25" borderId="0" xfId="2" applyNumberFormat="1" applyFont="1" applyFill="1"/>
    <xf numFmtId="0" fontId="25" fillId="25" borderId="0" xfId="0" applyFont="1" applyFill="1"/>
    <xf numFmtId="165" fontId="25" fillId="25" borderId="0" xfId="2" applyNumberFormat="1" applyFont="1" applyFill="1" applyBorder="1"/>
    <xf numFmtId="165" fontId="25" fillId="25" borderId="20" xfId="0" applyNumberFormat="1" applyFont="1" applyFill="1" applyBorder="1"/>
    <xf numFmtId="0" fontId="0" fillId="25" borderId="0" xfId="0" applyFill="1"/>
    <xf numFmtId="0" fontId="23" fillId="25" borderId="0" xfId="0" applyFont="1" applyFill="1" applyAlignment="1">
      <alignment horizontal="center"/>
    </xf>
    <xf numFmtId="165" fontId="11" fillId="25" borderId="0" xfId="2" applyNumberFormat="1" applyFont="1" applyFill="1"/>
    <xf numFmtId="165" fontId="11" fillId="25" borderId="18" xfId="2" applyNumberFormat="1" applyFont="1" applyFill="1" applyBorder="1"/>
    <xf numFmtId="165" fontId="23" fillId="25" borderId="0" xfId="0" applyNumberFormat="1" applyFont="1" applyFill="1"/>
    <xf numFmtId="0" fontId="49" fillId="30" borderId="0" xfId="0" applyFont="1" applyFill="1" applyAlignment="1">
      <alignment horizontal="center"/>
    </xf>
    <xf numFmtId="165" fontId="25" fillId="30" borderId="0" xfId="2" applyNumberFormat="1" applyFont="1" applyFill="1"/>
    <xf numFmtId="165" fontId="25" fillId="30" borderId="18" xfId="2" applyNumberFormat="1" applyFont="1" applyFill="1" applyBorder="1"/>
    <xf numFmtId="0" fontId="25" fillId="30" borderId="0" xfId="0" applyFont="1" applyFill="1"/>
    <xf numFmtId="165" fontId="25" fillId="30" borderId="1" xfId="0" applyNumberFormat="1" applyFont="1" applyFill="1" applyBorder="1"/>
    <xf numFmtId="0" fontId="25" fillId="30" borderId="0" xfId="0" applyFont="1" applyFill="1" applyAlignment="1">
      <alignment horizontal="center"/>
    </xf>
    <xf numFmtId="165" fontId="25" fillId="30" borderId="0" xfId="0" applyNumberFormat="1" applyFont="1" applyFill="1"/>
    <xf numFmtId="0" fontId="49" fillId="31" borderId="0" xfId="0" applyFont="1" applyFill="1" applyAlignment="1">
      <alignment horizontal="center"/>
    </xf>
    <xf numFmtId="165" fontId="25" fillId="31" borderId="0" xfId="2" applyNumberFormat="1" applyFont="1" applyFill="1"/>
    <xf numFmtId="0" fontId="25" fillId="31" borderId="0" xfId="0" applyFont="1" applyFill="1"/>
    <xf numFmtId="165" fontId="25" fillId="31" borderId="18" xfId="2" applyNumberFormat="1" applyFont="1" applyFill="1" applyBorder="1"/>
    <xf numFmtId="165" fontId="25" fillId="31" borderId="1" xfId="0" applyNumberFormat="1" applyFont="1" applyFill="1" applyBorder="1"/>
    <xf numFmtId="43" fontId="25" fillId="31" borderId="0" xfId="2" applyFont="1" applyFill="1"/>
    <xf numFmtId="0" fontId="26" fillId="31" borderId="0" xfId="0" applyFont="1" applyFill="1" applyAlignment="1">
      <alignment horizontal="center"/>
    </xf>
    <xf numFmtId="0" fontId="25" fillId="31" borderId="0" xfId="0" applyFont="1" applyFill="1" applyAlignment="1">
      <alignment horizontal="center"/>
    </xf>
    <xf numFmtId="165" fontId="25" fillId="31" borderId="0" xfId="0" applyNumberFormat="1" applyFont="1" applyFill="1"/>
    <xf numFmtId="0" fontId="43" fillId="23" borderId="0" xfId="0" applyFont="1" applyFill="1" applyAlignment="1">
      <alignment horizontal="center"/>
    </xf>
    <xf numFmtId="165" fontId="2" fillId="23" borderId="21" xfId="2" applyNumberFormat="1" applyFont="1" applyFill="1" applyBorder="1"/>
    <xf numFmtId="0" fontId="43" fillId="32" borderId="0" xfId="0" applyFont="1" applyFill="1" applyAlignment="1">
      <alignment horizontal="center"/>
    </xf>
    <xf numFmtId="165" fontId="25" fillId="32" borderId="0" xfId="2" applyNumberFormat="1" applyFont="1" applyFill="1"/>
    <xf numFmtId="165" fontId="25" fillId="32" borderId="18" xfId="2" applyNumberFormat="1" applyFont="1" applyFill="1" applyBorder="1"/>
    <xf numFmtId="165" fontId="25" fillId="32" borderId="1" xfId="2" applyNumberFormat="1" applyFont="1" applyFill="1" applyBorder="1"/>
    <xf numFmtId="0" fontId="25" fillId="32" borderId="0" xfId="0" applyFont="1" applyFill="1"/>
    <xf numFmtId="0" fontId="25" fillId="32" borderId="0" xfId="0" applyFont="1" applyFill="1" applyAlignment="1">
      <alignment horizontal="center"/>
    </xf>
    <xf numFmtId="165" fontId="25" fillId="32" borderId="0" xfId="0" applyNumberFormat="1" applyFont="1" applyFill="1"/>
    <xf numFmtId="165" fontId="25" fillId="15" borderId="0" xfId="2" applyNumberFormat="1" applyFont="1" applyFill="1"/>
    <xf numFmtId="165" fontId="25" fillId="15" borderId="0" xfId="2" applyNumberFormat="1" applyFont="1" applyFill="1" applyBorder="1"/>
    <xf numFmtId="0" fontId="25" fillId="15" borderId="0" xfId="0" applyFont="1" applyFill="1"/>
    <xf numFmtId="0" fontId="25" fillId="15" borderId="0" xfId="0" applyFont="1" applyFill="1" applyAlignment="1">
      <alignment horizontal="center"/>
    </xf>
    <xf numFmtId="165" fontId="50" fillId="15" borderId="0" xfId="0" applyNumberFormat="1" applyFont="1" applyFill="1"/>
    <xf numFmtId="165" fontId="0" fillId="15" borderId="21" xfId="0" applyNumberFormat="1" applyFill="1" applyBorder="1"/>
    <xf numFmtId="165" fontId="25" fillId="15" borderId="1" xfId="0" applyNumberFormat="1" applyFont="1" applyFill="1" applyBorder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9" fillId="3" borderId="0" xfId="0" applyFont="1" applyFill="1" applyAlignment="1">
      <alignment horizontal="center"/>
    </xf>
    <xf numFmtId="0" fontId="23" fillId="26" borderId="2" xfId="0" applyFont="1" applyFill="1" applyBorder="1" applyAlignment="1"/>
    <xf numFmtId="0" fontId="23" fillId="26" borderId="4" xfId="0" applyFont="1" applyFill="1" applyBorder="1" applyAlignment="1"/>
    <xf numFmtId="0" fontId="23" fillId="4" borderId="3" xfId="0" applyFont="1" applyFill="1" applyBorder="1" applyAlignment="1"/>
    <xf numFmtId="0" fontId="23" fillId="4" borderId="4" xfId="0" applyFont="1" applyFill="1" applyBorder="1" applyAlignment="1"/>
    <xf numFmtId="0" fontId="11" fillId="24" borderId="6" xfId="0" applyFont="1" applyFill="1" applyBorder="1" applyAlignment="1">
      <alignment horizontal="center"/>
    </xf>
    <xf numFmtId="0" fontId="11" fillId="24" borderId="16" xfId="0" applyFont="1" applyFill="1" applyBorder="1" applyAlignment="1">
      <alignment horizontal="center"/>
    </xf>
    <xf numFmtId="43" fontId="11" fillId="24" borderId="16" xfId="2" applyFont="1" applyFill="1" applyBorder="1"/>
    <xf numFmtId="168" fontId="11" fillId="24" borderId="6" xfId="2" applyNumberFormat="1" applyFont="1" applyFill="1" applyBorder="1" applyAlignment="1">
      <alignment horizontal="center"/>
    </xf>
    <xf numFmtId="168" fontId="11" fillId="24" borderId="16" xfId="2" applyNumberFormat="1" applyFont="1" applyFill="1" applyBorder="1" applyAlignment="1">
      <alignment horizontal="center"/>
    </xf>
    <xf numFmtId="43" fontId="0" fillId="24" borderId="5" xfId="0" applyNumberFormat="1" applyFill="1" applyBorder="1"/>
    <xf numFmtId="43" fontId="0" fillId="24" borderId="13" xfId="0" applyNumberFormat="1" applyFill="1" applyBorder="1"/>
    <xf numFmtId="0" fontId="0" fillId="24" borderId="13" xfId="0" applyFill="1" applyBorder="1"/>
    <xf numFmtId="0" fontId="11" fillId="24" borderId="7" xfId="0" applyFont="1" applyFill="1" applyBorder="1" applyAlignment="1">
      <alignment horizontal="center"/>
    </xf>
    <xf numFmtId="3" fontId="37" fillId="15" borderId="1" xfId="0" applyNumberFormat="1" applyFont="1" applyFill="1" applyBorder="1" applyAlignment="1">
      <alignment horizontal="right" vertical="center"/>
    </xf>
    <xf numFmtId="43" fontId="11" fillId="26" borderId="6" xfId="2" applyFont="1" applyFill="1" applyBorder="1" applyAlignment="1">
      <alignment horizontal="center"/>
    </xf>
    <xf numFmtId="165" fontId="23" fillId="4" borderId="4" xfId="2" applyNumberFormat="1" applyFont="1" applyFill="1" applyBorder="1"/>
    <xf numFmtId="167" fontId="11" fillId="0" borderId="1" xfId="0" applyNumberFormat="1" applyFont="1" applyBorder="1"/>
    <xf numFmtId="168" fontId="11" fillId="26" borderId="0" xfId="0" applyNumberFormat="1" applyFont="1" applyFill="1" applyBorder="1"/>
    <xf numFmtId="174" fontId="0" fillId="0" borderId="0" xfId="2" applyNumberFormat="1" applyFont="1"/>
    <xf numFmtId="174" fontId="25" fillId="0" borderId="0" xfId="2" applyNumberFormat="1" applyFont="1"/>
    <xf numFmtId="174" fontId="0" fillId="0" borderId="0" xfId="0" applyNumberFormat="1"/>
    <xf numFmtId="165" fontId="42" fillId="0" borderId="0" xfId="0" applyNumberFormat="1" applyFont="1" applyBorder="1"/>
    <xf numFmtId="167" fontId="23" fillId="5" borderId="1" xfId="2" applyNumberFormat="1" applyFont="1" applyFill="1" applyBorder="1"/>
    <xf numFmtId="167" fontId="11" fillId="5" borderId="1" xfId="2" applyNumberFormat="1" applyFont="1" applyFill="1" applyBorder="1" applyAlignment="1">
      <alignment horizontal="left"/>
    </xf>
    <xf numFmtId="168" fontId="11" fillId="0" borderId="1" xfId="0" applyNumberFormat="1" applyFont="1" applyBorder="1"/>
    <xf numFmtId="0" fontId="11" fillId="33" borderId="1" xfId="0" applyFont="1" applyFill="1" applyBorder="1"/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9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3" fillId="23" borderId="2" xfId="0" applyFont="1" applyFill="1" applyBorder="1" applyAlignment="1">
      <alignment horizontal="center"/>
    </xf>
    <xf numFmtId="0" fontId="23" fillId="23" borderId="3" xfId="0" applyFont="1" applyFill="1" applyBorder="1" applyAlignment="1">
      <alignment horizontal="center"/>
    </xf>
    <xf numFmtId="0" fontId="23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3" fillId="15" borderId="2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/>
    </xf>
    <xf numFmtId="0" fontId="36" fillId="0" borderId="0" xfId="0" applyNumberFormat="1" applyFont="1" applyBorder="1" applyAlignment="1">
      <alignment horizontal="center" vertical="center"/>
    </xf>
    <xf numFmtId="0" fontId="23" fillId="27" borderId="2" xfId="0" applyFont="1" applyFill="1" applyBorder="1" applyAlignment="1">
      <alignment horizontal="center"/>
    </xf>
    <xf numFmtId="0" fontId="23" fillId="27" borderId="3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0" fontId="23" fillId="15" borderId="4" xfId="0" applyFont="1" applyFill="1" applyBorder="1" applyAlignment="1">
      <alignment horizontal="center"/>
    </xf>
    <xf numFmtId="0" fontId="23" fillId="24" borderId="2" xfId="0" applyFont="1" applyFill="1" applyBorder="1" applyAlignment="1">
      <alignment horizontal="center"/>
    </xf>
    <xf numFmtId="0" fontId="23" fillId="24" borderId="3" xfId="0" applyFont="1" applyFill="1" applyBorder="1" applyAlignment="1">
      <alignment horizontal="center"/>
    </xf>
    <xf numFmtId="0" fontId="23" fillId="24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23" fillId="26" borderId="2" xfId="0" applyFont="1" applyFill="1" applyBorder="1" applyAlignment="1">
      <alignment horizontal="center"/>
    </xf>
    <xf numFmtId="0" fontId="23" fillId="26" borderId="3" xfId="0" applyFont="1" applyFill="1" applyBorder="1" applyAlignment="1">
      <alignment horizontal="center"/>
    </xf>
    <xf numFmtId="0" fontId="23" fillId="26" borderId="4" xfId="0" applyFont="1" applyFill="1" applyBorder="1" applyAlignment="1">
      <alignment horizontal="center"/>
    </xf>
    <xf numFmtId="0" fontId="23" fillId="24" borderId="19" xfId="0" applyFont="1" applyFill="1" applyBorder="1" applyAlignment="1">
      <alignment horizontal="center"/>
    </xf>
    <xf numFmtId="0" fontId="23" fillId="24" borderId="15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165" fontId="11" fillId="5" borderId="6" xfId="2" applyNumberFormat="1" applyFont="1" applyFill="1" applyBorder="1" applyAlignment="1">
      <alignment horizontal="center" vertical="center"/>
    </xf>
    <xf numFmtId="165" fontId="11" fillId="5" borderId="16" xfId="2" applyNumberFormat="1" applyFont="1" applyFill="1" applyBorder="1" applyAlignment="1">
      <alignment horizontal="center" vertical="center"/>
    </xf>
    <xf numFmtId="43" fontId="11" fillId="26" borderId="0" xfId="0" applyNumberFormat="1" applyFont="1" applyFill="1" applyBorder="1" applyAlignment="1">
      <alignment horizontal="center" vertical="center"/>
    </xf>
    <xf numFmtId="43" fontId="11" fillId="26" borderId="18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0" fillId="17" borderId="6" xfId="0" applyFont="1" applyFill="1" applyBorder="1"/>
    <xf numFmtId="167" fontId="0" fillId="17" borderId="0" xfId="2" applyNumberFormat="1" applyFont="1" applyFill="1" applyBorder="1"/>
    <xf numFmtId="167" fontId="0" fillId="17" borderId="0" xfId="0" applyNumberFormat="1" applyFont="1" applyFill="1" applyBorder="1"/>
    <xf numFmtId="0" fontId="0" fillId="17" borderId="0" xfId="0" applyFont="1" applyFill="1" applyBorder="1"/>
    <xf numFmtId="9" fontId="12" fillId="0" borderId="2" xfId="1" applyFont="1" applyBorder="1"/>
    <xf numFmtId="9" fontId="12" fillId="0" borderId="3" xfId="1" applyFont="1" applyBorder="1"/>
  </cellXfs>
  <cellStyles count="5">
    <cellStyle name="Comma" xfId="2" builtinId="3"/>
    <cellStyle name="Normal" xfId="0" builtinId="0"/>
    <cellStyle name="Normal 2 2" xfId="3"/>
    <cellStyle name="Normal 5" xfId="4"/>
    <cellStyle name="Percent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66FF33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2020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292"/>
          <c:h val="0.67800941227319411"/>
        </c:manualLayout>
      </c:layout>
      <c:pie3DChart>
        <c:varyColors val="1"/>
        <c:ser>
          <c:idx val="0"/>
          <c:order val="0"/>
          <c:tx>
            <c:strRef>
              <c:f>'Energy Balance-2020'!$A$97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09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48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73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Balance-2020'!$A$101:$A$107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Balance-2020'!$B$101:$B$107</c:f>
              <c:numCache>
                <c:formatCode>_(* #,##0_);_(* \(#,##0\);_(* "-"??_);_(@_)</c:formatCode>
                <c:ptCount val="7"/>
                <c:pt idx="0">
                  <c:v>33758.957247391925</c:v>
                </c:pt>
                <c:pt idx="1">
                  <c:v>3155.1639384750001</c:v>
                </c:pt>
                <c:pt idx="2">
                  <c:v>1671.5168277102746</c:v>
                </c:pt>
                <c:pt idx="3">
                  <c:v>27148.9722287984</c:v>
                </c:pt>
                <c:pt idx="4">
                  <c:v>16294.675166476294</c:v>
                </c:pt>
                <c:pt idx="5">
                  <c:v>13258.014589608774</c:v>
                </c:pt>
                <c:pt idx="6">
                  <c:v>1884.914565233265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0315871995442912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Balance-2020'!$B$72:$B$81</c:f>
              <c:numCache>
                <c:formatCode>_(* #,##0_);_(* \(#,##0\);_(* "-"??_);_(@_)</c:formatCode>
                <c:ptCount val="10"/>
                <c:pt idx="0">
                  <c:v>39303.591702658174</c:v>
                </c:pt>
                <c:pt idx="1">
                  <c:v>23230.566952059897</c:v>
                </c:pt>
                <c:pt idx="2">
                  <c:v>23182.011080430297</c:v>
                </c:pt>
                <c:pt idx="3">
                  <c:v>5252.9983704590013</c:v>
                </c:pt>
                <c:pt idx="4">
                  <c:v>4379.2919999999995</c:v>
                </c:pt>
                <c:pt idx="5">
                  <c:v>1614.4694781102746</c:v>
                </c:pt>
                <c:pt idx="6">
                  <c:v>74.367754392501737</c:v>
                </c:pt>
                <c:pt idx="7">
                  <c:v>19.815816433000002</c:v>
                </c:pt>
                <c:pt idx="8">
                  <c:v>58.054059550789468</c:v>
                </c:pt>
                <c:pt idx="9">
                  <c:v>57.047349599999997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2020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324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13735938425103641"/>
                  <c:y val="-5.7553956834532571E-2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1367673179396109"/>
                  <c:y val="-9.5923261390887568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17048562993424302"/>
                  <c:y val="-1.9184553985546332E-2"/>
                </c:manualLayout>
              </c:layout>
              <c:showVal val="1"/>
              <c:showCatName val="1"/>
              <c:showPercent val="1"/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319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436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12314979277679119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0"/>
              <c:layout>
                <c:manualLayout>
                  <c:x val="3.3155713439905275E-2"/>
                  <c:y val="0.26858513189448546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firstSliceAng val="100"/>
        <c:holeSize val="74"/>
      </c:doughnut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0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390904090544445"/>
          <c:y val="0.2933412568711915"/>
          <c:w val="0.55218191818911577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Stat-2020'!$A$35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F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CatName val="1"/>
            <c:showPercent val="1"/>
            <c:showLeaderLines val="1"/>
          </c:dLbls>
          <c:cat>
            <c:strRef>
              <c:f>'Electricity Stat-2020'!$A$38:$A$41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Stat-2020'!$B$38:$B$41</c:f>
              <c:numCache>
                <c:formatCode>_(* #,##0.0_);_(* \(#,##0.0\);_(* "-"??_);_(@_)</c:formatCode>
                <c:ptCount val="4"/>
                <c:pt idx="0">
                  <c:v>384.03620000000001</c:v>
                </c:pt>
                <c:pt idx="1">
                  <c:v>46.093223999999999</c:v>
                </c:pt>
                <c:pt idx="2">
                  <c:v>5.9857644444444444</c:v>
                </c:pt>
                <c:pt idx="3">
                  <c:v>6.8101669999999999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031587199544292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Balance-2020'!$B$72:$B$81</c:f>
              <c:numCache>
                <c:formatCode>_(* #,##0_);_(* \(#,##0\);_(* "-"??_);_(@_)</c:formatCode>
                <c:ptCount val="10"/>
                <c:pt idx="0">
                  <c:v>39303.591702658174</c:v>
                </c:pt>
                <c:pt idx="1">
                  <c:v>23230.566952059897</c:v>
                </c:pt>
                <c:pt idx="2">
                  <c:v>23182.011080430297</c:v>
                </c:pt>
                <c:pt idx="3">
                  <c:v>5252.9983704590013</c:v>
                </c:pt>
                <c:pt idx="4">
                  <c:v>4379.2919999999995</c:v>
                </c:pt>
                <c:pt idx="5">
                  <c:v>1614.4694781102746</c:v>
                </c:pt>
                <c:pt idx="6">
                  <c:v>74.367754392501737</c:v>
                </c:pt>
                <c:pt idx="7">
                  <c:v>19.815816433000002</c:v>
                </c:pt>
                <c:pt idx="8">
                  <c:v>58.054059550789468</c:v>
                </c:pt>
                <c:pt idx="9">
                  <c:v>57.047349599999997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314"/>
          <c:h val="0.67800941227319511"/>
        </c:manualLayout>
      </c:layout>
      <c:pie3DChart>
        <c:varyColors val="1"/>
        <c:ser>
          <c:idx val="0"/>
          <c:order val="0"/>
          <c:tx>
            <c:strRef>
              <c:f>'Energy Balance-2020'!$A$97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14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59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75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Balance-2020'!$A$101:$A$107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Balance-2020'!$B$101:$B$107</c:f>
              <c:numCache>
                <c:formatCode>_(* #,##0_);_(* \(#,##0\);_(* "-"??_);_(@_)</c:formatCode>
                <c:ptCount val="7"/>
                <c:pt idx="0">
                  <c:v>33758.957247391925</c:v>
                </c:pt>
                <c:pt idx="1">
                  <c:v>3155.1639384750001</c:v>
                </c:pt>
                <c:pt idx="2">
                  <c:v>1671.5168277102746</c:v>
                </c:pt>
                <c:pt idx="3">
                  <c:v>27148.9722287984</c:v>
                </c:pt>
                <c:pt idx="4">
                  <c:v>16294.675166476294</c:v>
                </c:pt>
                <c:pt idx="5">
                  <c:v>13258.014589608774</c:v>
                </c:pt>
                <c:pt idx="6">
                  <c:v>1884.914565233265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/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98</xdr:row>
      <xdr:rowOff>26958</xdr:rowOff>
    </xdr:from>
    <xdr:to>
      <xdr:col>12</xdr:col>
      <xdr:colOff>80873</xdr:colOff>
      <xdr:row>119</xdr:row>
      <xdr:rowOff>17972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266430</xdr:colOff>
      <xdr:row>43</xdr:row>
      <xdr:rowOff>93633</xdr:rowOff>
    </xdr:from>
    <xdr:to>
      <xdr:col>14</xdr:col>
      <xdr:colOff>258255</xdr:colOff>
      <xdr:row>63</xdr:row>
      <xdr:rowOff>105538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17971</xdr:colOff>
      <xdr:row>69</xdr:row>
      <xdr:rowOff>35943</xdr:rowOff>
    </xdr:from>
    <xdr:to>
      <xdr:col>13</xdr:col>
      <xdr:colOff>17971</xdr:colOff>
      <xdr:row>87</xdr:row>
      <xdr:rowOff>44929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835819</xdr:colOff>
      <xdr:row>53</xdr:row>
      <xdr:rowOff>78581</xdr:rowOff>
    </xdr:from>
    <xdr:to>
      <xdr:col>20</xdr:col>
      <xdr:colOff>714375</xdr:colOff>
      <xdr:row>74</xdr:row>
      <xdr:rowOff>11906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178,176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99.5%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887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/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/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36</xdr:row>
      <xdr:rowOff>66674</xdr:rowOff>
    </xdr:from>
    <xdr:to>
      <xdr:col>11</xdr:col>
      <xdr:colOff>904874</xdr:colOff>
      <xdr:row>51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65</xdr:row>
      <xdr:rowOff>19050</xdr:rowOff>
    </xdr:from>
    <xdr:to>
      <xdr:col>3</xdr:col>
      <xdr:colOff>266700</xdr:colOff>
      <xdr:row>67</xdr:row>
      <xdr:rowOff>180975</xdr:rowOff>
    </xdr:to>
    <xdr:sp macro="" textlink="">
      <xdr:nvSpPr>
        <xdr:cNvPr id="6" name="Right Brace 5"/>
        <xdr:cNvSpPr/>
      </xdr:nvSpPr>
      <xdr:spPr>
        <a:xfrm>
          <a:off x="2895600" y="11344275"/>
          <a:ext cx="238125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62</xdr:row>
      <xdr:rowOff>66675</xdr:rowOff>
    </xdr:from>
    <xdr:to>
      <xdr:col>3</xdr:col>
      <xdr:colOff>161925</xdr:colOff>
      <xdr:row>64</xdr:row>
      <xdr:rowOff>142875</xdr:rowOff>
    </xdr:to>
    <xdr:sp macro="" textlink="">
      <xdr:nvSpPr>
        <xdr:cNvPr id="8" name="Right Brace 7"/>
        <xdr:cNvSpPr/>
      </xdr:nvSpPr>
      <xdr:spPr>
        <a:xfrm>
          <a:off x="2867025" y="10820400"/>
          <a:ext cx="161925" cy="457200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63</xdr:row>
      <xdr:rowOff>76200</xdr:rowOff>
    </xdr:from>
    <xdr:to>
      <xdr:col>3</xdr:col>
      <xdr:colOff>847725</xdr:colOff>
      <xdr:row>63</xdr:row>
      <xdr:rowOff>95250</xdr:rowOff>
    </xdr:to>
    <xdr:cxnSp macro="">
      <xdr:nvCxnSpPr>
        <xdr:cNvPr id="10" name="Straight Arrow Connector 9"/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65</xdr:row>
      <xdr:rowOff>133351</xdr:rowOff>
    </xdr:from>
    <xdr:to>
      <xdr:col>3</xdr:col>
      <xdr:colOff>847725</xdr:colOff>
      <xdr:row>65</xdr:row>
      <xdr:rowOff>161925</xdr:rowOff>
    </xdr:to>
    <xdr:cxnSp macro="">
      <xdr:nvCxnSpPr>
        <xdr:cNvPr id="11" name="Straight Arrow Connector 10"/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62</xdr:row>
      <xdr:rowOff>104775</xdr:rowOff>
    </xdr:from>
    <xdr:to>
      <xdr:col>7</xdr:col>
      <xdr:colOff>200025</xdr:colOff>
      <xdr:row>63</xdr:row>
      <xdr:rowOff>95251</xdr:rowOff>
    </xdr:to>
    <xdr:cxnSp macro="">
      <xdr:nvCxnSpPr>
        <xdr:cNvPr id="18" name="Straight Arrow Connector 17"/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63</xdr:row>
      <xdr:rowOff>152400</xdr:rowOff>
    </xdr:from>
    <xdr:to>
      <xdr:col>7</xdr:col>
      <xdr:colOff>190500</xdr:colOff>
      <xdr:row>64</xdr:row>
      <xdr:rowOff>114300</xdr:rowOff>
    </xdr:to>
    <xdr:cxnSp macro="">
      <xdr:nvCxnSpPr>
        <xdr:cNvPr id="22" name="Straight Arrow Connector 21"/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64</xdr:row>
      <xdr:rowOff>9525</xdr:rowOff>
    </xdr:from>
    <xdr:to>
      <xdr:col>12</xdr:col>
      <xdr:colOff>304800</xdr:colOff>
      <xdr:row>66</xdr:row>
      <xdr:rowOff>171450</xdr:rowOff>
    </xdr:to>
    <xdr:sp macro="" textlink="">
      <xdr:nvSpPr>
        <xdr:cNvPr id="25" name="Right Brace 24"/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60</xdr:row>
      <xdr:rowOff>114300</xdr:rowOff>
    </xdr:from>
    <xdr:to>
      <xdr:col>7</xdr:col>
      <xdr:colOff>209550</xdr:colOff>
      <xdr:row>61</xdr:row>
      <xdr:rowOff>104776</xdr:rowOff>
    </xdr:to>
    <xdr:cxnSp macro="">
      <xdr:nvCxnSpPr>
        <xdr:cNvPr id="28" name="Straight Arrow Connector 27"/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66</xdr:row>
      <xdr:rowOff>114300</xdr:rowOff>
    </xdr:from>
    <xdr:to>
      <xdr:col>7</xdr:col>
      <xdr:colOff>190500</xdr:colOff>
      <xdr:row>66</xdr:row>
      <xdr:rowOff>123825</xdr:rowOff>
    </xdr:to>
    <xdr:cxnSp macro="">
      <xdr:nvCxnSpPr>
        <xdr:cNvPr id="29" name="Straight Arrow Connector 28"/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87:E92" totalsRowShown="0" tableBorderDxfId="0">
  <autoFilter ref="A87:E92"/>
  <tableColumns count="5">
    <tableColumn id="1" name="Column1"/>
    <tableColumn id="3" name="PUC"/>
    <tableColumn id="4" name="Auto-Prod"/>
    <tableColumn id="5" name="Total"/>
    <tableColumn id="6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8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I35" sqref="I35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9.57031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434" t="s">
        <v>31</v>
      </c>
      <c r="B1" s="96"/>
      <c r="C1" s="97"/>
      <c r="D1" s="97"/>
      <c r="E1" s="97"/>
      <c r="F1" s="720" t="s">
        <v>406</v>
      </c>
      <c r="G1" s="97"/>
      <c r="H1" s="97"/>
      <c r="I1" s="97"/>
      <c r="J1" s="97"/>
      <c r="K1" s="97"/>
      <c r="L1" s="750"/>
      <c r="M1" s="97"/>
      <c r="N1" s="97"/>
      <c r="O1" s="621"/>
    </row>
    <row r="2" spans="1:20" ht="21">
      <c r="A2" s="435" t="s">
        <v>405</v>
      </c>
      <c r="B2" s="869" t="s">
        <v>0</v>
      </c>
      <c r="C2" s="870"/>
      <c r="D2" s="870"/>
      <c r="E2" s="870"/>
      <c r="F2" s="870"/>
      <c r="G2" s="870"/>
      <c r="H2" s="871"/>
      <c r="I2" s="619" t="s">
        <v>7</v>
      </c>
      <c r="J2" s="869" t="s">
        <v>8</v>
      </c>
      <c r="K2" s="871"/>
      <c r="L2" s="436" t="s">
        <v>9</v>
      </c>
      <c r="M2" s="436" t="s">
        <v>10</v>
      </c>
      <c r="N2" s="436" t="s">
        <v>11</v>
      </c>
      <c r="O2" s="872" t="s">
        <v>63</v>
      </c>
    </row>
    <row r="3" spans="1:20" ht="30">
      <c r="A3" s="47" t="s">
        <v>332</v>
      </c>
      <c r="B3" s="44" t="s">
        <v>5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54</v>
      </c>
      <c r="H3" s="44" t="s">
        <v>101</v>
      </c>
      <c r="I3" s="44" t="s">
        <v>150</v>
      </c>
      <c r="J3" s="44" t="s">
        <v>91</v>
      </c>
      <c r="K3" s="44" t="s">
        <v>92</v>
      </c>
      <c r="L3" s="59" t="s">
        <v>90</v>
      </c>
      <c r="M3" s="44" t="s">
        <v>23</v>
      </c>
      <c r="N3" s="4" t="s">
        <v>23</v>
      </c>
      <c r="O3" s="873"/>
    </row>
    <row r="4" spans="1:20" ht="18">
      <c r="A4" s="721" t="s">
        <v>25</v>
      </c>
      <c r="B4" s="712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4"/>
      <c r="Q4" s="394" t="s">
        <v>390</v>
      </c>
      <c r="R4" s="395"/>
      <c r="S4" s="417" t="s">
        <v>53</v>
      </c>
      <c r="T4" s="333" t="s">
        <v>158</v>
      </c>
    </row>
    <row r="5" spans="1:20" ht="20.100000000000001" customHeight="1">
      <c r="A5" s="722" t="s">
        <v>24</v>
      </c>
      <c r="B5" s="100"/>
      <c r="C5" s="18"/>
      <c r="D5" s="18"/>
      <c r="E5" s="18"/>
      <c r="F5" s="18"/>
      <c r="G5" s="18"/>
      <c r="H5" s="18"/>
      <c r="I5" s="36">
        <f>'Biomass, SWH &amp; Kero'!F40+'Biomass, SWH &amp; Kero'!H40</f>
        <v>58.054059550789468</v>
      </c>
      <c r="J5" s="30">
        <f>'Electricity Stat-2020'!H28+'Electricity Stat-2020'!H33</f>
        <v>575.05035199999998</v>
      </c>
      <c r="K5" s="23">
        <f>'Biomass, SWH &amp; Kero'!L40</f>
        <v>74.367754392501737</v>
      </c>
      <c r="L5" s="23">
        <f>'Electricity Stat-2020'!H21</f>
        <v>514.77574222222222</v>
      </c>
      <c r="M5" s="18"/>
      <c r="N5" s="36"/>
      <c r="O5" s="307">
        <f>SUM(B5:N5)</f>
        <v>1222.2479081655133</v>
      </c>
      <c r="Q5" s="396" t="s">
        <v>296</v>
      </c>
      <c r="R5" s="397"/>
      <c r="S5" s="411">
        <f>SUM(B12:H12)</f>
        <v>150248.41205029533</v>
      </c>
      <c r="T5" s="418">
        <f>S5/$S$7</f>
        <v>0.9919307943300657</v>
      </c>
    </row>
    <row r="6" spans="1:20" ht="20.100000000000001" customHeight="1">
      <c r="A6" s="722" t="s">
        <v>12</v>
      </c>
      <c r="B6" s="713">
        <f>'Petroleum Stat-2020'!I25</f>
        <v>22309.72495466</v>
      </c>
      <c r="C6" s="23">
        <f>'Petroleum Stat-2020'!D25</f>
        <v>256835.74400963998</v>
      </c>
      <c r="D6" s="36">
        <f>'Petroleum Stat-2020'!F25</f>
        <v>86504.449544639981</v>
      </c>
      <c r="E6" s="36">
        <f>'Petroleum Stat-2020'!E25</f>
        <v>22237.459621440001</v>
      </c>
      <c r="F6" s="36">
        <f>'Petroleum Stat-2020'!H25</f>
        <v>4427.9174299999995</v>
      </c>
      <c r="G6" s="18"/>
      <c r="H6" s="36">
        <f>'Petroleum Stat-2020'!G25</f>
        <v>49.305599999999998</v>
      </c>
      <c r="I6" s="18"/>
      <c r="J6" s="18"/>
      <c r="K6" s="18"/>
      <c r="L6" s="18"/>
      <c r="M6" s="18"/>
      <c r="N6" s="18"/>
      <c r="O6" s="308">
        <f t="shared" ref="O6:O12" si="0">SUM(B6:N6)</f>
        <v>392364.60116037994</v>
      </c>
      <c r="Q6" s="396" t="s">
        <v>255</v>
      </c>
      <c r="R6" s="397"/>
      <c r="S6" s="415">
        <f>SUM(I12:L12)</f>
        <v>1222.2479081655133</v>
      </c>
      <c r="T6" s="419">
        <f>S6/$S$7</f>
        <v>8.0692056699343713E-3</v>
      </c>
    </row>
    <row r="7" spans="1:20" ht="20.100000000000001" customHeight="1">
      <c r="A7" s="722" t="s">
        <v>13</v>
      </c>
      <c r="B7" s="714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18"/>
      <c r="J7" s="18"/>
      <c r="K7" s="18"/>
      <c r="L7" s="18"/>
      <c r="M7" s="18"/>
      <c r="N7" s="18"/>
      <c r="O7" s="307">
        <f t="shared" si="0"/>
        <v>0</v>
      </c>
      <c r="Q7" s="400"/>
      <c r="R7" s="401"/>
      <c r="S7" s="416">
        <f>SUM(S5:S6)</f>
        <v>151470.65995846083</v>
      </c>
      <c r="T7" s="413">
        <f>S7/$S$7</f>
        <v>1</v>
      </c>
    </row>
    <row r="8" spans="1:20" ht="20.100000000000001" customHeight="1">
      <c r="A8" s="722" t="s">
        <v>102</v>
      </c>
      <c r="B8" s="714"/>
      <c r="C8" s="43">
        <f>-'Petroleum Stat-2020'!D35</f>
        <v>-209194.98344325001</v>
      </c>
      <c r="D8" s="43">
        <f>-'Petroleum Stat-2020'!F35</f>
        <v>-5975.9098934399999</v>
      </c>
      <c r="E8" s="43">
        <f>-'Petroleum Stat-2020'!E35</f>
        <v>-20634.6558186888</v>
      </c>
      <c r="F8" s="30"/>
      <c r="G8" s="30"/>
      <c r="H8" s="18"/>
      <c r="I8" s="18"/>
      <c r="J8" s="18"/>
      <c r="K8" s="18"/>
      <c r="L8" s="18"/>
      <c r="M8" s="18"/>
      <c r="N8" s="18"/>
      <c r="O8" s="307">
        <f t="shared" si="0"/>
        <v>-235805.5491553788</v>
      </c>
    </row>
    <row r="9" spans="1:20" ht="20.100000000000001" customHeight="1">
      <c r="A9" s="722" t="s">
        <v>168</v>
      </c>
      <c r="B9" s="715">
        <f>'Petroleum Stat-2020'!I28</f>
        <v>-1280.8626435198003</v>
      </c>
      <c r="C9" s="43">
        <f>'Petroleum Stat-2020'!D28</f>
        <v>-2538.2040075733617</v>
      </c>
      <c r="D9" s="43">
        <f>'Petroleum Stat-2020'!F28</f>
        <v>484.1436251183477</v>
      </c>
      <c r="E9" s="43">
        <f>'Petroleum Stat-2020'!E28</f>
        <v>1703.8205640618185</v>
      </c>
      <c r="F9" s="43">
        <f>'Petroleum Stat-2020'!H28</f>
        <v>648.07738145799999</v>
      </c>
      <c r="G9" s="43">
        <f>'Petroleum Stat-2020'!J28</f>
        <v>26.4340692</v>
      </c>
      <c r="H9" s="39">
        <f>'Petroleum Stat-2020'!G28</f>
        <v>6.975201600000001</v>
      </c>
      <c r="I9" s="18"/>
      <c r="J9" s="18"/>
      <c r="K9" s="18"/>
      <c r="L9" s="18"/>
      <c r="M9" s="18"/>
      <c r="N9" s="18"/>
      <c r="O9" s="308">
        <f t="shared" si="0"/>
        <v>-949.61580965499581</v>
      </c>
      <c r="Q9" s="311" t="s">
        <v>298</v>
      </c>
      <c r="R9" s="312"/>
      <c r="S9" s="313"/>
    </row>
    <row r="10" spans="1:20" ht="20.100000000000001" customHeight="1">
      <c r="A10" s="722" t="s">
        <v>14</v>
      </c>
      <c r="B10" s="715">
        <f>'Petroleum Stat-2020'!I29</f>
        <v>-2151.9836623722013</v>
      </c>
      <c r="C10" s="43">
        <f>'Petroleum Stat-2020'!D29</f>
        <v>-3057.7204100776498</v>
      </c>
      <c r="D10" s="43">
        <f>'Petroleum Stat-2020'!F29</f>
        <v>-178.15379120165258</v>
      </c>
      <c r="E10" s="43">
        <f>'Petroleum Stat-2020'!E29</f>
        <v>129.9890768506566</v>
      </c>
      <c r="F10" s="43">
        <f>'Petroleum Stat-2020'!H29</f>
        <v>-105.11701265000005</v>
      </c>
      <c r="G10" s="43">
        <f>'Petroleum Stat-2020'!J29</f>
        <v>2.7282023999999998</v>
      </c>
      <c r="H10" s="39">
        <f>'Petroleum Stat-2020'!G29</f>
        <v>-0.76654800000000001</v>
      </c>
      <c r="I10" s="18"/>
      <c r="J10" s="18"/>
      <c r="K10" s="18"/>
      <c r="L10" s="18"/>
      <c r="M10" s="18"/>
      <c r="N10" s="18"/>
      <c r="O10" s="308">
        <f t="shared" si="0"/>
        <v>-5361.0241450508474</v>
      </c>
      <c r="Q10" s="314" t="s">
        <v>299</v>
      </c>
      <c r="R10" s="315"/>
      <c r="S10" s="406">
        <f>M15/$M$21</f>
        <v>0.86406221254513005</v>
      </c>
    </row>
    <row r="11" spans="1:20" ht="20.100000000000001" customHeight="1">
      <c r="A11" s="722" t="s">
        <v>50</v>
      </c>
      <c r="B11" s="715">
        <f>'Petroleum Stat-2020'!C30</f>
        <v>0</v>
      </c>
      <c r="C11" s="95"/>
      <c r="D11" s="43"/>
      <c r="E11" s="43"/>
      <c r="F11" s="43"/>
      <c r="G11" s="43"/>
      <c r="H11" s="39"/>
      <c r="I11" s="18"/>
      <c r="J11" s="18"/>
      <c r="K11" s="18"/>
      <c r="L11" s="18"/>
      <c r="M11" s="18"/>
      <c r="N11" s="18"/>
      <c r="O11" s="308">
        <f t="shared" si="0"/>
        <v>0</v>
      </c>
      <c r="Q11" s="420" t="s">
        <v>256</v>
      </c>
      <c r="R11" s="315"/>
      <c r="S11" s="406">
        <f>M16/$M$21</f>
        <v>0.11048094051748007</v>
      </c>
    </row>
    <row r="12" spans="1:20" ht="20.100000000000001" customHeight="1">
      <c r="A12" s="723" t="s">
        <v>32</v>
      </c>
      <c r="B12" s="390">
        <f>SUM(B5:B11)</f>
        <v>18876.878648767997</v>
      </c>
      <c r="C12" s="38">
        <f t="shared" ref="C12:L12" si="1">SUM(C5:C11)</f>
        <v>42044.836148738963</v>
      </c>
      <c r="D12" s="38">
        <f t="shared" si="1"/>
        <v>80834.529485116684</v>
      </c>
      <c r="E12" s="38">
        <f t="shared" si="1"/>
        <v>3436.6134436636762</v>
      </c>
      <c r="F12" s="38">
        <f t="shared" si="1"/>
        <v>4970.8777988079992</v>
      </c>
      <c r="G12" s="38">
        <f t="shared" si="1"/>
        <v>29.1622716</v>
      </c>
      <c r="H12" s="38">
        <f t="shared" si="1"/>
        <v>55.514253599999996</v>
      </c>
      <c r="I12" s="38">
        <f t="shared" si="1"/>
        <v>58.054059550789468</v>
      </c>
      <c r="J12" s="38">
        <f t="shared" si="1"/>
        <v>575.05035199999998</v>
      </c>
      <c r="K12" s="38">
        <f t="shared" si="1"/>
        <v>74.367754392501737</v>
      </c>
      <c r="L12" s="38">
        <f t="shared" si="1"/>
        <v>514.77574222222222</v>
      </c>
      <c r="M12" s="38">
        <f t="shared" ref="M12:N12" si="2">SUM(M5:M11)</f>
        <v>0</v>
      </c>
      <c r="N12" s="38">
        <f t="shared" si="2"/>
        <v>0</v>
      </c>
      <c r="O12" s="58">
        <f t="shared" si="0"/>
        <v>151470.65995846083</v>
      </c>
      <c r="P12" s="9"/>
      <c r="Q12" s="420" t="s">
        <v>257</v>
      </c>
      <c r="R12" s="315"/>
      <c r="S12" s="406">
        <f>M17/$M$21</f>
        <v>1.1240800918359157E-2</v>
      </c>
    </row>
    <row r="13" spans="1:20" ht="15" customHeight="1">
      <c r="A13" s="724" t="s">
        <v>95</v>
      </c>
      <c r="B13" s="71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18"/>
      <c r="N13" s="18"/>
      <c r="O13" s="309">
        <f>O5/O12</f>
        <v>8.0692056699343713E-3</v>
      </c>
      <c r="Q13" s="314" t="s">
        <v>278</v>
      </c>
      <c r="R13" s="315"/>
      <c r="S13" s="406">
        <f>M18/$M$21</f>
        <v>1.2024457247176464E-2</v>
      </c>
    </row>
    <row r="14" spans="1:20" ht="20.100000000000001" customHeight="1">
      <c r="A14" s="725" t="s">
        <v>26</v>
      </c>
      <c r="B14" s="717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6"/>
      <c r="Q14" s="420" t="s">
        <v>258</v>
      </c>
      <c r="R14" s="315"/>
      <c r="S14" s="408">
        <f>M19/$M$21</f>
        <v>2.191588771854336E-3</v>
      </c>
    </row>
    <row r="15" spans="1:20" ht="20.100000000000001" customHeight="1">
      <c r="A15" s="722" t="s">
        <v>15</v>
      </c>
      <c r="B15" s="100"/>
      <c r="C15" s="33">
        <f>-'Electricity Stat-2020'!E6-'Electricity Stat-2020'!E10-'Electricity Stat-2020'!E14-'Electricity Stat-2020'!E15</f>
        <v>-11018.28455667</v>
      </c>
      <c r="D15" s="33">
        <f>-'Electricity Stat-2020'!E7-'Electricity Stat-2020'!E11</f>
        <v>-80059.544120274018</v>
      </c>
      <c r="E15" s="18"/>
      <c r="F15" s="18"/>
      <c r="G15" s="18"/>
      <c r="H15" s="18"/>
      <c r="I15" s="18"/>
      <c r="J15" s="18"/>
      <c r="K15" s="18"/>
      <c r="L15" s="34"/>
      <c r="M15" s="30">
        <f>'Electricity Stat-2020'!H17</f>
        <v>36991.130464000002</v>
      </c>
      <c r="N15" s="35"/>
      <c r="O15" s="25">
        <f>SUM(B15:N15)</f>
        <v>-54086.698212944015</v>
      </c>
      <c r="Q15" s="316"/>
      <c r="R15" s="317" t="s">
        <v>56</v>
      </c>
      <c r="S15" s="318">
        <f>SUM(S10:S14)</f>
        <v>1</v>
      </c>
    </row>
    <row r="16" spans="1:20" ht="20.100000000000001" customHeight="1">
      <c r="A16" s="722" t="s">
        <v>16</v>
      </c>
      <c r="B16" s="100"/>
      <c r="C16" s="30">
        <f>-'Electricity Stat-2020'!E81</f>
        <v>-13630.432877775</v>
      </c>
      <c r="D16" s="18"/>
      <c r="E16" s="18"/>
      <c r="F16" s="18"/>
      <c r="G16" s="18"/>
      <c r="H16" s="18"/>
      <c r="I16" s="18"/>
      <c r="J16" s="18"/>
      <c r="K16" s="18"/>
      <c r="L16" s="18"/>
      <c r="M16" s="30">
        <f>'Electricity Stat-2020'!K81</f>
        <v>4729.7692517181731</v>
      </c>
      <c r="N16" s="36"/>
      <c r="O16" s="25">
        <f t="shared" ref="O16:O19" si="3">SUM(B16:N16)</f>
        <v>-8900.6636260568266</v>
      </c>
    </row>
    <row r="17" spans="1:40" ht="20.100000000000001" customHeight="1">
      <c r="A17" s="722" t="s">
        <v>22</v>
      </c>
      <c r="B17" s="100"/>
      <c r="C17" s="18"/>
      <c r="D17" s="18"/>
      <c r="E17" s="18"/>
      <c r="F17" s="18"/>
      <c r="G17" s="18"/>
      <c r="H17" s="18"/>
      <c r="I17" s="18"/>
      <c r="J17" s="23">
        <f>-'Electricity Stat-2020'!H28</f>
        <v>-481.22684599999997</v>
      </c>
      <c r="K17" s="23"/>
      <c r="L17" s="23"/>
      <c r="M17" s="30">
        <f>-J17</f>
        <v>481.22684599999997</v>
      </c>
      <c r="N17" s="18"/>
      <c r="O17" s="25">
        <f t="shared" si="3"/>
        <v>0</v>
      </c>
      <c r="Q17" s="311" t="s">
        <v>300</v>
      </c>
      <c r="R17" s="312"/>
      <c r="S17" s="313"/>
    </row>
    <row r="18" spans="1:40" ht="20.100000000000001" customHeight="1">
      <c r="A18" s="722" t="s">
        <v>17</v>
      </c>
      <c r="B18" s="100"/>
      <c r="C18" s="18"/>
      <c r="D18" s="18"/>
      <c r="E18" s="18"/>
      <c r="F18" s="18"/>
      <c r="G18" s="18"/>
      <c r="H18" s="18"/>
      <c r="I18" s="18"/>
      <c r="J18" s="23"/>
      <c r="K18" s="23"/>
      <c r="L18" s="37">
        <f>-'Electricity Stat-2020'!H21</f>
        <v>-514.77574222222222</v>
      </c>
      <c r="M18" s="30">
        <f>-L18</f>
        <v>514.77574222222222</v>
      </c>
      <c r="N18" s="18"/>
      <c r="O18" s="25">
        <f>SUM(B18:N18)</f>
        <v>0</v>
      </c>
      <c r="Q18" s="314" t="s">
        <v>304</v>
      </c>
      <c r="R18" s="315"/>
      <c r="S18" s="407">
        <f>SUM(M17:M19)/(M15+M17+M19+M18)</f>
        <v>2.861866383413925E-2</v>
      </c>
    </row>
    <row r="19" spans="1:40" ht="20.100000000000001" customHeight="1">
      <c r="A19" s="722" t="s">
        <v>18</v>
      </c>
      <c r="B19" s="100"/>
      <c r="C19" s="18"/>
      <c r="D19" s="36"/>
      <c r="E19" s="18"/>
      <c r="F19" s="18"/>
      <c r="G19" s="18"/>
      <c r="H19" s="18"/>
      <c r="I19" s="18"/>
      <c r="J19" s="30">
        <f>-'Electricity Stat-2020'!H33</f>
        <v>-93.823505999999995</v>
      </c>
      <c r="K19" s="23"/>
      <c r="L19" s="23"/>
      <c r="M19" s="30">
        <f>-J19</f>
        <v>93.823505999999995</v>
      </c>
      <c r="N19" s="18"/>
      <c r="O19" s="25">
        <f t="shared" si="3"/>
        <v>0</v>
      </c>
      <c r="Q19" s="316" t="s">
        <v>305</v>
      </c>
      <c r="R19" s="317"/>
      <c r="S19" s="408">
        <f>SUM(M17:M19)/SUM(M15:M19)</f>
        <v>2.5456846937389952E-2</v>
      </c>
    </row>
    <row r="20" spans="1:40" ht="20.100000000000001" customHeight="1">
      <c r="A20" s="722" t="s">
        <v>82</v>
      </c>
      <c r="B20" s="100"/>
      <c r="C20" s="18"/>
      <c r="D20" s="36"/>
      <c r="E20" s="18"/>
      <c r="F20" s="18"/>
      <c r="G20" s="18"/>
      <c r="H20" s="18"/>
      <c r="I20" s="18"/>
      <c r="J20" s="30"/>
      <c r="K20" s="23">
        <f>-K5</f>
        <v>-74.367754392501737</v>
      </c>
      <c r="L20" s="23"/>
      <c r="M20" s="36"/>
      <c r="N20" s="23">
        <f>-K20</f>
        <v>74.367754392501737</v>
      </c>
      <c r="O20" s="25">
        <f>SUM(B20:N20)</f>
        <v>0</v>
      </c>
      <c r="AI20" s="310"/>
      <c r="AJ20" s="34"/>
    </row>
    <row r="21" spans="1:40" ht="20.100000000000001" customHeight="1">
      <c r="A21" s="723" t="s">
        <v>33</v>
      </c>
      <c r="B21" s="718">
        <f t="shared" ref="B21:O21" si="4">SUM(B15:B20)</f>
        <v>0</v>
      </c>
      <c r="C21" s="38">
        <f t="shared" si="4"/>
        <v>-24648.717434445</v>
      </c>
      <c r="D21" s="38">
        <f t="shared" si="4"/>
        <v>-80059.544120274018</v>
      </c>
      <c r="E21" s="38">
        <f t="shared" si="4"/>
        <v>0</v>
      </c>
      <c r="F21" s="38">
        <f t="shared" si="4"/>
        <v>0</v>
      </c>
      <c r="G21" s="38">
        <f t="shared" si="4"/>
        <v>0</v>
      </c>
      <c r="H21" s="38">
        <f t="shared" si="4"/>
        <v>0</v>
      </c>
      <c r="I21" s="38">
        <f t="shared" si="4"/>
        <v>0</v>
      </c>
      <c r="J21" s="38">
        <f t="shared" si="4"/>
        <v>-575.05035199999998</v>
      </c>
      <c r="K21" s="38">
        <f t="shared" si="4"/>
        <v>-74.367754392501737</v>
      </c>
      <c r="L21" s="38">
        <f t="shared" si="4"/>
        <v>-514.77574222222222</v>
      </c>
      <c r="M21" s="38">
        <f t="shared" si="4"/>
        <v>42810.725809940392</v>
      </c>
      <c r="N21" s="38">
        <f t="shared" si="4"/>
        <v>74.367754392501737</v>
      </c>
      <c r="O21" s="28">
        <f t="shared" si="4"/>
        <v>-62987.361839000841</v>
      </c>
      <c r="Q21" s="394" t="s">
        <v>391</v>
      </c>
      <c r="R21" s="395"/>
      <c r="S21" s="403" t="s">
        <v>53</v>
      </c>
      <c r="T21" s="333" t="s">
        <v>158</v>
      </c>
      <c r="AD21" s="61"/>
      <c r="AE21" s="11"/>
      <c r="AJ21" s="60"/>
    </row>
    <row r="22" spans="1:40" ht="20.100000000000001" customHeight="1">
      <c r="A22" s="725" t="s">
        <v>86</v>
      </c>
      <c r="B22" s="717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7"/>
      <c r="Q22" s="396" t="s">
        <v>296</v>
      </c>
      <c r="R22" s="397"/>
      <c r="S22" s="411">
        <f>SUM(B36:H36)</f>
        <v>57736.201047092472</v>
      </c>
      <c r="T22" s="398">
        <f>S22/$S$26</f>
        <v>0.59416368461220814</v>
      </c>
      <c r="AD22" s="61"/>
      <c r="AE22" s="11"/>
    </row>
    <row r="23" spans="1:40" ht="20.25" customHeight="1">
      <c r="A23" s="722" t="s">
        <v>29</v>
      </c>
      <c r="B23" s="10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3">
        <f>-'Electricity Stat-2020'!N17-'Electricity Stat-2020'!N21-'Electricity Stat-2020'!N25</f>
        <v>-1129.2647959999999</v>
      </c>
      <c r="N23" s="18"/>
      <c r="O23" s="25">
        <f>SUM(B23:N23)</f>
        <v>-1129.2647959999999</v>
      </c>
      <c r="Q23" s="396" t="s">
        <v>392</v>
      </c>
      <c r="R23" s="397"/>
      <c r="S23" s="411">
        <f>M36-S24</f>
        <v>38213.765608435955</v>
      </c>
      <c r="T23" s="398">
        <f t="shared" ref="T23:T24" si="5">S23/$S$26</f>
        <v>0.39325815285796323</v>
      </c>
      <c r="AD23" s="61"/>
      <c r="AE23" s="11"/>
      <c r="AF23" s="45"/>
      <c r="AM23" s="11"/>
      <c r="AN23" s="1"/>
    </row>
    <row r="24" spans="1:40" ht="20.100000000000001" customHeight="1">
      <c r="A24" s="722" t="s">
        <v>30</v>
      </c>
      <c r="B24" s="10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5">
        <f>SUM(B24:N24)</f>
        <v>0</v>
      </c>
      <c r="Q24" s="396" t="s">
        <v>393</v>
      </c>
      <c r="R24" s="399"/>
      <c r="S24" s="697">
        <f>SUM(M17:M19)</f>
        <v>1089.8260942222221</v>
      </c>
      <c r="T24" s="702">
        <f t="shared" si="5"/>
        <v>1.1215408634202407E-2</v>
      </c>
      <c r="V24" s="62">
        <f>T24+T25</f>
        <v>1.2578162529828529E-2</v>
      </c>
      <c r="AD24" s="61"/>
      <c r="AE24" s="11"/>
      <c r="AM24" s="11"/>
      <c r="AN24" s="1"/>
    </row>
    <row r="25" spans="1:40" ht="20.100000000000001" customHeight="1">
      <c r="A25" s="725" t="s">
        <v>27</v>
      </c>
      <c r="B25" s="717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6"/>
      <c r="Q25" s="396" t="s">
        <v>297</v>
      </c>
      <c r="R25" s="399"/>
      <c r="S25" s="412">
        <f>N36+I36</f>
        <v>132.4218139432912</v>
      </c>
      <c r="T25" s="701">
        <f>S25/$S$26</f>
        <v>1.3627538956261208E-3</v>
      </c>
      <c r="AM25" s="11"/>
      <c r="AN25" s="1"/>
    </row>
    <row r="26" spans="1:40" ht="20.100000000000001" customHeight="1">
      <c r="A26" s="722" t="s">
        <v>28</v>
      </c>
      <c r="B26" s="10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9">
        <f>-'Electricity Stat-2020'!E57</f>
        <v>-2419.1815002222256</v>
      </c>
      <c r="N26" s="18"/>
      <c r="O26" s="25">
        <f t="shared" ref="O26" si="6">SUM(B26:N26)</f>
        <v>-2419.1815002222256</v>
      </c>
      <c r="Q26" s="400"/>
      <c r="R26" s="401"/>
      <c r="S26" s="402">
        <f>SUM(S22:S25)</f>
        <v>97172.214563693953</v>
      </c>
      <c r="T26" s="414">
        <f>SUM(T22:T25)</f>
        <v>0.99999999999999989</v>
      </c>
      <c r="AM26" s="11"/>
      <c r="AN26" s="1"/>
    </row>
    <row r="27" spans="1:40" ht="20.100000000000001" customHeight="1">
      <c r="A27" s="723" t="s">
        <v>34</v>
      </c>
      <c r="B27" s="390">
        <f t="shared" ref="B27:O27" si="7">B12+B21+B26</f>
        <v>18876.878648767997</v>
      </c>
      <c r="C27" s="38">
        <f t="shared" si="7"/>
        <v>17396.118714293963</v>
      </c>
      <c r="D27" s="38">
        <f t="shared" si="7"/>
        <v>774.98536484266515</v>
      </c>
      <c r="E27" s="38">
        <f t="shared" si="7"/>
        <v>3436.6134436636762</v>
      </c>
      <c r="F27" s="38">
        <f t="shared" si="7"/>
        <v>4970.8777988079992</v>
      </c>
      <c r="G27" s="38">
        <f t="shared" si="7"/>
        <v>29.1622716</v>
      </c>
      <c r="H27" s="31">
        <f t="shared" si="7"/>
        <v>55.514253599999996</v>
      </c>
      <c r="I27" s="31">
        <f t="shared" si="7"/>
        <v>58.054059550789468</v>
      </c>
      <c r="J27" s="31">
        <f t="shared" si="7"/>
        <v>0</v>
      </c>
      <c r="K27" s="31">
        <f t="shared" si="7"/>
        <v>0</v>
      </c>
      <c r="L27" s="31">
        <f t="shared" si="7"/>
        <v>0</v>
      </c>
      <c r="M27" s="31">
        <f t="shared" si="7"/>
        <v>40391.544309718163</v>
      </c>
      <c r="N27" s="31">
        <f t="shared" si="7"/>
        <v>74.367754392501737</v>
      </c>
      <c r="O27" s="28">
        <f t="shared" si="7"/>
        <v>86064.116619237771</v>
      </c>
      <c r="U27" s="746">
        <f>M36/O36</f>
        <v>0.40447356149216562</v>
      </c>
      <c r="AM27" s="11"/>
      <c r="AN27" s="1"/>
    </row>
    <row r="28" spans="1:40" ht="20.100000000000001" customHeight="1">
      <c r="A28" s="725" t="s">
        <v>113</v>
      </c>
      <c r="B28" s="719"/>
      <c r="C28" s="41"/>
      <c r="D28" s="41"/>
      <c r="E28" s="41"/>
      <c r="F28" s="41"/>
      <c r="G28" s="41"/>
      <c r="H28" s="32"/>
      <c r="I28" s="32"/>
      <c r="J28" s="32"/>
      <c r="K28" s="32"/>
      <c r="L28" s="32"/>
      <c r="M28" s="32"/>
      <c r="N28" s="32"/>
      <c r="O28" s="26"/>
      <c r="Q28" s="319" t="s">
        <v>301</v>
      </c>
      <c r="R28" s="320"/>
      <c r="S28" s="321"/>
      <c r="AM28" s="11"/>
      <c r="AN28" s="1"/>
    </row>
    <row r="29" spans="1:40" ht="20.100000000000001" customHeight="1">
      <c r="A29" s="726" t="s">
        <v>21</v>
      </c>
      <c r="B29" s="388"/>
      <c r="C29" s="303"/>
      <c r="D29" s="931"/>
      <c r="E29" s="303"/>
      <c r="F29" s="303">
        <f>'Petroleum Stat-2020'!M68</f>
        <v>4032.8634771600009</v>
      </c>
      <c r="G29" s="30">
        <f>'Biomass, SWH &amp; Kero'!J40</f>
        <v>3.8457364329999999</v>
      </c>
      <c r="H29" s="56"/>
      <c r="I29" s="305">
        <f>'Biomass, SWH &amp; Kero'!F40+'Biomass, SWH &amp; Kero'!H40</f>
        <v>58.054059550789468</v>
      </c>
      <c r="J29" s="304"/>
      <c r="K29" s="18"/>
      <c r="L29" s="304"/>
      <c r="M29" s="303">
        <f>'Electricity Stat-2020'!E89</f>
        <v>12125.54413894</v>
      </c>
      <c r="N29" s="56">
        <f>'Biomass, SWH &amp; Kero'!L40</f>
        <v>74.367754392501737</v>
      </c>
      <c r="O29" s="307">
        <f>SUM(B29:N29)</f>
        <v>16294.675166476294</v>
      </c>
      <c r="P29" s="21"/>
      <c r="Q29" s="421" t="s">
        <v>21</v>
      </c>
      <c r="R29" s="322"/>
      <c r="S29" s="409">
        <f t="shared" ref="S29:S35" si="8">O29/$O$36</f>
        <v>0.1676886262152186</v>
      </c>
      <c r="AM29" s="11"/>
      <c r="AN29" s="1"/>
    </row>
    <row r="30" spans="1:40" ht="15.75">
      <c r="A30" s="726" t="s">
        <v>97</v>
      </c>
      <c r="B30" s="388">
        <f>'Petroleum Stat-2020'!H72+'Petroleum Stat-2020'!H73</f>
        <v>490.9963891000001</v>
      </c>
      <c r="C30" s="303">
        <f>'Petroleum Stat-2020'!D94</f>
        <v>3958.7802912899997</v>
      </c>
      <c r="D30" s="931"/>
      <c r="E30" s="303"/>
      <c r="F30" s="303">
        <f>'Petroleum Stat-2020'!M69+'Petroleum Stat-2020'!M71</f>
        <v>931.69173287900014</v>
      </c>
      <c r="G30" s="30">
        <f>'Petroleum Stat-2020'!R70</f>
        <v>9.0708800000000007</v>
      </c>
      <c r="H30" s="56"/>
      <c r="I30" s="305"/>
      <c r="J30" s="304"/>
      <c r="K30" s="304"/>
      <c r="L30" s="304"/>
      <c r="M30" s="303">
        <f>'Electricity Stat-2020'!E91</f>
        <v>21758.432935529399</v>
      </c>
      <c r="N30" s="303"/>
      <c r="O30" s="307">
        <f>SUM(B30:N30)</f>
        <v>27148.9722287984</v>
      </c>
      <c r="Q30" s="421" t="s">
        <v>97</v>
      </c>
      <c r="R30" s="322"/>
      <c r="S30" s="409">
        <f t="shared" si="8"/>
        <v>0.27939027993442439</v>
      </c>
      <c r="AM30" s="11"/>
      <c r="AN30" s="1"/>
    </row>
    <row r="31" spans="1:40" ht="20.100000000000001" customHeight="1">
      <c r="A31" s="726" t="s">
        <v>20</v>
      </c>
      <c r="B31" s="388">
        <f>'Petroleum Stat-2020'!H74</f>
        <v>32.282435</v>
      </c>
      <c r="C31" s="30">
        <f>'Petroleum Stat-2020'!D92</f>
        <v>3131.4831659999995</v>
      </c>
      <c r="D31" s="303">
        <f>'Petroleum Stat-2020'!W54</f>
        <v>4379.2919999999995</v>
      </c>
      <c r="E31" s="303"/>
      <c r="F31" s="303">
        <f>'Petroleum Stat-2020'!M70</f>
        <v>288.44316041999997</v>
      </c>
      <c r="G31" s="404">
        <f>'Petroleum Stat-2020'!R72</f>
        <v>6.8992000000000004</v>
      </c>
      <c r="H31" s="56"/>
      <c r="I31" s="304"/>
      <c r="J31" s="304"/>
      <c r="K31" s="304"/>
      <c r="L31" s="304"/>
      <c r="M31" s="303">
        <f>'Electricity Stat-2020'!E90</f>
        <v>5419.614628188775</v>
      </c>
      <c r="N31" s="303"/>
      <c r="O31" s="307">
        <f t="shared" ref="O31:O35" si="9">SUM(B31:N31)</f>
        <v>13258.014589608774</v>
      </c>
      <c r="Q31" s="421" t="s">
        <v>20</v>
      </c>
      <c r="R31" s="322"/>
      <c r="S31" s="409">
        <f t="shared" si="8"/>
        <v>0.13643832909579806</v>
      </c>
      <c r="AM31" s="11"/>
      <c r="AN31" s="84"/>
    </row>
    <row r="32" spans="1:40" ht="20.100000000000001" customHeight="1">
      <c r="A32" s="726" t="s">
        <v>94</v>
      </c>
      <c r="B32" s="389">
        <f>'Petroleum Stat-2020'!H70</f>
        <v>22022.355982959896</v>
      </c>
      <c r="C32" s="30">
        <f>'Petroleum Stat-2020'!D90</f>
        <v>11736.601264432033</v>
      </c>
      <c r="D32" s="931"/>
      <c r="E32" s="931"/>
      <c r="F32" s="303"/>
      <c r="G32" s="303"/>
      <c r="H32" s="304"/>
      <c r="I32" s="304"/>
      <c r="J32" s="304"/>
      <c r="K32" s="304"/>
      <c r="L32" s="304"/>
      <c r="M32" s="303">
        <v>0</v>
      </c>
      <c r="N32" s="303"/>
      <c r="O32" s="307">
        <f t="shared" si="9"/>
        <v>33758.957247391925</v>
      </c>
      <c r="P32" s="71"/>
      <c r="Q32" s="421" t="s">
        <v>94</v>
      </c>
      <c r="R32" s="322"/>
      <c r="S32" s="409">
        <f t="shared" si="8"/>
        <v>0.34741368609299089</v>
      </c>
      <c r="AM32" s="10"/>
    </row>
    <row r="33" spans="1:39" ht="20.100000000000001" customHeight="1">
      <c r="A33" s="726" t="s">
        <v>154</v>
      </c>
      <c r="B33" s="929"/>
      <c r="C33" s="930"/>
      <c r="D33" s="931"/>
      <c r="E33" s="303">
        <f>'Petroleum Stat-2020'!R58</f>
        <v>1614.4694781102746</v>
      </c>
      <c r="F33" s="931"/>
      <c r="G33" s="931"/>
      <c r="H33" s="303">
        <f>'Petroleum Stat-2020'!G33</f>
        <v>57.047349599999997</v>
      </c>
      <c r="I33" s="932"/>
      <c r="J33" s="932"/>
      <c r="K33" s="932"/>
      <c r="L33" s="932"/>
      <c r="M33" s="931">
        <v>0</v>
      </c>
      <c r="N33" s="931"/>
      <c r="O33" s="307">
        <f t="shared" si="9"/>
        <v>1671.5168277102746</v>
      </c>
      <c r="P33" s="71"/>
      <c r="Q33" s="421" t="s">
        <v>154</v>
      </c>
      <c r="R33" s="322"/>
      <c r="S33" s="409">
        <f t="shared" si="8"/>
        <v>1.7201592401855134E-2</v>
      </c>
    </row>
    <row r="34" spans="1:39" ht="20.100000000000001" customHeight="1">
      <c r="A34" s="726" t="s">
        <v>132</v>
      </c>
      <c r="B34" s="388">
        <f>'Petroleum Stat-2020'!H71</f>
        <v>684.93214500000011</v>
      </c>
      <c r="C34" s="306">
        <f>'Petroleum Stat-2020'!D91</f>
        <v>2470.2317934749999</v>
      </c>
      <c r="D34" s="931"/>
      <c r="E34" s="303"/>
      <c r="F34" s="303"/>
      <c r="G34" s="303"/>
      <c r="H34" s="304"/>
      <c r="I34" s="304"/>
      <c r="J34" s="304"/>
      <c r="K34" s="304"/>
      <c r="L34" s="304"/>
      <c r="M34" s="303">
        <v>0</v>
      </c>
      <c r="N34" s="303"/>
      <c r="O34" s="307">
        <f t="shared" si="9"/>
        <v>3155.1639384750001</v>
      </c>
      <c r="P34" s="71"/>
      <c r="Q34" s="421" t="s">
        <v>132</v>
      </c>
      <c r="R34" s="322"/>
      <c r="S34" s="409">
        <f t="shared" si="8"/>
        <v>3.2469816116075752E-2</v>
      </c>
      <c r="AM34" s="10"/>
    </row>
    <row r="35" spans="1:39" ht="20.100000000000001" customHeight="1">
      <c r="A35" s="726" t="s">
        <v>186</v>
      </c>
      <c r="B35" s="388"/>
      <c r="C35" s="306">
        <f>'Petroleum Stat-2020'!D93</f>
        <v>1884.914565233265</v>
      </c>
      <c r="D35" s="931"/>
      <c r="E35" s="303"/>
      <c r="F35" s="303"/>
      <c r="G35" s="303"/>
      <c r="H35" s="304"/>
      <c r="I35" s="304"/>
      <c r="J35" s="304"/>
      <c r="K35" s="304"/>
      <c r="L35" s="304"/>
      <c r="M35" s="303"/>
      <c r="N35" s="303"/>
      <c r="O35" s="307">
        <f t="shared" si="9"/>
        <v>1884.914565233265</v>
      </c>
      <c r="P35" s="71"/>
      <c r="Q35" s="421" t="s">
        <v>186</v>
      </c>
      <c r="R35" s="322"/>
      <c r="S35" s="410">
        <f t="shared" si="8"/>
        <v>1.9397670143637108E-2</v>
      </c>
    </row>
    <row r="36" spans="1:39" ht="20.100000000000001" customHeight="1">
      <c r="A36" s="727" t="s">
        <v>87</v>
      </c>
      <c r="B36" s="390">
        <f>SUM(B29:B35)</f>
        <v>23230.566952059897</v>
      </c>
      <c r="C36" s="38">
        <f t="shared" ref="C36:M36" si="10">SUM(C29:C35)</f>
        <v>23182.011080430297</v>
      </c>
      <c r="D36" s="38">
        <f t="shared" si="10"/>
        <v>4379.2919999999995</v>
      </c>
      <c r="E36" s="38">
        <f t="shared" si="10"/>
        <v>1614.4694781102746</v>
      </c>
      <c r="F36" s="38">
        <f t="shared" si="10"/>
        <v>5252.9983704590013</v>
      </c>
      <c r="G36" s="38">
        <f t="shared" si="10"/>
        <v>19.815816433000002</v>
      </c>
      <c r="H36" s="38">
        <f t="shared" si="10"/>
        <v>57.047349599999997</v>
      </c>
      <c r="I36" s="38">
        <f t="shared" si="10"/>
        <v>58.054059550789468</v>
      </c>
      <c r="J36" s="38">
        <f t="shared" si="10"/>
        <v>0</v>
      </c>
      <c r="K36" s="38">
        <f t="shared" si="10"/>
        <v>0</v>
      </c>
      <c r="L36" s="38">
        <f t="shared" si="10"/>
        <v>0</v>
      </c>
      <c r="M36" s="38">
        <f t="shared" si="10"/>
        <v>39303.591702658174</v>
      </c>
      <c r="N36" s="38">
        <f>SUM(N29:N35)</f>
        <v>74.367754392501737</v>
      </c>
      <c r="O36" s="58">
        <f>SUM(O29:O35)</f>
        <v>97172.214563693939</v>
      </c>
      <c r="P36" s="71"/>
      <c r="Q36" s="323" t="s">
        <v>56</v>
      </c>
      <c r="R36" s="324"/>
      <c r="S36" s="325">
        <f>SUM(S29:S35)</f>
        <v>0.99999999999999989</v>
      </c>
    </row>
    <row r="37" spans="1:39" ht="20.100000000000001" customHeight="1">
      <c r="A37" s="728" t="s">
        <v>88</v>
      </c>
      <c r="B37" s="391">
        <f>B27-B36</f>
        <v>-4353.6883032918995</v>
      </c>
      <c r="C37" s="42">
        <f t="shared" ref="C37:N37" si="11">C27-C36</f>
        <v>-5785.8923661363333</v>
      </c>
      <c r="D37" s="42">
        <f t="shared" si="11"/>
        <v>-3604.3066351573343</v>
      </c>
      <c r="E37" s="42">
        <f t="shared" si="11"/>
        <v>1822.1439655534016</v>
      </c>
      <c r="F37" s="42">
        <f t="shared" si="11"/>
        <v>-282.12057165100214</v>
      </c>
      <c r="G37" s="42">
        <f t="shared" si="11"/>
        <v>9.3464551669999985</v>
      </c>
      <c r="H37" s="42">
        <f t="shared" si="11"/>
        <v>-1.5330960000000005</v>
      </c>
      <c r="I37" s="42">
        <f t="shared" si="11"/>
        <v>0</v>
      </c>
      <c r="J37" s="42">
        <f t="shared" si="11"/>
        <v>0</v>
      </c>
      <c r="K37" s="42">
        <f t="shared" si="11"/>
        <v>0</v>
      </c>
      <c r="L37" s="42">
        <f t="shared" si="11"/>
        <v>0</v>
      </c>
      <c r="M37" s="42">
        <f t="shared" si="11"/>
        <v>1087.9526070599895</v>
      </c>
      <c r="N37" s="42">
        <f t="shared" si="11"/>
        <v>0</v>
      </c>
      <c r="O37" s="392">
        <f t="shared" ref="O37" si="12">O27-O36</f>
        <v>-11108.097944456167</v>
      </c>
      <c r="P37" s="71"/>
    </row>
    <row r="38" spans="1:39" ht="20.100000000000001" customHeight="1">
      <c r="A38" s="729" t="s">
        <v>295</v>
      </c>
      <c r="B38" s="933">
        <f>B$37/B$27</f>
        <v>-0.23063602750744194</v>
      </c>
      <c r="C38" s="934">
        <f t="shared" ref="C38:O38" si="13">C$37/C$27</f>
        <v>-0.33259673960388692</v>
      </c>
      <c r="D38" s="934">
        <f t="shared" si="13"/>
        <v>-4.6508060650784913</v>
      </c>
      <c r="E38" s="934">
        <f t="shared" si="13"/>
        <v>0.53021499084018753</v>
      </c>
      <c r="F38" s="386">
        <f t="shared" si="13"/>
        <v>-5.6754678563744568E-2</v>
      </c>
      <c r="G38" s="405"/>
      <c r="H38" s="405">
        <f t="shared" si="13"/>
        <v>-2.7616258898957809E-2</v>
      </c>
      <c r="I38" s="386">
        <f t="shared" si="13"/>
        <v>0</v>
      </c>
      <c r="J38" s="386"/>
      <c r="K38" s="386"/>
      <c r="L38" s="386"/>
      <c r="M38" s="386">
        <f t="shared" si="13"/>
        <v>2.6935157485380654E-2</v>
      </c>
      <c r="N38" s="386">
        <f t="shared" si="13"/>
        <v>0</v>
      </c>
      <c r="O38" s="387">
        <f t="shared" si="13"/>
        <v>-0.12906770418152635</v>
      </c>
      <c r="P38" s="51"/>
      <c r="Q38" s="703" t="s">
        <v>395</v>
      </c>
      <c r="R38" s="704"/>
      <c r="S38" s="705">
        <f>O12/'Biomass, SWH &amp; Kero'!B41</f>
        <v>1.5257378879461772</v>
      </c>
    </row>
    <row r="39" spans="1:39" ht="20.100000000000001" customHeight="1">
      <c r="B39" s="34">
        <f>((B30+B31+C30)+G29+G30+N29)/O36</f>
        <v>4.7023148610248165E-2</v>
      </c>
      <c r="C39" s="747">
        <f>(C31+C35)/O36</f>
        <v>5.1623787249853628E-2</v>
      </c>
      <c r="D39" s="34">
        <f>D36/O36</f>
        <v>4.5067327318443318E-2</v>
      </c>
      <c r="E39" s="393"/>
      <c r="F39" s="34">
        <f>F36/O36</f>
        <v>5.4058646229738785E-2</v>
      </c>
      <c r="G39" s="393"/>
      <c r="H39" s="393"/>
      <c r="I39" s="393"/>
      <c r="J39" s="393"/>
      <c r="K39" s="393"/>
      <c r="L39" s="393"/>
      <c r="M39" s="393"/>
      <c r="N39" s="393"/>
      <c r="O39" s="393"/>
      <c r="P39" s="51"/>
      <c r="Q39" s="706" t="s">
        <v>394</v>
      </c>
      <c r="R39" s="707" t="s">
        <v>396</v>
      </c>
      <c r="S39" s="708"/>
      <c r="U39" t="s">
        <v>430</v>
      </c>
    </row>
    <row r="40" spans="1:39" ht="20.100000000000001" customHeight="1"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7"/>
      <c r="P40" s="51"/>
      <c r="Q40" s="709" t="s">
        <v>397</v>
      </c>
      <c r="R40" s="710"/>
      <c r="S40" s="711"/>
    </row>
    <row r="41" spans="1:39" ht="20.100000000000001" customHeight="1"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748">
        <f>N36/O36</f>
        <v>7.6531912673200985E-4</v>
      </c>
      <c r="O41" s="393">
        <f>O40/O36</f>
        <v>0</v>
      </c>
      <c r="P41" s="51"/>
      <c r="S41" s="9"/>
    </row>
    <row r="42" spans="1:39">
      <c r="A42" s="2" t="s">
        <v>302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39">
      <c r="D43" s="1"/>
      <c r="E43" s="1"/>
      <c r="F43" s="1"/>
      <c r="G43" s="1"/>
      <c r="H43" s="1"/>
      <c r="I43" s="1"/>
      <c r="J43" s="1"/>
      <c r="K43" s="1"/>
      <c r="L43" s="1"/>
      <c r="M43" s="1"/>
      <c r="O43">
        <v>5321</v>
      </c>
      <c r="P43" s="9"/>
    </row>
    <row r="44" spans="1:39" ht="18.75">
      <c r="A44" s="50" t="s">
        <v>159</v>
      </c>
      <c r="B44" s="82" t="s">
        <v>53</v>
      </c>
      <c r="C44" s="82" t="s">
        <v>158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>O43/O36</f>
        <v>5.4758451517148643E-2</v>
      </c>
      <c r="S44" s="60"/>
    </row>
    <row r="45" spans="1:39">
      <c r="A45" s="422" t="s">
        <v>2</v>
      </c>
      <c r="B45" s="67">
        <f>D12</f>
        <v>80834.529485116684</v>
      </c>
      <c r="C45" s="69">
        <f t="shared" ref="C45:C56" si="14">$B45/$B$56</f>
        <v>0.53366460215651446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39">
      <c r="A46" s="422" t="s">
        <v>1</v>
      </c>
      <c r="B46" s="67">
        <f>C12</f>
        <v>42044.836148738963</v>
      </c>
      <c r="C46" s="69">
        <f t="shared" si="14"/>
        <v>0.27757742760392867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422" t="s">
        <v>5</v>
      </c>
      <c r="B47" s="67">
        <f>B12</f>
        <v>18876.878648767997</v>
      </c>
      <c r="C47" s="69">
        <f t="shared" si="14"/>
        <v>0.1246239942041896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422" t="s">
        <v>4</v>
      </c>
      <c r="B48" s="67">
        <f>F12</f>
        <v>4970.8777988079992</v>
      </c>
      <c r="C48" s="69">
        <f t="shared" si="14"/>
        <v>3.2817430122580885E-2</v>
      </c>
      <c r="F48" s="6"/>
    </row>
    <row r="49" spans="1:39" ht="15.75">
      <c r="A49" s="422" t="s">
        <v>3</v>
      </c>
      <c r="B49" s="67">
        <f>E12</f>
        <v>3436.6134436636762</v>
      </c>
      <c r="C49" s="69">
        <f t="shared" si="14"/>
        <v>2.2688311020801849E-2</v>
      </c>
      <c r="F49" s="49"/>
      <c r="AI49" s="83"/>
      <c r="AJ49" s="40"/>
      <c r="AK49" s="40"/>
      <c r="AL49" s="40"/>
      <c r="AM49" s="86"/>
    </row>
    <row r="50" spans="1:39" ht="15.75">
      <c r="A50" s="423" t="s">
        <v>90</v>
      </c>
      <c r="B50" s="67">
        <f>L12</f>
        <v>514.77574222222222</v>
      </c>
      <c r="C50" s="69">
        <f t="shared" si="14"/>
        <v>3.3985178539751118E-3</v>
      </c>
      <c r="U50" s="11"/>
      <c r="AI50" s="83"/>
      <c r="AJ50" s="40"/>
      <c r="AK50" s="40"/>
      <c r="AL50" s="40"/>
      <c r="AM50" s="87"/>
    </row>
    <row r="51" spans="1:39" ht="15.75">
      <c r="A51" s="422" t="s">
        <v>91</v>
      </c>
      <c r="B51" s="67">
        <f>J12</f>
        <v>575.05035199999998</v>
      </c>
      <c r="C51" s="69">
        <f t="shared" si="14"/>
        <v>3.7964471281613297E-3</v>
      </c>
      <c r="AI51" s="83"/>
      <c r="AJ51" s="40"/>
      <c r="AK51" s="40"/>
      <c r="AL51" s="40"/>
      <c r="AM51" s="86"/>
    </row>
    <row r="52" spans="1:39" ht="15.75">
      <c r="A52" s="422" t="s">
        <v>92</v>
      </c>
      <c r="B52" s="11">
        <f>K12</f>
        <v>74.367754392501737</v>
      </c>
      <c r="C52" s="69">
        <f t="shared" si="14"/>
        <v>4.9097134991619019E-4</v>
      </c>
      <c r="AI52" s="83"/>
      <c r="AJ52" s="40"/>
      <c r="AK52" s="40"/>
      <c r="AL52" s="40"/>
      <c r="AM52" s="39"/>
    </row>
    <row r="53" spans="1:39">
      <c r="A53" s="422" t="s">
        <v>54</v>
      </c>
      <c r="B53" s="67">
        <f>G12</f>
        <v>29.1622716</v>
      </c>
      <c r="C53" s="69">
        <f t="shared" si="14"/>
        <v>1.9252752716597017E-4</v>
      </c>
    </row>
    <row r="54" spans="1:39">
      <c r="A54" s="422" t="s">
        <v>6</v>
      </c>
      <c r="B54" s="67">
        <f>I12</f>
        <v>58.054059550789468</v>
      </c>
      <c r="C54" s="69">
        <f t="shared" si="14"/>
        <v>3.8326933788173999E-4</v>
      </c>
    </row>
    <row r="55" spans="1:39">
      <c r="A55" s="422" t="s">
        <v>101</v>
      </c>
      <c r="B55" s="67">
        <f>H12</f>
        <v>55.514253599999996</v>
      </c>
      <c r="C55" s="70">
        <f t="shared" si="14"/>
        <v>3.665016948841721E-4</v>
      </c>
    </row>
    <row r="56" spans="1:39">
      <c r="A56" s="424" t="s">
        <v>63</v>
      </c>
      <c r="B56" s="68">
        <f>SUM(B45:B55)</f>
        <v>151470.65995846083</v>
      </c>
      <c r="C56" s="52">
        <f t="shared" si="14"/>
        <v>1</v>
      </c>
    </row>
    <row r="57" spans="1:39">
      <c r="A57" t="s">
        <v>401</v>
      </c>
      <c r="B57" s="10">
        <f>SUM(B45:B49)+B53+B55</f>
        <v>150248.41205029533</v>
      </c>
      <c r="C57" s="1">
        <f>B57/B56</f>
        <v>0.9919307943300657</v>
      </c>
    </row>
    <row r="58" spans="1:39">
      <c r="A58" t="s">
        <v>402</v>
      </c>
      <c r="B58" s="10">
        <f>B50+B51+B52+B54</f>
        <v>1222.2479081655133</v>
      </c>
      <c r="C58" s="1">
        <f>B58/B56</f>
        <v>8.0692056699343713E-3</v>
      </c>
      <c r="J58" s="1"/>
    </row>
    <row r="59" spans="1:39">
      <c r="A59" t="s">
        <v>403</v>
      </c>
    </row>
    <row r="60" spans="1:39">
      <c r="A60" s="422" t="s">
        <v>2</v>
      </c>
      <c r="B60" s="67">
        <v>82383.262012305742</v>
      </c>
      <c r="D60" t="s">
        <v>404</v>
      </c>
    </row>
    <row r="61" spans="1:39">
      <c r="A61" s="422" t="s">
        <v>1</v>
      </c>
      <c r="B61" s="67">
        <v>59036.830703537882</v>
      </c>
      <c r="D61" s="423" t="s">
        <v>90</v>
      </c>
      <c r="E61" s="67">
        <v>318.96454</v>
      </c>
      <c r="U61" s="11"/>
    </row>
    <row r="62" spans="1:39">
      <c r="A62" s="422" t="s">
        <v>5</v>
      </c>
      <c r="B62" s="67">
        <v>27136.49864354762</v>
      </c>
      <c r="D62" s="422" t="s">
        <v>91</v>
      </c>
      <c r="E62" s="67">
        <v>435.51586800000001</v>
      </c>
      <c r="F62" s="5"/>
      <c r="G62" s="5"/>
      <c r="U62" s="10"/>
    </row>
    <row r="63" spans="1:39" ht="30">
      <c r="A63" s="422" t="s">
        <v>4</v>
      </c>
      <c r="B63" s="67">
        <v>5192.7825708930004</v>
      </c>
      <c r="D63" s="422" t="s">
        <v>92</v>
      </c>
      <c r="E63" s="11">
        <v>74.367754392501737</v>
      </c>
      <c r="F63" s="5"/>
      <c r="G63" s="5"/>
      <c r="U63" s="11"/>
    </row>
    <row r="64" spans="1:39">
      <c r="A64" s="422" t="s">
        <v>3</v>
      </c>
      <c r="B64" s="67">
        <v>4399.9580084734607</v>
      </c>
      <c r="D64" s="422" t="s">
        <v>6</v>
      </c>
      <c r="E64" s="67">
        <v>58.054059550789468</v>
      </c>
      <c r="F64" s="5"/>
      <c r="G64" s="5"/>
    </row>
    <row r="65" spans="1:21">
      <c r="A65" s="422" t="s">
        <v>54</v>
      </c>
      <c r="B65" s="67">
        <v>18.098714480000002</v>
      </c>
      <c r="E65" s="5">
        <f>SUM(E61:E64)</f>
        <v>886.90222194329124</v>
      </c>
      <c r="F65" s="5"/>
      <c r="G65" s="5"/>
    </row>
    <row r="66" spans="1:21">
      <c r="A66" s="422" t="s">
        <v>101</v>
      </c>
      <c r="B66" s="67">
        <v>8.071480799999998</v>
      </c>
      <c r="C66" s="5"/>
      <c r="F66" s="5"/>
      <c r="G66" s="5"/>
      <c r="U66" s="10"/>
    </row>
    <row r="67" spans="1:21">
      <c r="B67" s="10">
        <f>SUM(B60:B66)</f>
        <v>178175.5021340377</v>
      </c>
      <c r="C67" s="5"/>
      <c r="F67" s="5"/>
      <c r="G67" s="5"/>
      <c r="U67" s="10"/>
    </row>
    <row r="68" spans="1:21">
      <c r="U68" s="11"/>
    </row>
    <row r="69" spans="1:21">
      <c r="A69" s="2" t="s">
        <v>303</v>
      </c>
    </row>
    <row r="71" spans="1:21" ht="18.75">
      <c r="A71" s="50" t="s">
        <v>159</v>
      </c>
      <c r="B71" s="82" t="s">
        <v>53</v>
      </c>
      <c r="C71" s="82" t="s">
        <v>158</v>
      </c>
    </row>
    <row r="72" spans="1:21">
      <c r="A72" s="422" t="s">
        <v>10</v>
      </c>
      <c r="B72" s="430">
        <f>M36</f>
        <v>39303.591702658174</v>
      </c>
      <c r="C72" s="431">
        <f t="shared" ref="C72:C81" si="15">$B72/$B$82</f>
        <v>0.40447356149216562</v>
      </c>
    </row>
    <row r="73" spans="1:21">
      <c r="A73" s="422" t="s">
        <v>5</v>
      </c>
      <c r="B73" s="428">
        <f>B36</f>
        <v>23230.566952059897</v>
      </c>
      <c r="C73" s="431">
        <f t="shared" si="15"/>
        <v>0.23906594139452123</v>
      </c>
    </row>
    <row r="74" spans="1:21">
      <c r="A74" s="422" t="s">
        <v>1</v>
      </c>
      <c r="B74" s="428">
        <f>C36</f>
        <v>23182.011080430297</v>
      </c>
      <c r="C74" s="431">
        <f t="shared" si="15"/>
        <v>0.23856625254984873</v>
      </c>
    </row>
    <row r="75" spans="1:21">
      <c r="A75" s="422" t="s">
        <v>4</v>
      </c>
      <c r="B75" s="428">
        <f>F36</f>
        <v>5252.9983704590013</v>
      </c>
      <c r="C75" s="432">
        <f t="shared" si="15"/>
        <v>5.4058646229738785E-2</v>
      </c>
    </row>
    <row r="76" spans="1:21">
      <c r="A76" s="422" t="s">
        <v>2</v>
      </c>
      <c r="B76" s="428">
        <f>D36</f>
        <v>4379.2919999999995</v>
      </c>
      <c r="C76" s="431">
        <f t="shared" si="15"/>
        <v>4.5067327318443318E-2</v>
      </c>
    </row>
    <row r="77" spans="1:21">
      <c r="A77" s="422" t="s">
        <v>3</v>
      </c>
      <c r="B77" s="428">
        <f>E36</f>
        <v>1614.4694781102746</v>
      </c>
      <c r="C77" s="431">
        <f t="shared" si="15"/>
        <v>1.6614517692730268E-2</v>
      </c>
    </row>
    <row r="78" spans="1:21">
      <c r="A78" s="422" t="s">
        <v>156</v>
      </c>
      <c r="B78" s="428">
        <f>N36</f>
        <v>74.367754392501737</v>
      </c>
      <c r="C78" s="431">
        <f t="shared" si="15"/>
        <v>7.6531912673200985E-4</v>
      </c>
    </row>
    <row r="79" spans="1:21">
      <c r="A79" s="422" t="s">
        <v>54</v>
      </c>
      <c r="B79" s="428">
        <f>G36</f>
        <v>19.815816433000002</v>
      </c>
      <c r="C79" s="432">
        <f t="shared" si="15"/>
        <v>2.0392471780100507E-4</v>
      </c>
    </row>
    <row r="80" spans="1:21">
      <c r="A80" s="422" t="s">
        <v>155</v>
      </c>
      <c r="B80" s="428">
        <f>I36</f>
        <v>58.054059550789468</v>
      </c>
      <c r="C80" s="432">
        <f t="shared" si="15"/>
        <v>5.9743476889411113E-4</v>
      </c>
    </row>
    <row r="81" spans="1:3">
      <c r="A81" s="422" t="s">
        <v>101</v>
      </c>
      <c r="B81" s="428">
        <f>H36</f>
        <v>57.047349599999997</v>
      </c>
      <c r="C81" s="433">
        <f t="shared" si="15"/>
        <v>5.8707470912486921E-4</v>
      </c>
    </row>
    <row r="82" spans="1:3">
      <c r="A82" s="425" t="s">
        <v>63</v>
      </c>
      <c r="B82" s="426">
        <f>SUM(B72:B81)</f>
        <v>97172.214563693939</v>
      </c>
      <c r="C82" s="443">
        <f>SUM(C72:C81)</f>
        <v>0.99999999999999989</v>
      </c>
    </row>
    <row r="97" spans="1:7">
      <c r="A97" s="2" t="s">
        <v>306</v>
      </c>
    </row>
    <row r="99" spans="1:7">
      <c r="A99" s="50" t="s">
        <v>157</v>
      </c>
      <c r="B99" s="50" t="s">
        <v>53</v>
      </c>
      <c r="C99" s="50" t="s">
        <v>158</v>
      </c>
      <c r="G99" s="21"/>
    </row>
    <row r="100" spans="1:7" ht="15.75">
      <c r="A100" s="437" t="s">
        <v>164</v>
      </c>
      <c r="B100" s="429">
        <f>SUM(B101:B103)</f>
        <v>38585.638013577198</v>
      </c>
      <c r="C100" s="427">
        <f t="shared" ref="C100:C107" si="16">$B100/$B$108</f>
        <v>0.39708509461092178</v>
      </c>
      <c r="G100" s="21"/>
    </row>
    <row r="101" spans="1:7" ht="15.75">
      <c r="A101" s="438" t="s">
        <v>94</v>
      </c>
      <c r="B101" s="439">
        <f>O32</f>
        <v>33758.957247391925</v>
      </c>
      <c r="C101" s="440">
        <f t="shared" si="16"/>
        <v>0.34741368609299089</v>
      </c>
      <c r="G101" s="21"/>
    </row>
    <row r="102" spans="1:7" ht="15.75">
      <c r="A102" s="438" t="s">
        <v>132</v>
      </c>
      <c r="B102" s="439">
        <f>O34</f>
        <v>3155.1639384750001</v>
      </c>
      <c r="C102" s="440">
        <f t="shared" si="16"/>
        <v>3.2469816116075752E-2</v>
      </c>
      <c r="G102" s="21"/>
    </row>
    <row r="103" spans="1:7" ht="15.75">
      <c r="A103" s="438" t="s">
        <v>154</v>
      </c>
      <c r="B103" s="439">
        <f>O33</f>
        <v>1671.5168277102746</v>
      </c>
      <c r="C103" s="440">
        <f t="shared" si="16"/>
        <v>1.7201592401855134E-2</v>
      </c>
      <c r="G103" s="21"/>
    </row>
    <row r="104" spans="1:7" ht="15.75">
      <c r="A104" s="437" t="s">
        <v>98</v>
      </c>
      <c r="B104" s="429">
        <f>O30</f>
        <v>27148.9722287984</v>
      </c>
      <c r="C104" s="427">
        <f t="shared" si="16"/>
        <v>0.27939027993442439</v>
      </c>
      <c r="G104" s="21"/>
    </row>
    <row r="105" spans="1:7" ht="15.75">
      <c r="A105" s="437" t="s">
        <v>165</v>
      </c>
      <c r="B105" s="429">
        <f>O29</f>
        <v>16294.675166476294</v>
      </c>
      <c r="C105" s="427">
        <f t="shared" si="16"/>
        <v>0.1676886262152186</v>
      </c>
      <c r="G105" s="21"/>
    </row>
    <row r="106" spans="1:7" ht="15.75">
      <c r="A106" s="437" t="s">
        <v>166</v>
      </c>
      <c r="B106" s="429">
        <f>O31</f>
        <v>13258.014589608774</v>
      </c>
      <c r="C106" s="427">
        <f t="shared" si="16"/>
        <v>0.13643832909579806</v>
      </c>
    </row>
    <row r="107" spans="1:7" ht="15.75">
      <c r="A107" s="437" t="s">
        <v>186</v>
      </c>
      <c r="B107" s="429">
        <f>O35</f>
        <v>1884.914565233265</v>
      </c>
      <c r="C107" s="427">
        <f t="shared" si="16"/>
        <v>1.9397670143637108E-2</v>
      </c>
    </row>
    <row r="108" spans="1:7" ht="15.75">
      <c r="A108" s="441" t="s">
        <v>63</v>
      </c>
      <c r="B108" s="429">
        <f>SUM(B101:B107)</f>
        <v>97172.214563693939</v>
      </c>
      <c r="C108" s="442">
        <f>SUM(C101:C107)</f>
        <v>1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35"/>
  <sheetViews>
    <sheetView topLeftCell="A79" zoomScale="80" zoomScaleNormal="80" workbookViewId="0">
      <selection activeCell="D88" sqref="D88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1.2851562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30" ht="21">
      <c r="D1" s="8" t="s">
        <v>410</v>
      </c>
      <c r="L1" s="5"/>
      <c r="M1" s="5"/>
      <c r="N1" s="5"/>
      <c r="O1" s="5"/>
      <c r="P1" s="5"/>
      <c r="X1" s="163" t="s">
        <v>182</v>
      </c>
    </row>
    <row r="2" spans="1:30">
      <c r="L2" s="5"/>
      <c r="M2" s="5"/>
      <c r="N2" s="5"/>
      <c r="O2" s="5"/>
      <c r="P2" s="5"/>
    </row>
    <row r="3" spans="1:30" ht="15.75">
      <c r="A3" s="7" t="s">
        <v>411</v>
      </c>
      <c r="F3" s="161" t="s">
        <v>52</v>
      </c>
      <c r="L3" s="5"/>
      <c r="M3" s="5"/>
      <c r="N3" s="5"/>
      <c r="O3" s="5"/>
      <c r="P3" s="5"/>
      <c r="U3" s="171"/>
      <c r="V3" s="164"/>
      <c r="W3" s="177" t="s">
        <v>114</v>
      </c>
      <c r="X3" s="178" t="s">
        <v>115</v>
      </c>
      <c r="Y3" s="177" t="s">
        <v>37</v>
      </c>
      <c r="Z3" s="178" t="s">
        <v>38</v>
      </c>
      <c r="AA3" s="177" t="s">
        <v>39</v>
      </c>
      <c r="AB3" s="178" t="s">
        <v>4</v>
      </c>
      <c r="AC3" s="179" t="s">
        <v>116</v>
      </c>
      <c r="AD3" s="180" t="s">
        <v>40</v>
      </c>
    </row>
    <row r="4" spans="1:30">
      <c r="L4" s="5"/>
      <c r="M4" s="5"/>
      <c r="N4" s="5"/>
      <c r="O4" s="5"/>
      <c r="P4" s="5"/>
      <c r="U4" s="172"/>
      <c r="V4" s="173"/>
      <c r="W4" s="166"/>
      <c r="X4" s="64"/>
      <c r="Y4" s="166"/>
      <c r="Z4" s="64"/>
      <c r="AA4" s="166"/>
      <c r="AB4" s="64"/>
      <c r="AC4" s="166"/>
      <c r="AD4" s="169"/>
    </row>
    <row r="5" spans="1:30">
      <c r="A5" s="96"/>
      <c r="B5" s="97"/>
      <c r="C5" s="112" t="s">
        <v>35</v>
      </c>
      <c r="D5" s="98" t="s">
        <v>36</v>
      </c>
      <c r="E5" s="112" t="s">
        <v>37</v>
      </c>
      <c r="F5" s="98" t="s">
        <v>38</v>
      </c>
      <c r="G5" s="112" t="s">
        <v>39</v>
      </c>
      <c r="H5" s="98" t="s">
        <v>4</v>
      </c>
      <c r="I5" s="16" t="s">
        <v>41</v>
      </c>
      <c r="J5" s="99" t="s">
        <v>40</v>
      </c>
      <c r="L5" s="5"/>
      <c r="M5" s="5"/>
      <c r="N5" s="5"/>
      <c r="O5" s="5"/>
      <c r="P5" s="5"/>
      <c r="U5" s="174" t="s">
        <v>117</v>
      </c>
      <c r="V5" s="175"/>
      <c r="W5" s="132">
        <v>0</v>
      </c>
      <c r="X5" s="135">
        <v>223100.10472413775</v>
      </c>
      <c r="Y5" s="132">
        <v>50403.004923545399</v>
      </c>
      <c r="Z5" s="135">
        <v>95652.795412869251</v>
      </c>
      <c r="AA5" s="132">
        <v>11.52</v>
      </c>
      <c r="AB5" s="135">
        <v>6513.3320000000003</v>
      </c>
      <c r="AC5" s="134">
        <v>24097.780872418523</v>
      </c>
      <c r="AD5" s="122">
        <v>0</v>
      </c>
    </row>
    <row r="6" spans="1:30">
      <c r="A6" s="120" t="s">
        <v>176</v>
      </c>
      <c r="B6" s="104"/>
      <c r="C6" s="129"/>
      <c r="D6" s="130">
        <v>248150.477304</v>
      </c>
      <c r="E6" s="129">
        <v>20880.243776000003</v>
      </c>
      <c r="F6" s="130">
        <v>90108.801608999987</v>
      </c>
      <c r="G6" s="129">
        <v>46.08</v>
      </c>
      <c r="H6" s="130">
        <v>3918.511</v>
      </c>
      <c r="I6" s="131">
        <v>20850.210238</v>
      </c>
      <c r="J6" s="121">
        <v>0</v>
      </c>
      <c r="L6" s="5"/>
      <c r="M6" s="5"/>
      <c r="N6" s="5"/>
      <c r="O6" s="5"/>
      <c r="P6" s="5"/>
      <c r="Q6" s="5"/>
      <c r="R6" s="5"/>
      <c r="S6" s="5"/>
      <c r="T6" s="5"/>
      <c r="U6" s="174" t="s">
        <v>118</v>
      </c>
      <c r="V6" s="175"/>
      <c r="W6" s="134">
        <v>0</v>
      </c>
      <c r="X6" s="135">
        <v>0</v>
      </c>
      <c r="Y6" s="134">
        <v>0</v>
      </c>
      <c r="Z6" s="135">
        <v>0</v>
      </c>
      <c r="AA6" s="134">
        <v>0</v>
      </c>
      <c r="AB6" s="135">
        <v>0</v>
      </c>
      <c r="AC6" s="134">
        <v>0</v>
      </c>
      <c r="AD6" s="122">
        <v>0</v>
      </c>
    </row>
    <row r="7" spans="1:30">
      <c r="A7" s="100" t="s">
        <v>177</v>
      </c>
      <c r="B7" s="18"/>
      <c r="C7" s="132"/>
      <c r="D7" s="133">
        <v>8133.1758558377915</v>
      </c>
      <c r="E7" s="132">
        <v>3561.9983131182171</v>
      </c>
      <c r="F7" s="133">
        <v>8958.2924161649444</v>
      </c>
      <c r="G7" s="132">
        <v>12.68136</v>
      </c>
      <c r="H7" s="133">
        <v>2130.7378066000001</v>
      </c>
      <c r="I7" s="132">
        <v>312.5643298600001</v>
      </c>
      <c r="J7" s="122">
        <v>92.943200000000004</v>
      </c>
      <c r="L7" s="5"/>
      <c r="M7" s="5"/>
      <c r="N7" s="5"/>
      <c r="O7" s="5"/>
      <c r="P7" s="5"/>
      <c r="Q7" s="5"/>
      <c r="R7" s="5"/>
      <c r="S7" s="5"/>
      <c r="T7" s="5"/>
      <c r="U7" s="174" t="s">
        <v>119</v>
      </c>
      <c r="V7" s="175"/>
      <c r="W7" s="132">
        <v>27.049489000000001</v>
      </c>
      <c r="X7" s="133">
        <v>20175.172358400003</v>
      </c>
      <c r="Y7" s="132">
        <v>4457.179703718808</v>
      </c>
      <c r="Z7" s="133">
        <v>7701.4001937808407</v>
      </c>
      <c r="AA7" s="132">
        <v>8.6831999999999994</v>
      </c>
      <c r="AB7" s="133">
        <v>489.27142269999996</v>
      </c>
      <c r="AC7" s="132">
        <v>788.13197600000001</v>
      </c>
      <c r="AD7" s="122">
        <v>109.62123200000001</v>
      </c>
    </row>
    <row r="8" spans="1:30">
      <c r="A8" s="103" t="s">
        <v>178</v>
      </c>
      <c r="B8" s="104"/>
      <c r="C8" s="129"/>
      <c r="D8" s="130">
        <v>10585.546877647803</v>
      </c>
      <c r="E8" s="129">
        <v>1962.1667975672137</v>
      </c>
      <c r="F8" s="130">
        <v>8453.9761399999988</v>
      </c>
      <c r="G8" s="131">
        <v>6.1624799999999995</v>
      </c>
      <c r="H8" s="130">
        <v>1557.2180000000001</v>
      </c>
      <c r="I8" s="131">
        <v>1509.6322210000003</v>
      </c>
      <c r="J8" s="121">
        <v>67.647440000000003</v>
      </c>
      <c r="L8" s="5"/>
      <c r="M8" s="5"/>
      <c r="N8" s="5"/>
      <c r="O8" s="5"/>
      <c r="P8" s="5"/>
      <c r="Q8" s="5"/>
      <c r="R8" s="5"/>
      <c r="S8" s="5"/>
      <c r="T8" s="5"/>
      <c r="U8" s="174" t="s">
        <v>120</v>
      </c>
      <c r="V8" s="175"/>
      <c r="W8" s="134">
        <v>0</v>
      </c>
      <c r="X8" s="135">
        <v>0</v>
      </c>
      <c r="Y8" s="134">
        <v>0</v>
      </c>
      <c r="Z8" s="135">
        <v>0</v>
      </c>
      <c r="AA8" s="134">
        <v>0</v>
      </c>
      <c r="AB8" s="135">
        <v>0</v>
      </c>
      <c r="AC8" s="134">
        <v>0</v>
      </c>
      <c r="AD8" s="122">
        <v>0</v>
      </c>
    </row>
    <row r="9" spans="1:30">
      <c r="A9" s="100" t="s">
        <v>43</v>
      </c>
      <c r="B9" s="18"/>
      <c r="C9" s="134"/>
      <c r="D9" s="135">
        <f t="shared" ref="D9:J9" si="0">D7-D8</f>
        <v>-2452.3710218100114</v>
      </c>
      <c r="E9" s="134">
        <f t="shared" si="0"/>
        <v>1599.8315155510033</v>
      </c>
      <c r="F9" s="135">
        <f t="shared" si="0"/>
        <v>504.31627616494552</v>
      </c>
      <c r="G9" s="134">
        <f t="shared" si="0"/>
        <v>6.5188800000000002</v>
      </c>
      <c r="H9" s="135">
        <f t="shared" si="0"/>
        <v>573.51980660000004</v>
      </c>
      <c r="I9" s="134">
        <f t="shared" si="0"/>
        <v>-1197.0678911400003</v>
      </c>
      <c r="J9" s="136">
        <f t="shared" si="0"/>
        <v>25.295760000000001</v>
      </c>
      <c r="L9" s="5"/>
      <c r="M9" s="5"/>
      <c r="N9" s="5"/>
      <c r="O9" s="5"/>
      <c r="P9" s="5"/>
      <c r="Q9" s="5"/>
      <c r="R9" s="5"/>
      <c r="S9" s="5"/>
      <c r="T9" s="5"/>
      <c r="U9" s="174" t="s">
        <v>121</v>
      </c>
      <c r="V9" s="175"/>
      <c r="W9" s="132">
        <v>0</v>
      </c>
      <c r="X9" s="135">
        <v>8133.1758558377915</v>
      </c>
      <c r="Y9" s="132">
        <v>3561.9983131182171</v>
      </c>
      <c r="Z9" s="135">
        <v>8958.2924161649444</v>
      </c>
      <c r="AA9" s="134">
        <v>12.68136</v>
      </c>
      <c r="AB9" s="135">
        <v>2130.7378066000001</v>
      </c>
      <c r="AC9" s="134">
        <v>312.5643298600001</v>
      </c>
      <c r="AD9" s="122">
        <v>92.943200000000004</v>
      </c>
    </row>
    <row r="10" spans="1:30">
      <c r="A10" s="103" t="s">
        <v>44</v>
      </c>
      <c r="B10" s="104"/>
      <c r="C10" s="131"/>
      <c r="D10" s="130">
        <v>-2954.3192367900001</v>
      </c>
      <c r="E10" s="131">
        <v>122.05547122127381</v>
      </c>
      <c r="F10" s="130">
        <v>-185.57686583505478</v>
      </c>
      <c r="G10" s="131">
        <v>-0.71639999999999993</v>
      </c>
      <c r="H10" s="130">
        <v>-93.023905000000056</v>
      </c>
      <c r="I10" s="131">
        <v>-2011.199684460001</v>
      </c>
      <c r="J10" s="121">
        <v>2.6107200000000002</v>
      </c>
      <c r="L10" s="5"/>
      <c r="M10" s="5"/>
      <c r="N10" s="5"/>
      <c r="O10" s="5"/>
      <c r="P10" s="5"/>
      <c r="Q10" s="5"/>
      <c r="R10" s="5"/>
      <c r="S10" s="5"/>
      <c r="T10" s="5"/>
      <c r="U10" s="174" t="s">
        <v>122</v>
      </c>
      <c r="V10" s="175"/>
      <c r="W10" s="134">
        <v>0</v>
      </c>
      <c r="X10" s="135">
        <v>0</v>
      </c>
      <c r="Y10" s="134">
        <v>0</v>
      </c>
      <c r="Z10" s="135">
        <v>0</v>
      </c>
      <c r="AA10" s="134">
        <v>0</v>
      </c>
      <c r="AB10" s="135">
        <v>0</v>
      </c>
      <c r="AC10" s="134">
        <v>0</v>
      </c>
      <c r="AD10" s="122">
        <v>0</v>
      </c>
    </row>
    <row r="11" spans="1:30">
      <c r="A11" s="100" t="s">
        <v>45</v>
      </c>
      <c r="B11" s="18"/>
      <c r="C11" s="132"/>
      <c r="D11" s="135">
        <v>0</v>
      </c>
      <c r="E11" s="132">
        <v>0</v>
      </c>
      <c r="F11" s="135">
        <v>0</v>
      </c>
      <c r="G11" s="132">
        <v>0</v>
      </c>
      <c r="H11" s="135">
        <v>0</v>
      </c>
      <c r="I11" s="134">
        <v>0</v>
      </c>
      <c r="J11" s="122">
        <v>24.852800000000002</v>
      </c>
      <c r="L11" s="5"/>
      <c r="M11" s="5"/>
      <c r="N11" s="5"/>
      <c r="O11" s="5"/>
      <c r="P11" s="5"/>
      <c r="Q11" s="5"/>
      <c r="R11" s="5"/>
      <c r="S11" s="5"/>
      <c r="T11" s="5"/>
      <c r="U11" s="174" t="s">
        <v>123</v>
      </c>
      <c r="V11" s="175"/>
      <c r="W11" s="132">
        <v>27.049489000000001</v>
      </c>
      <c r="X11" s="133">
        <v>12041.996502562213</v>
      </c>
      <c r="Y11" s="132">
        <v>895.18139060059093</v>
      </c>
      <c r="Z11" s="133">
        <v>-1256.8922223841037</v>
      </c>
      <c r="AA11" s="132">
        <v>-3.9981599999999995</v>
      </c>
      <c r="AB11" s="133">
        <v>-1641.4663839000002</v>
      </c>
      <c r="AC11" s="132">
        <v>475.56764613999985</v>
      </c>
      <c r="AD11" s="122">
        <v>16.678032000000002</v>
      </c>
    </row>
    <row r="12" spans="1:30">
      <c r="A12" s="103" t="s">
        <v>46</v>
      </c>
      <c r="B12" s="104"/>
      <c r="C12" s="123"/>
      <c r="D12" s="124">
        <f t="shared" ref="D12:J12" si="1">D6+D9+D10+D11</f>
        <v>242743.78704539998</v>
      </c>
      <c r="E12" s="123">
        <f t="shared" si="1"/>
        <v>22602.130762772278</v>
      </c>
      <c r="F12" s="124">
        <f t="shared" si="1"/>
        <v>90427.541019329874</v>
      </c>
      <c r="G12" s="123">
        <f t="shared" si="1"/>
        <v>51.882480000000001</v>
      </c>
      <c r="H12" s="124">
        <f t="shared" si="1"/>
        <v>4399.0069015999998</v>
      </c>
      <c r="I12" s="123">
        <f t="shared" si="1"/>
        <v>17641.942662400001</v>
      </c>
      <c r="J12" s="125">
        <f t="shared" si="1"/>
        <v>52.759280000000004</v>
      </c>
      <c r="L12" s="5"/>
      <c r="M12" s="5"/>
      <c r="N12" s="5"/>
      <c r="O12" s="5"/>
      <c r="P12" s="5"/>
      <c r="Q12" s="5"/>
      <c r="R12" s="5"/>
      <c r="S12" s="5"/>
      <c r="T12" s="5"/>
      <c r="U12" s="174" t="s">
        <v>124</v>
      </c>
      <c r="V12" s="175"/>
      <c r="W12" s="134">
        <v>9.1652889999999996</v>
      </c>
      <c r="X12" s="135">
        <v>-3439.9120800000001</v>
      </c>
      <c r="Y12" s="134">
        <v>210.47656000000003</v>
      </c>
      <c r="Z12" s="135">
        <v>-1417.5496619999999</v>
      </c>
      <c r="AA12" s="134">
        <v>2.1599999999999998E-2</v>
      </c>
      <c r="AB12" s="135">
        <v>-276.48281000000003</v>
      </c>
      <c r="AC12" s="134">
        <v>750.57588299999998</v>
      </c>
      <c r="AD12" s="122">
        <v>0.6413120000000001</v>
      </c>
    </row>
    <row r="13" spans="1:30">
      <c r="A13" s="100"/>
      <c r="B13" s="18"/>
      <c r="C13" s="126"/>
      <c r="D13" s="127"/>
      <c r="E13" s="126"/>
      <c r="F13" s="127"/>
      <c r="G13" s="126"/>
      <c r="H13" s="127"/>
      <c r="I13" s="126"/>
      <c r="J13" s="128"/>
      <c r="P13" s="5"/>
      <c r="Q13" s="5"/>
      <c r="R13" s="5"/>
      <c r="S13" s="5"/>
      <c r="T13" s="5"/>
      <c r="U13" s="174" t="s">
        <v>125</v>
      </c>
      <c r="V13" s="175"/>
      <c r="W13" s="132">
        <v>1.074506</v>
      </c>
      <c r="X13" s="135">
        <v>0</v>
      </c>
      <c r="Y13" s="132">
        <v>0</v>
      </c>
      <c r="Z13" s="135">
        <v>0</v>
      </c>
      <c r="AA13" s="132">
        <v>0</v>
      </c>
      <c r="AB13" s="135">
        <v>0</v>
      </c>
      <c r="AC13" s="134">
        <v>0</v>
      </c>
      <c r="AD13" s="122">
        <v>0</v>
      </c>
    </row>
    <row r="14" spans="1:30" ht="15" customHeight="1">
      <c r="A14" s="137" t="s">
        <v>47</v>
      </c>
      <c r="B14" s="138"/>
      <c r="C14" s="119"/>
      <c r="D14" s="91">
        <v>43443.856682580001</v>
      </c>
      <c r="E14" s="119">
        <v>1508.0310560000003</v>
      </c>
      <c r="F14" s="91">
        <v>84396.142499999987</v>
      </c>
      <c r="G14" s="119">
        <v>53.315279999999994</v>
      </c>
      <c r="H14" s="91">
        <v>4651.0537355999995</v>
      </c>
      <c r="I14" s="119">
        <v>21651.341635569996</v>
      </c>
      <c r="J14" s="92">
        <v>46.224640000000008</v>
      </c>
      <c r="K14" s="9"/>
      <c r="N14" s="75" t="s">
        <v>180</v>
      </c>
      <c r="P14" s="5"/>
      <c r="Q14" s="5"/>
      <c r="R14" s="5"/>
      <c r="S14" s="5"/>
      <c r="T14" s="5"/>
      <c r="U14" s="176"/>
      <c r="V14" s="165"/>
      <c r="W14" s="134"/>
      <c r="X14" s="135"/>
      <c r="Y14" s="134"/>
      <c r="Z14" s="135"/>
      <c r="AA14" s="134"/>
      <c r="AB14" s="135"/>
      <c r="AC14" s="134"/>
      <c r="AD14" s="122"/>
    </row>
    <row r="15" spans="1:30" ht="15" customHeight="1">
      <c r="A15" s="100"/>
      <c r="B15" s="18"/>
      <c r="C15" s="115"/>
      <c r="D15" s="106">
        <v>0</v>
      </c>
      <c r="E15" s="115">
        <v>0</v>
      </c>
      <c r="F15" s="106">
        <v>0</v>
      </c>
      <c r="G15" s="115">
        <v>0</v>
      </c>
      <c r="H15" s="106">
        <v>0</v>
      </c>
      <c r="I15" s="115">
        <v>0</v>
      </c>
      <c r="J15" s="107">
        <v>0</v>
      </c>
      <c r="K15" s="90"/>
      <c r="N15" s="75" t="s">
        <v>181</v>
      </c>
      <c r="P15" s="5"/>
      <c r="Q15" s="5"/>
      <c r="R15" s="5"/>
      <c r="S15" s="5"/>
      <c r="T15" s="5"/>
      <c r="U15" s="170" t="s">
        <v>126</v>
      </c>
      <c r="V15" s="168"/>
      <c r="W15" s="181">
        <f>W5+W11+W12+W13</f>
        <v>37.289284000000002</v>
      </c>
      <c r="X15" s="182">
        <f t="shared" ref="X15:AD15" si="2">X5+X11+X12+X13</f>
        <v>231702.18914669997</v>
      </c>
      <c r="Y15" s="181">
        <f t="shared" si="2"/>
        <v>51508.662874145994</v>
      </c>
      <c r="Z15" s="182">
        <f t="shared" si="2"/>
        <v>92978.353528485139</v>
      </c>
      <c r="AA15" s="181">
        <f t="shared" si="2"/>
        <v>7.5434400000000004</v>
      </c>
      <c r="AB15" s="182">
        <f t="shared" si="2"/>
        <v>4595.3828060999995</v>
      </c>
      <c r="AC15" s="181">
        <f t="shared" si="2"/>
        <v>25323.924401558525</v>
      </c>
      <c r="AD15" s="183">
        <f t="shared" si="2"/>
        <v>17.319344000000001</v>
      </c>
    </row>
    <row r="16" spans="1:30" ht="15" customHeight="1">
      <c r="A16" s="103" t="s">
        <v>48</v>
      </c>
      <c r="B16" s="104"/>
      <c r="C16" s="114"/>
      <c r="D16" s="105">
        <v>202120.75695000001</v>
      </c>
      <c r="E16" s="114">
        <v>19375.263679520001</v>
      </c>
      <c r="F16" s="105">
        <v>6224.9061389999997</v>
      </c>
      <c r="G16" s="119">
        <v>0</v>
      </c>
      <c r="H16" s="91">
        <v>0</v>
      </c>
      <c r="I16" s="119">
        <v>0</v>
      </c>
      <c r="J16" s="92">
        <v>0</v>
      </c>
      <c r="O16" s="5"/>
      <c r="P16" s="5"/>
      <c r="Q16" s="5"/>
      <c r="R16" s="5"/>
      <c r="S16" s="5"/>
      <c r="T16" s="5"/>
      <c r="U16" s="174"/>
      <c r="V16" s="175"/>
      <c r="W16" s="184"/>
      <c r="X16" s="185"/>
      <c r="Y16" s="184"/>
      <c r="Z16" s="185"/>
      <c r="AA16" s="184"/>
      <c r="AB16" s="185"/>
      <c r="AC16" s="184"/>
      <c r="AD16" s="122"/>
    </row>
    <row r="17" spans="1:30" ht="15" customHeight="1">
      <c r="A17" s="100"/>
      <c r="B17" s="18"/>
      <c r="C17" s="116"/>
      <c r="D17" s="109"/>
      <c r="E17" s="118"/>
      <c r="F17" s="109"/>
      <c r="G17" s="116"/>
      <c r="H17" s="108">
        <v>0</v>
      </c>
      <c r="I17" s="116">
        <v>0</v>
      </c>
      <c r="J17" s="110">
        <v>0</v>
      </c>
      <c r="K17" s="90"/>
      <c r="O17" s="5"/>
      <c r="P17" s="5"/>
      <c r="Q17" s="5"/>
      <c r="R17" s="5"/>
      <c r="S17" s="5"/>
      <c r="T17" s="5"/>
      <c r="U17" s="174" t="s">
        <v>127</v>
      </c>
      <c r="V17" s="175"/>
      <c r="W17" s="126">
        <v>17.8842</v>
      </c>
      <c r="X17" s="127">
        <v>57210.607142699977</v>
      </c>
      <c r="Y17" s="126">
        <v>2923.9272160000005</v>
      </c>
      <c r="Z17" s="127">
        <v>83257.175783999992</v>
      </c>
      <c r="AA17" s="126">
        <v>5.8247999999999998</v>
      </c>
      <c r="AB17" s="127">
        <v>5148.3484261000003</v>
      </c>
      <c r="AC17" s="126">
        <v>23821.698108389999</v>
      </c>
      <c r="AD17" s="128">
        <v>19.478480000000001</v>
      </c>
    </row>
    <row r="18" spans="1:30" ht="15" customHeight="1">
      <c r="A18" s="142" t="s">
        <v>49</v>
      </c>
      <c r="B18" s="111"/>
      <c r="C18" s="117"/>
      <c r="D18" s="93">
        <f t="shared" ref="D18:J18" si="3">D14+D16</f>
        <v>245564.61363258</v>
      </c>
      <c r="E18" s="117">
        <f t="shared" si="3"/>
        <v>20883.294735520001</v>
      </c>
      <c r="F18" s="93">
        <f t="shared" si="3"/>
        <v>90621.048638999986</v>
      </c>
      <c r="G18" s="117">
        <f t="shared" si="3"/>
        <v>53.315279999999994</v>
      </c>
      <c r="H18" s="93">
        <f t="shared" si="3"/>
        <v>4651.0537355999995</v>
      </c>
      <c r="I18" s="117">
        <f t="shared" si="3"/>
        <v>21651.341635569996</v>
      </c>
      <c r="J18" s="94">
        <f t="shared" si="3"/>
        <v>46.224640000000008</v>
      </c>
      <c r="O18" s="5"/>
      <c r="P18" s="5"/>
      <c r="Q18" s="5"/>
      <c r="R18" s="5"/>
      <c r="S18" s="5"/>
      <c r="T18" s="5"/>
      <c r="U18" s="174" t="s">
        <v>128</v>
      </c>
      <c r="V18" s="175"/>
      <c r="W18" s="126">
        <v>0</v>
      </c>
      <c r="X18" s="127">
        <v>0</v>
      </c>
      <c r="Y18" s="126">
        <v>0</v>
      </c>
      <c r="Z18" s="127">
        <v>0</v>
      </c>
      <c r="AA18" s="126">
        <v>0</v>
      </c>
      <c r="AB18" s="127">
        <v>0</v>
      </c>
      <c r="AC18" s="126">
        <v>0</v>
      </c>
      <c r="AD18" s="128">
        <v>0</v>
      </c>
    </row>
    <row r="19" spans="1:30">
      <c r="A19" s="22"/>
      <c r="D19" s="5"/>
      <c r="E19" s="5"/>
      <c r="U19" s="100" t="s">
        <v>179</v>
      </c>
      <c r="V19" s="175"/>
      <c r="W19" s="126">
        <v>0</v>
      </c>
      <c r="X19" s="127">
        <v>181371.40616399999</v>
      </c>
      <c r="Y19" s="126">
        <v>48046.321566052204</v>
      </c>
      <c r="Z19" s="127">
        <v>10793.005599</v>
      </c>
      <c r="AA19" s="126">
        <v>1.51128</v>
      </c>
      <c r="AB19" s="127">
        <v>0</v>
      </c>
      <c r="AC19" s="126">
        <v>0</v>
      </c>
      <c r="AD19" s="128">
        <v>0</v>
      </c>
    </row>
    <row r="20" spans="1:30">
      <c r="I20" s="5"/>
      <c r="U20" s="176"/>
      <c r="V20" s="165"/>
      <c r="W20" s="184"/>
      <c r="X20" s="185"/>
      <c r="Y20" s="184"/>
      <c r="Z20" s="185"/>
      <c r="AA20" s="184"/>
      <c r="AB20" s="185"/>
      <c r="AC20" s="184"/>
      <c r="AD20" s="122"/>
    </row>
    <row r="21" spans="1:30">
      <c r="A21" s="144" t="s">
        <v>51</v>
      </c>
      <c r="B21" s="143"/>
      <c r="C21" s="215">
        <v>1.07</v>
      </c>
      <c r="D21" s="215">
        <v>1.0349999999999999</v>
      </c>
      <c r="E21" s="215">
        <v>1.0649999999999999</v>
      </c>
      <c r="F21" s="215">
        <v>0.96</v>
      </c>
      <c r="G21" s="215">
        <v>1.07</v>
      </c>
      <c r="H21" s="215">
        <v>1.1299999999999999</v>
      </c>
      <c r="I21" s="215">
        <v>1.07</v>
      </c>
      <c r="J21" s="215">
        <v>1.0449999999999999</v>
      </c>
      <c r="U21" s="167" t="s">
        <v>129</v>
      </c>
      <c r="V21" s="168"/>
      <c r="W21" s="186">
        <f t="shared" ref="W21" si="4">W17+W19</f>
        <v>17.8842</v>
      </c>
      <c r="X21" s="187">
        <f>X17+X19</f>
        <v>238582.01330669996</v>
      </c>
      <c r="Y21" s="186">
        <f t="shared" ref="Y21:AD21" si="5">Y17+Y19</f>
        <v>50970.248782052207</v>
      </c>
      <c r="Z21" s="187">
        <f t="shared" si="5"/>
        <v>94050.181382999988</v>
      </c>
      <c r="AA21" s="186">
        <f t="shared" si="5"/>
        <v>7.3360799999999999</v>
      </c>
      <c r="AB21" s="187">
        <f t="shared" si="5"/>
        <v>5148.3484261000003</v>
      </c>
      <c r="AC21" s="186">
        <f t="shared" si="5"/>
        <v>23821.698108389999</v>
      </c>
      <c r="AD21" s="188">
        <f t="shared" si="5"/>
        <v>19.478480000000001</v>
      </c>
    </row>
    <row r="22" spans="1:30">
      <c r="W22" s="55"/>
      <c r="X22" s="54"/>
    </row>
    <row r="23" spans="1:30" ht="15.75">
      <c r="D23" s="21"/>
      <c r="E23" s="21"/>
      <c r="F23" s="162" t="s">
        <v>53</v>
      </c>
      <c r="G23" s="21"/>
      <c r="H23" s="21"/>
      <c r="I23" s="21"/>
      <c r="W23" s="9"/>
    </row>
    <row r="24" spans="1:30">
      <c r="A24" s="96"/>
      <c r="B24" s="97"/>
      <c r="C24" s="112" t="s">
        <v>35</v>
      </c>
      <c r="D24" s="98" t="s">
        <v>36</v>
      </c>
      <c r="E24" s="112" t="s">
        <v>37</v>
      </c>
      <c r="F24" s="98" t="s">
        <v>38</v>
      </c>
      <c r="G24" s="112" t="s">
        <v>39</v>
      </c>
      <c r="H24" s="98" t="s">
        <v>4</v>
      </c>
      <c r="I24" s="16" t="s">
        <v>41</v>
      </c>
      <c r="J24" s="99" t="s">
        <v>40</v>
      </c>
    </row>
    <row r="25" spans="1:30">
      <c r="A25" s="13" t="s">
        <v>42</v>
      </c>
      <c r="B25" s="14"/>
      <c r="C25" s="145">
        <f t="shared" ref="C25:J30" si="6">C6*C$21</f>
        <v>0</v>
      </c>
      <c r="D25" s="146">
        <f t="shared" si="6"/>
        <v>256835.74400963998</v>
      </c>
      <c r="E25" s="145">
        <f t="shared" si="6"/>
        <v>22237.459621440001</v>
      </c>
      <c r="F25" s="146">
        <f t="shared" si="6"/>
        <v>86504.449544639981</v>
      </c>
      <c r="G25" s="145">
        <f t="shared" si="6"/>
        <v>49.305599999999998</v>
      </c>
      <c r="H25" s="146">
        <f t="shared" si="6"/>
        <v>4427.9174299999995</v>
      </c>
      <c r="I25" s="145">
        <f t="shared" si="6"/>
        <v>22309.72495466</v>
      </c>
      <c r="J25" s="147">
        <f t="shared" si="6"/>
        <v>0</v>
      </c>
    </row>
    <row r="26" spans="1:30">
      <c r="A26" s="100" t="s">
        <v>177</v>
      </c>
      <c r="B26" s="18"/>
      <c r="C26" s="141">
        <f t="shared" si="6"/>
        <v>0</v>
      </c>
      <c r="D26" s="139">
        <f t="shared" si="6"/>
        <v>8417.8370107921128</v>
      </c>
      <c r="E26" s="141">
        <f t="shared" si="6"/>
        <v>3793.5282034709012</v>
      </c>
      <c r="F26" s="139">
        <f t="shared" si="6"/>
        <v>8599.9607195183471</v>
      </c>
      <c r="G26" s="141">
        <f t="shared" si="6"/>
        <v>13.569055200000001</v>
      </c>
      <c r="H26" s="139">
        <f t="shared" si="6"/>
        <v>2407.7337214579998</v>
      </c>
      <c r="I26" s="141">
        <f t="shared" si="6"/>
        <v>334.44383295020015</v>
      </c>
      <c r="J26" s="140">
        <f t="shared" si="6"/>
        <v>97.125643999999994</v>
      </c>
    </row>
    <row r="27" spans="1:30">
      <c r="A27" s="13" t="s">
        <v>178</v>
      </c>
      <c r="B27" s="14"/>
      <c r="C27" s="145">
        <f t="shared" si="6"/>
        <v>0</v>
      </c>
      <c r="D27" s="146">
        <f t="shared" si="6"/>
        <v>10956.041018365475</v>
      </c>
      <c r="E27" s="145">
        <f t="shared" si="6"/>
        <v>2089.7076394090827</v>
      </c>
      <c r="F27" s="146">
        <f t="shared" si="6"/>
        <v>8115.8170943999985</v>
      </c>
      <c r="G27" s="145">
        <f t="shared" si="6"/>
        <v>6.5938536000000001</v>
      </c>
      <c r="H27" s="146">
        <f t="shared" si="6"/>
        <v>1759.65634</v>
      </c>
      <c r="I27" s="145">
        <f t="shared" si="6"/>
        <v>1615.3064764700005</v>
      </c>
      <c r="J27" s="147">
        <f t="shared" si="6"/>
        <v>70.691574799999998</v>
      </c>
      <c r="L27" s="75" t="s">
        <v>249</v>
      </c>
    </row>
    <row r="28" spans="1:30">
      <c r="A28" s="100" t="s">
        <v>43</v>
      </c>
      <c r="B28" s="18"/>
      <c r="C28" s="141">
        <f t="shared" si="6"/>
        <v>0</v>
      </c>
      <c r="D28" s="139">
        <f t="shared" si="6"/>
        <v>-2538.2040075733617</v>
      </c>
      <c r="E28" s="141">
        <f t="shared" si="6"/>
        <v>1703.8205640618185</v>
      </c>
      <c r="F28" s="139">
        <f t="shared" si="6"/>
        <v>484.1436251183477</v>
      </c>
      <c r="G28" s="141">
        <f t="shared" si="6"/>
        <v>6.975201600000001</v>
      </c>
      <c r="H28" s="139">
        <f t="shared" si="6"/>
        <v>648.07738145799999</v>
      </c>
      <c r="I28" s="141">
        <f t="shared" si="6"/>
        <v>-1280.8626435198003</v>
      </c>
      <c r="J28" s="140">
        <f t="shared" si="6"/>
        <v>26.4340692</v>
      </c>
    </row>
    <row r="29" spans="1:30">
      <c r="A29" s="13" t="s">
        <v>44</v>
      </c>
      <c r="B29" s="14"/>
      <c r="C29" s="145">
        <f t="shared" si="6"/>
        <v>0</v>
      </c>
      <c r="D29" s="146">
        <f t="shared" si="6"/>
        <v>-3057.7204100776498</v>
      </c>
      <c r="E29" s="145">
        <f t="shared" si="6"/>
        <v>129.9890768506566</v>
      </c>
      <c r="F29" s="146">
        <f t="shared" si="6"/>
        <v>-178.15379120165258</v>
      </c>
      <c r="G29" s="145">
        <f t="shared" si="6"/>
        <v>-0.76654800000000001</v>
      </c>
      <c r="H29" s="146">
        <f t="shared" si="6"/>
        <v>-105.11701265000005</v>
      </c>
      <c r="I29" s="145">
        <f t="shared" si="6"/>
        <v>-2151.9836623722013</v>
      </c>
      <c r="J29" s="147">
        <f t="shared" si="6"/>
        <v>2.7282023999999998</v>
      </c>
    </row>
    <row r="30" spans="1:30">
      <c r="A30" s="100" t="s">
        <v>45</v>
      </c>
      <c r="B30" s="18"/>
      <c r="C30" s="141">
        <f t="shared" si="6"/>
        <v>0</v>
      </c>
      <c r="D30" s="139">
        <f t="shared" si="6"/>
        <v>0</v>
      </c>
      <c r="E30" s="141">
        <f t="shared" si="6"/>
        <v>0</v>
      </c>
      <c r="F30" s="139">
        <f t="shared" si="6"/>
        <v>0</v>
      </c>
      <c r="G30" s="141">
        <f t="shared" si="6"/>
        <v>0</v>
      </c>
      <c r="H30" s="139">
        <f t="shared" si="6"/>
        <v>0</v>
      </c>
      <c r="I30" s="141">
        <f t="shared" si="6"/>
        <v>0</v>
      </c>
      <c r="J30" s="140">
        <f t="shared" si="6"/>
        <v>25.971176</v>
      </c>
    </row>
    <row r="31" spans="1:30">
      <c r="A31" s="13" t="s">
        <v>46</v>
      </c>
      <c r="B31" s="14"/>
      <c r="C31" s="145">
        <f t="shared" ref="C31:J31" si="7">C25+C28+C29+C30</f>
        <v>0</v>
      </c>
      <c r="D31" s="146">
        <f t="shared" si="7"/>
        <v>251239.81959198895</v>
      </c>
      <c r="E31" s="145">
        <f t="shared" si="7"/>
        <v>24071.269262352474</v>
      </c>
      <c r="F31" s="146">
        <f t="shared" si="7"/>
        <v>86810.439378556679</v>
      </c>
      <c r="G31" s="145">
        <f t="shared" si="7"/>
        <v>55.514253599999996</v>
      </c>
      <c r="H31" s="146">
        <f t="shared" si="7"/>
        <v>4970.8777988079992</v>
      </c>
      <c r="I31" s="145">
        <f t="shared" si="7"/>
        <v>18876.878648767997</v>
      </c>
      <c r="J31" s="147">
        <f t="shared" si="7"/>
        <v>55.133447599999997</v>
      </c>
    </row>
    <row r="32" spans="1:30">
      <c r="A32" s="100"/>
      <c r="B32" s="18"/>
      <c r="C32" s="15"/>
      <c r="D32" s="18"/>
      <c r="E32" s="15"/>
      <c r="F32" s="18"/>
      <c r="G32" s="15"/>
      <c r="H32" s="18"/>
      <c r="I32" s="15"/>
      <c r="J32" s="101"/>
    </row>
    <row r="33" spans="1:24" ht="15" customHeight="1">
      <c r="A33" s="148" t="s">
        <v>47</v>
      </c>
      <c r="B33" s="149"/>
      <c r="C33" s="150">
        <f>C14*C$21</f>
        <v>0</v>
      </c>
      <c r="D33" s="151">
        <f t="shared" ref="D33:J33" si="8">D14*D$21</f>
        <v>44964.391666470299</v>
      </c>
      <c r="E33" s="150">
        <f t="shared" si="8"/>
        <v>1606.0530746400002</v>
      </c>
      <c r="F33" s="151">
        <f t="shared" si="8"/>
        <v>81020.296799999982</v>
      </c>
      <c r="G33" s="150">
        <f t="shared" si="8"/>
        <v>57.047349599999997</v>
      </c>
      <c r="H33" s="151">
        <f t="shared" si="8"/>
        <v>5255.6907212279993</v>
      </c>
      <c r="I33" s="150">
        <f t="shared" si="8"/>
        <v>23166.935550059898</v>
      </c>
      <c r="J33" s="152">
        <f t="shared" si="8"/>
        <v>48.304748800000006</v>
      </c>
    </row>
    <row r="34" spans="1:24" ht="15" customHeight="1">
      <c r="A34" s="100"/>
      <c r="B34" s="18"/>
      <c r="C34" s="113"/>
      <c r="D34" s="56"/>
      <c r="E34" s="113"/>
      <c r="F34" s="56"/>
      <c r="G34" s="113"/>
      <c r="H34" s="56"/>
      <c r="I34" s="113"/>
      <c r="J34" s="102"/>
    </row>
    <row r="35" spans="1:24" ht="15" customHeight="1">
      <c r="A35" s="13" t="s">
        <v>48</v>
      </c>
      <c r="B35" s="14"/>
      <c r="C35" s="153">
        <f t="shared" ref="C35:J35" si="9">C16*C$21</f>
        <v>0</v>
      </c>
      <c r="D35" s="154">
        <f t="shared" si="9"/>
        <v>209194.98344325001</v>
      </c>
      <c r="E35" s="153">
        <f t="shared" si="9"/>
        <v>20634.6558186888</v>
      </c>
      <c r="F35" s="154">
        <f t="shared" si="9"/>
        <v>5975.9098934399999</v>
      </c>
      <c r="G35" s="153">
        <f t="shared" si="9"/>
        <v>0</v>
      </c>
      <c r="H35" s="154">
        <f t="shared" si="9"/>
        <v>0</v>
      </c>
      <c r="I35" s="153">
        <f t="shared" si="9"/>
        <v>0</v>
      </c>
      <c r="J35" s="155">
        <f t="shared" si="9"/>
        <v>0</v>
      </c>
    </row>
    <row r="36" spans="1:24" ht="15" customHeight="1">
      <c r="A36" s="100"/>
      <c r="B36" s="18"/>
      <c r="C36" s="113"/>
      <c r="D36" s="56"/>
      <c r="E36" s="113"/>
      <c r="F36" s="56"/>
      <c r="G36" s="113"/>
      <c r="H36" s="56"/>
      <c r="I36" s="113"/>
      <c r="J36" s="102"/>
    </row>
    <row r="37" spans="1:24" ht="15" customHeight="1">
      <c r="A37" s="156" t="s">
        <v>49</v>
      </c>
      <c r="B37" s="157"/>
      <c r="C37" s="158">
        <f t="shared" ref="C37:J37" si="10">C33+C35</f>
        <v>0</v>
      </c>
      <c r="D37" s="159">
        <f t="shared" si="10"/>
        <v>254159.37510972031</v>
      </c>
      <c r="E37" s="158">
        <f t="shared" si="10"/>
        <v>22240.7088933288</v>
      </c>
      <c r="F37" s="159">
        <f t="shared" si="10"/>
        <v>86996.206693439977</v>
      </c>
      <c r="G37" s="158">
        <f t="shared" si="10"/>
        <v>57.047349599999997</v>
      </c>
      <c r="H37" s="159">
        <f t="shared" si="10"/>
        <v>5255.6907212279993</v>
      </c>
      <c r="I37" s="158">
        <f t="shared" si="10"/>
        <v>23166.935550059898</v>
      </c>
      <c r="J37" s="160">
        <f t="shared" si="10"/>
        <v>48.304748800000006</v>
      </c>
    </row>
    <row r="40" spans="1:24">
      <c r="C40" s="10">
        <f>C65+C67</f>
        <v>1486.3776</v>
      </c>
      <c r="D40" s="10">
        <f>D65+D67</f>
        <v>1795.59</v>
      </c>
      <c r="M40" s="10">
        <f>M50+M59</f>
        <v>821.90195830000016</v>
      </c>
      <c r="N40" s="10">
        <f>N50+N59</f>
        <v>1365.0033771999988</v>
      </c>
    </row>
    <row r="41" spans="1:24">
      <c r="C41" s="10">
        <f>C46+C47+C48</f>
        <v>3416.4953219999998</v>
      </c>
      <c r="D41" s="10">
        <f>D46+D47+D48</f>
        <v>5121.990444</v>
      </c>
    </row>
    <row r="42" spans="1:24">
      <c r="A42" s="881" t="s">
        <v>226</v>
      </c>
      <c r="B42" s="882"/>
      <c r="C42" s="883"/>
      <c r="E42" s="884" t="s">
        <v>227</v>
      </c>
      <c r="F42" s="885"/>
      <c r="G42" s="885"/>
      <c r="H42" s="886"/>
      <c r="J42" s="887" t="s">
        <v>417</v>
      </c>
      <c r="K42" s="888"/>
      <c r="L42" s="888"/>
      <c r="M42" s="889"/>
      <c r="O42" s="890" t="s">
        <v>234</v>
      </c>
      <c r="P42" s="891"/>
      <c r="Q42" s="891"/>
      <c r="R42" s="892"/>
      <c r="T42" s="878" t="s">
        <v>241</v>
      </c>
      <c r="U42" s="879"/>
      <c r="V42" s="879"/>
      <c r="W42" s="880"/>
      <c r="X42" s="6" t="s">
        <v>52</v>
      </c>
    </row>
    <row r="43" spans="1:24">
      <c r="A43" s="12"/>
      <c r="B43" s="12"/>
      <c r="C43" s="213" t="s">
        <v>52</v>
      </c>
      <c r="E43" s="191"/>
      <c r="F43" s="191"/>
      <c r="G43" s="191"/>
      <c r="H43" s="197" t="s">
        <v>52</v>
      </c>
      <c r="J43" s="198"/>
      <c r="K43" s="198"/>
      <c r="L43" s="198"/>
      <c r="M43" s="791" t="s">
        <v>413</v>
      </c>
      <c r="N43" s="815" t="s">
        <v>412</v>
      </c>
      <c r="O43" s="246"/>
      <c r="P43" s="246"/>
      <c r="Q43" s="246"/>
      <c r="R43" s="247" t="s">
        <v>52</v>
      </c>
      <c r="T43" s="255"/>
      <c r="U43" s="255"/>
      <c r="V43" s="255"/>
      <c r="W43" s="824" t="s">
        <v>420</v>
      </c>
      <c r="X43" s="826" t="s">
        <v>421</v>
      </c>
    </row>
    <row r="44" spans="1:24">
      <c r="A44" s="204" t="s">
        <v>192</v>
      </c>
      <c r="B44" s="205"/>
      <c r="C44" s="789" t="s">
        <v>413</v>
      </c>
      <c r="D44" s="795" t="s">
        <v>412</v>
      </c>
      <c r="E44" s="192" t="s">
        <v>223</v>
      </c>
      <c r="F44" s="193"/>
      <c r="G44" s="193"/>
      <c r="H44" s="790" t="s">
        <v>413</v>
      </c>
      <c r="I44" s="808" t="s">
        <v>412</v>
      </c>
      <c r="J44" s="199" t="s">
        <v>232</v>
      </c>
      <c r="K44" s="200"/>
      <c r="L44" s="200"/>
      <c r="M44" s="203">
        <v>3568.9057320000011</v>
      </c>
      <c r="N44" s="816">
        <v>3465.3853960000006</v>
      </c>
      <c r="O44" s="248" t="s">
        <v>237</v>
      </c>
      <c r="P44" s="246"/>
      <c r="Q44" s="246"/>
      <c r="R44" s="840" t="s">
        <v>418</v>
      </c>
      <c r="S44" s="841" t="s">
        <v>419</v>
      </c>
      <c r="T44" s="256" t="s">
        <v>242</v>
      </c>
      <c r="U44" s="257"/>
      <c r="V44" s="257"/>
      <c r="W44" s="267">
        <v>83993.01</v>
      </c>
      <c r="X44" s="827">
        <v>82429.693283999994</v>
      </c>
    </row>
    <row r="45" spans="1:24">
      <c r="A45" s="205" t="s">
        <v>79</v>
      </c>
      <c r="B45" s="205"/>
      <c r="C45" s="206">
        <v>9744.5750430000007</v>
      </c>
      <c r="D45" s="796">
        <v>14395.014891000001</v>
      </c>
      <c r="E45" s="193" t="s">
        <v>224</v>
      </c>
      <c r="F45" s="193"/>
      <c r="G45" s="193"/>
      <c r="H45" s="196">
        <v>20581.641105569994</v>
      </c>
      <c r="I45" s="809">
        <v>22411.914001936999</v>
      </c>
      <c r="J45" s="200"/>
      <c r="K45" s="200"/>
      <c r="L45" s="200"/>
      <c r="M45" s="200"/>
      <c r="N45" s="817"/>
      <c r="O45" s="249" t="s">
        <v>236</v>
      </c>
      <c r="P45" s="246"/>
      <c r="Q45" s="246"/>
      <c r="R45" s="250">
        <v>823.41952000000003</v>
      </c>
      <c r="S45" s="833">
        <v>2262.1327982555608</v>
      </c>
      <c r="T45" s="257"/>
      <c r="U45" s="257"/>
      <c r="V45" s="257"/>
      <c r="W45" s="258"/>
      <c r="X45" s="827"/>
    </row>
    <row r="46" spans="1:24">
      <c r="A46" s="205" t="s">
        <v>193</v>
      </c>
      <c r="B46" s="205"/>
      <c r="C46" s="206">
        <v>1912.475322</v>
      </c>
      <c r="D46" s="796">
        <v>2483.4004439999999</v>
      </c>
      <c r="E46" s="193"/>
      <c r="F46" s="193"/>
      <c r="G46" s="193"/>
      <c r="H46" s="194"/>
      <c r="I46" s="809"/>
      <c r="J46" s="199" t="s">
        <v>100</v>
      </c>
      <c r="K46" s="200"/>
      <c r="L46" s="200"/>
      <c r="M46" s="200"/>
      <c r="N46" s="817"/>
      <c r="O46" s="249" t="s">
        <v>193</v>
      </c>
      <c r="P46" s="246"/>
      <c r="Q46" s="246"/>
      <c r="R46" s="250">
        <v>482.25643200000007</v>
      </c>
      <c r="S46" s="833">
        <v>918.03420800000015</v>
      </c>
      <c r="T46" s="256" t="s">
        <v>166</v>
      </c>
      <c r="U46" s="257"/>
      <c r="V46" s="257"/>
      <c r="W46" s="258"/>
      <c r="X46" s="827"/>
    </row>
    <row r="47" spans="1:24">
      <c r="A47" s="205" t="s">
        <v>194</v>
      </c>
      <c r="B47" s="205"/>
      <c r="C47" s="206">
        <v>205.8</v>
      </c>
      <c r="D47" s="796">
        <v>1365.66</v>
      </c>
      <c r="E47" s="192" t="s">
        <v>203</v>
      </c>
      <c r="F47" s="193"/>
      <c r="G47" s="193"/>
      <c r="H47" s="194"/>
      <c r="I47" s="809"/>
      <c r="J47" s="200" t="s">
        <v>79</v>
      </c>
      <c r="K47" s="200"/>
      <c r="L47" s="200"/>
      <c r="M47" s="201">
        <v>586.99701030000017</v>
      </c>
      <c r="N47" s="816">
        <v>1111.3181881999988</v>
      </c>
      <c r="O47" s="249" t="s">
        <v>235</v>
      </c>
      <c r="P47" s="246"/>
      <c r="Q47" s="246"/>
      <c r="R47" s="250">
        <v>198.82710400000002</v>
      </c>
      <c r="S47" s="833">
        <v>152.85726400000001</v>
      </c>
      <c r="T47" s="257" t="s">
        <v>194</v>
      </c>
      <c r="U47" s="257"/>
      <c r="V47" s="257"/>
      <c r="W47" s="258">
        <v>4158.63</v>
      </c>
      <c r="X47" s="827">
        <v>3630.5499999999997</v>
      </c>
    </row>
    <row r="48" spans="1:24">
      <c r="A48" s="205" t="s">
        <v>195</v>
      </c>
      <c r="B48" s="205"/>
      <c r="C48" s="206">
        <v>1298.22</v>
      </c>
      <c r="D48" s="796">
        <v>1272.93</v>
      </c>
      <c r="E48" s="193" t="s">
        <v>205</v>
      </c>
      <c r="F48" s="193"/>
      <c r="G48" s="193"/>
      <c r="H48" s="194">
        <v>634.3075</v>
      </c>
      <c r="I48" s="809">
        <v>854.22500000000002</v>
      </c>
      <c r="J48" s="200" t="s">
        <v>229</v>
      </c>
      <c r="K48" s="200"/>
      <c r="L48" s="200"/>
      <c r="M48" s="201">
        <v>152.06861000000001</v>
      </c>
      <c r="N48" s="816">
        <v>174.50954400000003</v>
      </c>
      <c r="O48" s="249" t="s">
        <v>238</v>
      </c>
      <c r="P48" s="246"/>
      <c r="Q48" s="246"/>
      <c r="R48" s="250">
        <v>0</v>
      </c>
      <c r="S48" s="833">
        <v>116.16301614850607</v>
      </c>
      <c r="T48" s="257" t="s">
        <v>230</v>
      </c>
      <c r="U48" s="257"/>
      <c r="V48" s="257"/>
      <c r="W48" s="259">
        <v>403.13249999999999</v>
      </c>
      <c r="X48" s="828">
        <v>450.28249999999997</v>
      </c>
    </row>
    <row r="49" spans="1:24" ht="15.75" thickBot="1">
      <c r="A49" s="205" t="s">
        <v>217</v>
      </c>
      <c r="B49" s="205"/>
      <c r="C49" s="207">
        <v>8.43</v>
      </c>
      <c r="D49" s="797">
        <v>8.43</v>
      </c>
      <c r="E49" s="193" t="s">
        <v>204</v>
      </c>
      <c r="F49" s="193"/>
      <c r="G49" s="193"/>
      <c r="H49" s="195">
        <v>5.8159999999999998</v>
      </c>
      <c r="I49" s="810">
        <v>10.2507</v>
      </c>
      <c r="J49" s="200" t="s">
        <v>217</v>
      </c>
      <c r="K49" s="200"/>
      <c r="L49" s="200"/>
      <c r="M49" s="202">
        <v>9.8129600000000003</v>
      </c>
      <c r="N49" s="818">
        <v>10.353540000000001</v>
      </c>
      <c r="O49" s="249" t="s">
        <v>217</v>
      </c>
      <c r="P49" s="246"/>
      <c r="Q49" s="246"/>
      <c r="R49" s="250">
        <v>7.9027262631685948</v>
      </c>
      <c r="S49" s="833">
        <v>4.1238432682804405</v>
      </c>
      <c r="T49" s="257"/>
      <c r="U49" s="257"/>
      <c r="V49" s="257"/>
      <c r="W49" s="267">
        <f>W47+W48</f>
        <v>4561.7624999999998</v>
      </c>
      <c r="X49" s="827">
        <f>X47+X48</f>
        <v>4080.8324999999995</v>
      </c>
    </row>
    <row r="50" spans="1:24" ht="15.75" thickBot="1">
      <c r="A50" s="208" t="s">
        <v>109</v>
      </c>
      <c r="B50" s="205"/>
      <c r="C50" s="209">
        <f>SUM(C45:C49)</f>
        <v>13169.500365</v>
      </c>
      <c r="D50" s="798">
        <f>SUM(D45:D49)</f>
        <v>19525.435335000002</v>
      </c>
      <c r="E50" s="193"/>
      <c r="F50" s="193"/>
      <c r="G50" s="193" t="s">
        <v>222</v>
      </c>
      <c r="H50" s="196">
        <f>SUM(H48:H49)</f>
        <v>640.12350000000004</v>
      </c>
      <c r="I50" s="809">
        <f>SUM(I48:I49)</f>
        <v>864.47570000000007</v>
      </c>
      <c r="J50" s="200"/>
      <c r="K50" s="200"/>
      <c r="L50" s="200" t="s">
        <v>222</v>
      </c>
      <c r="M50" s="203">
        <f>SUM(M47:M49)</f>
        <v>748.87858030000018</v>
      </c>
      <c r="N50" s="816">
        <v>1296.1812721999988</v>
      </c>
      <c r="O50" s="249" t="s">
        <v>79</v>
      </c>
      <c r="P50" s="246"/>
      <c r="Q50" s="246"/>
      <c r="R50" s="302">
        <v>3.5280000000000005</v>
      </c>
      <c r="S50" s="834">
        <v>2.3520000000000003</v>
      </c>
      <c r="T50" s="255"/>
      <c r="U50" s="256" t="s">
        <v>254</v>
      </c>
      <c r="V50" s="256"/>
      <c r="W50" s="825">
        <f>W44+W49</f>
        <v>88554.772499999992</v>
      </c>
      <c r="X50" s="829">
        <f>X44+X49</f>
        <v>86510.525783999998</v>
      </c>
    </row>
    <row r="51" spans="1:24" ht="15.75" thickBot="1">
      <c r="A51" s="204" t="s">
        <v>208</v>
      </c>
      <c r="B51" s="205"/>
      <c r="C51" s="210">
        <v>10645.685562000001</v>
      </c>
      <c r="D51" s="799">
        <v>13111.641807</v>
      </c>
      <c r="E51" s="192" t="s">
        <v>189</v>
      </c>
      <c r="F51" s="193"/>
      <c r="G51" s="193"/>
      <c r="H51" s="193"/>
      <c r="I51" s="811"/>
      <c r="J51" s="199" t="s">
        <v>20</v>
      </c>
      <c r="K51" s="200"/>
      <c r="L51" s="200"/>
      <c r="M51" s="200"/>
      <c r="N51" s="817"/>
      <c r="O51" s="246"/>
      <c r="P51" s="248" t="s">
        <v>253</v>
      </c>
      <c r="Q51" s="249"/>
      <c r="R51" s="838">
        <f>SUM(R45:R50)</f>
        <v>1515.9337822631687</v>
      </c>
      <c r="S51" s="839">
        <f>SUM(S45:S50)</f>
        <v>3455.6631296723472</v>
      </c>
      <c r="T51" s="256" t="s">
        <v>228</v>
      </c>
      <c r="U51" s="257"/>
      <c r="V51" s="257"/>
      <c r="W51" s="257"/>
      <c r="X51" s="830"/>
    </row>
    <row r="52" spans="1:24">
      <c r="A52" s="208"/>
      <c r="B52" s="205"/>
      <c r="C52" s="57"/>
      <c r="D52" s="798"/>
      <c r="E52" s="193" t="s">
        <v>216</v>
      </c>
      <c r="F52" s="191"/>
      <c r="G52" s="191"/>
      <c r="H52" s="194">
        <v>13.29683</v>
      </c>
      <c r="I52" s="809">
        <v>10.436085</v>
      </c>
      <c r="J52" s="200" t="s">
        <v>194</v>
      </c>
      <c r="K52" s="200"/>
      <c r="L52" s="200"/>
      <c r="M52" s="201">
        <v>152.25201300000001</v>
      </c>
      <c r="N52" s="816">
        <v>177.04580660000008</v>
      </c>
      <c r="O52" s="246"/>
      <c r="P52" s="246"/>
      <c r="Q52" s="246"/>
      <c r="R52" s="250"/>
      <c r="S52" s="833"/>
      <c r="T52" s="257"/>
      <c r="U52" s="268" t="s">
        <v>52</v>
      </c>
      <c r="V52" s="268" t="s">
        <v>188</v>
      </c>
      <c r="W52" s="268" t="s">
        <v>53</v>
      </c>
      <c r="X52" s="831" t="s">
        <v>53</v>
      </c>
    </row>
    <row r="53" spans="1:24">
      <c r="A53" s="204" t="s">
        <v>201</v>
      </c>
      <c r="B53" s="205"/>
      <c r="C53" s="205"/>
      <c r="D53" s="800"/>
      <c r="E53" s="193" t="s">
        <v>212</v>
      </c>
      <c r="F53" s="191"/>
      <c r="G53" s="191"/>
      <c r="H53" s="194">
        <v>222.82550000000001</v>
      </c>
      <c r="I53" s="809">
        <v>188.3657</v>
      </c>
      <c r="J53" s="200" t="s">
        <v>230</v>
      </c>
      <c r="K53" s="200"/>
      <c r="L53" s="200"/>
      <c r="M53" s="201">
        <v>11.742000000000001</v>
      </c>
      <c r="N53" s="816">
        <v>11.120000000000001</v>
      </c>
      <c r="O53" s="248" t="s">
        <v>228</v>
      </c>
      <c r="P53" s="246"/>
      <c r="Q53" s="246"/>
      <c r="R53" s="246"/>
      <c r="S53" s="835"/>
      <c r="T53" s="257" t="s">
        <v>77</v>
      </c>
      <c r="U53" s="258">
        <f>W44</f>
        <v>83993.01</v>
      </c>
      <c r="V53" s="269">
        <f>U53/$U$55</f>
        <v>0.94848654260841792</v>
      </c>
      <c r="W53" s="258">
        <f>U53*0.96</f>
        <v>80633.289599999989</v>
      </c>
      <c r="X53" s="827">
        <v>79132.505552639996</v>
      </c>
    </row>
    <row r="54" spans="1:24">
      <c r="A54" s="205" t="s">
        <v>218</v>
      </c>
      <c r="B54" s="205"/>
      <c r="C54" s="206">
        <v>8139.0890516009995</v>
      </c>
      <c r="D54" s="796">
        <v>8807.2876751055028</v>
      </c>
      <c r="E54" s="193" t="s">
        <v>215</v>
      </c>
      <c r="F54" s="191"/>
      <c r="G54" s="191"/>
      <c r="H54" s="194">
        <v>74.517499999999998</v>
      </c>
      <c r="I54" s="809">
        <v>52.889249999999997</v>
      </c>
      <c r="J54" s="200" t="s">
        <v>193</v>
      </c>
      <c r="K54" s="200"/>
      <c r="L54" s="200"/>
      <c r="M54" s="201">
        <v>3.6520000000000001</v>
      </c>
      <c r="N54" s="816">
        <v>5.1440000000000001</v>
      </c>
      <c r="O54" s="249"/>
      <c r="P54" s="251" t="s">
        <v>52</v>
      </c>
      <c r="Q54" s="251" t="s">
        <v>188</v>
      </c>
      <c r="R54" s="251" t="s">
        <v>53</v>
      </c>
      <c r="S54" s="836" t="s">
        <v>53</v>
      </c>
      <c r="T54" s="270" t="s">
        <v>20</v>
      </c>
      <c r="U54" s="259">
        <f>W49</f>
        <v>4561.7624999999998</v>
      </c>
      <c r="V54" s="271">
        <f>U54/$U$55</f>
        <v>5.1513457391582147E-2</v>
      </c>
      <c r="W54" s="259">
        <f>U54*0.96</f>
        <v>4379.2919999999995</v>
      </c>
      <c r="X54" s="828">
        <v>3917.5991999999992</v>
      </c>
    </row>
    <row r="55" spans="1:24">
      <c r="A55" s="205" t="s">
        <v>219</v>
      </c>
      <c r="B55" s="205"/>
      <c r="C55" s="206">
        <v>1156.347315</v>
      </c>
      <c r="D55" s="796">
        <v>1558.4540999999999</v>
      </c>
      <c r="E55" s="193" t="s">
        <v>213</v>
      </c>
      <c r="F55" s="191"/>
      <c r="G55" s="191"/>
      <c r="H55" s="195">
        <v>14.54</v>
      </c>
      <c r="I55" s="810">
        <v>18.175000000000001</v>
      </c>
      <c r="J55" s="200" t="s">
        <v>199</v>
      </c>
      <c r="K55" s="200"/>
      <c r="L55" s="200"/>
      <c r="M55" s="201">
        <v>12.6814</v>
      </c>
      <c r="N55" s="816">
        <v>11.821965000000001</v>
      </c>
      <c r="O55" s="249" t="s">
        <v>240</v>
      </c>
      <c r="P55" s="250">
        <f>R45</f>
        <v>823.41952000000003</v>
      </c>
      <c r="Q55" s="252">
        <f>P55/$P$58</f>
        <v>0.54317644321554737</v>
      </c>
      <c r="R55" s="250">
        <f>1.065*P55</f>
        <v>876.94178880000004</v>
      </c>
      <c r="S55" s="833">
        <v>2409.1714301421721</v>
      </c>
      <c r="T55" s="257" t="s">
        <v>56</v>
      </c>
      <c r="U55" s="260">
        <f>U53+U54</f>
        <v>88554.772499999992</v>
      </c>
      <c r="V55" s="272">
        <f>U55/$U$55</f>
        <v>1</v>
      </c>
      <c r="W55" s="260">
        <f>W53+W54</f>
        <v>85012.58159999999</v>
      </c>
      <c r="X55" s="832">
        <v>83050.104752639993</v>
      </c>
    </row>
    <row r="56" spans="1:24">
      <c r="A56" s="205" t="s">
        <v>202</v>
      </c>
      <c r="B56" s="205"/>
      <c r="C56" s="207">
        <v>2044.2750000000001</v>
      </c>
      <c r="D56" s="797">
        <v>2174.94</v>
      </c>
      <c r="E56" s="193"/>
      <c r="F56" s="191"/>
      <c r="G56" s="193" t="s">
        <v>222</v>
      </c>
      <c r="H56" s="196">
        <f>SUM(H52:H55)</f>
        <v>325.17983000000004</v>
      </c>
      <c r="I56" s="809">
        <v>269.86603500000001</v>
      </c>
      <c r="J56" s="200" t="s">
        <v>196</v>
      </c>
      <c r="K56" s="200"/>
      <c r="L56" s="200"/>
      <c r="M56" s="202">
        <v>74.932021000000006</v>
      </c>
      <c r="N56" s="818">
        <v>65.294209999999978</v>
      </c>
      <c r="O56" s="249" t="s">
        <v>190</v>
      </c>
      <c r="P56" s="250">
        <f>R46</f>
        <v>482.25643200000007</v>
      </c>
      <c r="Q56" s="252">
        <f t="shared" ref="Q56:Q57" si="11">P56/$P$58</f>
        <v>0.31812499836241498</v>
      </c>
      <c r="R56" s="250">
        <f t="shared" ref="R56:R57" si="12">1.065*P56</f>
        <v>513.6031000800001</v>
      </c>
      <c r="S56" s="833">
        <v>977.70643152000014</v>
      </c>
    </row>
    <row r="57" spans="1:24">
      <c r="A57" s="208" t="s">
        <v>109</v>
      </c>
      <c r="B57" s="12"/>
      <c r="C57" s="57">
        <f>SUM(C54:C56)</f>
        <v>11339.711366600999</v>
      </c>
      <c r="D57" s="798">
        <f>SUM(D54:D56)</f>
        <v>12540.681775105504</v>
      </c>
      <c r="E57" s="192" t="s">
        <v>191</v>
      </c>
      <c r="F57" s="191"/>
      <c r="G57" s="191"/>
      <c r="H57" s="788"/>
      <c r="I57" s="811"/>
      <c r="J57" s="200"/>
      <c r="K57" s="200"/>
      <c r="L57" s="200" t="s">
        <v>222</v>
      </c>
      <c r="M57" s="203">
        <f>SUM(M52:M56)</f>
        <v>255.259434</v>
      </c>
      <c r="N57" s="816">
        <v>270.42598160000006</v>
      </c>
      <c r="O57" s="249" t="s">
        <v>96</v>
      </c>
      <c r="P57" s="250">
        <f>SUM(R47:R50)</f>
        <v>210.25783026316861</v>
      </c>
      <c r="Q57" s="252">
        <f t="shared" si="11"/>
        <v>0.13869855842203765</v>
      </c>
      <c r="R57" s="250">
        <f t="shared" si="12"/>
        <v>223.92458923027456</v>
      </c>
      <c r="S57" s="833">
        <v>293.40337143887763</v>
      </c>
    </row>
    <row r="58" spans="1:24">
      <c r="A58" s="204" t="s">
        <v>203</v>
      </c>
      <c r="B58" s="205"/>
      <c r="C58" s="205"/>
      <c r="D58" s="800"/>
      <c r="E58" s="193" t="s">
        <v>79</v>
      </c>
      <c r="F58" s="191"/>
      <c r="G58" s="191"/>
      <c r="H58" s="194">
        <v>52.707500000000003</v>
      </c>
      <c r="I58" s="809">
        <v>82.078299999999999</v>
      </c>
      <c r="J58" s="199" t="s">
        <v>231</v>
      </c>
      <c r="K58" s="200"/>
      <c r="L58" s="200"/>
      <c r="M58" s="200"/>
      <c r="N58" s="817"/>
      <c r="O58" s="249" t="s">
        <v>56</v>
      </c>
      <c r="P58" s="253">
        <f>SUM(P55:P57)</f>
        <v>1515.9337822631687</v>
      </c>
      <c r="Q58" s="254">
        <f>SUM(Q55:Q57)</f>
        <v>1</v>
      </c>
      <c r="R58" s="253">
        <f>SUM(R55:R57)</f>
        <v>1614.4694781102746</v>
      </c>
      <c r="S58" s="837">
        <v>3680.2812331010496</v>
      </c>
    </row>
    <row r="59" spans="1:24">
      <c r="A59" s="205" t="s">
        <v>204</v>
      </c>
      <c r="B59" s="205"/>
      <c r="C59" s="206">
        <v>996.6789</v>
      </c>
      <c r="D59" s="796">
        <v>1859.7001499999999</v>
      </c>
      <c r="E59" s="193" t="s">
        <v>200</v>
      </c>
      <c r="F59" s="191"/>
      <c r="G59" s="191"/>
      <c r="H59" s="194">
        <v>13.813000000000001</v>
      </c>
      <c r="I59" s="809">
        <v>10.178000000000001</v>
      </c>
      <c r="J59" s="200" t="s">
        <v>216</v>
      </c>
      <c r="K59" s="200"/>
      <c r="L59" s="200"/>
      <c r="M59" s="201">
        <v>73.023378000000037</v>
      </c>
      <c r="N59" s="816">
        <v>68.822105000000022</v>
      </c>
    </row>
    <row r="60" spans="1:24">
      <c r="A60" s="205" t="s">
        <v>205</v>
      </c>
      <c r="B60" s="205"/>
      <c r="C60" s="206">
        <v>669.34199999999998</v>
      </c>
      <c r="D60" s="796">
        <v>1283.4675</v>
      </c>
      <c r="E60" s="193" t="s">
        <v>193</v>
      </c>
      <c r="F60" s="191"/>
      <c r="G60" s="191"/>
      <c r="H60" s="195">
        <v>67.174800000000005</v>
      </c>
      <c r="I60" s="810">
        <v>141.18340000000001</v>
      </c>
      <c r="J60" s="200" t="s">
        <v>212</v>
      </c>
      <c r="K60" s="200"/>
      <c r="L60" s="200"/>
      <c r="M60" s="201">
        <v>1.8</v>
      </c>
      <c r="N60" s="816">
        <v>1.718</v>
      </c>
      <c r="O60" s="875" t="s">
        <v>239</v>
      </c>
      <c r="P60" s="876"/>
      <c r="Q60" s="876"/>
      <c r="R60" s="877"/>
    </row>
    <row r="61" spans="1:24">
      <c r="A61" s="205" t="s">
        <v>206</v>
      </c>
      <c r="B61" s="205"/>
      <c r="C61" s="206">
        <v>202.166574</v>
      </c>
      <c r="D61" s="796">
        <v>322.33200900000003</v>
      </c>
      <c r="E61" s="193"/>
      <c r="F61" s="193"/>
      <c r="G61" s="193" t="s">
        <v>222</v>
      </c>
      <c r="H61" s="196">
        <f>SUM(H58:H60)</f>
        <v>133.6953</v>
      </c>
      <c r="I61" s="809">
        <f>SUM(I58:I60)</f>
        <v>233.43970000000002</v>
      </c>
      <c r="J61" s="200" t="s">
        <v>215</v>
      </c>
      <c r="K61" s="200"/>
      <c r="L61" s="200"/>
      <c r="M61" s="202">
        <v>0.80400000000000005</v>
      </c>
      <c r="N61" s="818">
        <v>0.81600000000000006</v>
      </c>
      <c r="O61" s="63"/>
      <c r="P61" s="63"/>
      <c r="Q61" s="63"/>
      <c r="R61" s="63"/>
    </row>
    <row r="62" spans="1:24">
      <c r="A62" s="205" t="s">
        <v>207</v>
      </c>
      <c r="B62" s="205"/>
      <c r="C62" s="207">
        <v>518.50991099999999</v>
      </c>
      <c r="D62" s="797">
        <v>287.96879999999999</v>
      </c>
      <c r="E62" s="191"/>
      <c r="F62" s="191"/>
      <c r="G62" s="191"/>
      <c r="H62" s="191"/>
      <c r="I62" s="811"/>
      <c r="J62" s="200"/>
      <c r="K62" s="200"/>
      <c r="L62" s="200" t="s">
        <v>222</v>
      </c>
      <c r="M62" s="201">
        <f>SUM(M59:M61)</f>
        <v>75.627378000000036</v>
      </c>
      <c r="N62" s="816">
        <v>71.356105000000028</v>
      </c>
      <c r="O62" s="261" t="s">
        <v>21</v>
      </c>
      <c r="P62" s="262"/>
      <c r="Q62" s="262"/>
      <c r="R62" s="842" t="s">
        <v>418</v>
      </c>
      <c r="S62" s="841" t="s">
        <v>421</v>
      </c>
    </row>
    <row r="63" spans="1:24" ht="15.75" thickBot="1">
      <c r="A63" s="205"/>
      <c r="B63" s="205"/>
      <c r="C63" s="209">
        <f>SUM(C59:C62)</f>
        <v>2386.6973849999999</v>
      </c>
      <c r="D63" s="798">
        <f>SUM(D59:D62)</f>
        <v>3753.4684590000002</v>
      </c>
      <c r="E63" s="192" t="s">
        <v>81</v>
      </c>
      <c r="F63" s="193"/>
      <c r="G63" s="193"/>
      <c r="H63" s="193"/>
      <c r="I63" s="811"/>
      <c r="J63" s="198"/>
      <c r="K63" s="198"/>
      <c r="L63" s="198"/>
      <c r="M63" s="198"/>
      <c r="N63" s="817"/>
      <c r="O63" s="262" t="s">
        <v>250</v>
      </c>
      <c r="P63" s="262"/>
      <c r="Q63" s="263"/>
      <c r="R63" s="263">
        <v>25.699520000000003</v>
      </c>
      <c r="S63" s="263">
        <v>27.200880000000002</v>
      </c>
    </row>
    <row r="64" spans="1:24" ht="15.75" thickBot="1">
      <c r="A64" s="204" t="s">
        <v>166</v>
      </c>
      <c r="B64" s="205"/>
      <c r="C64" s="206"/>
      <c r="D64" s="796"/>
      <c r="E64" s="193" t="s">
        <v>196</v>
      </c>
      <c r="F64" s="191"/>
      <c r="G64" s="191"/>
      <c r="H64" s="196">
        <v>30.170500000000001</v>
      </c>
      <c r="I64" s="809">
        <v>32.351500000000001</v>
      </c>
      <c r="J64" s="200"/>
      <c r="K64" s="199" t="s">
        <v>233</v>
      </c>
      <c r="L64" s="200"/>
      <c r="M64" s="792">
        <f>M44+M50+M57+M62</f>
        <v>4648.6711243000009</v>
      </c>
      <c r="N64" s="819">
        <f>N44+N50+N57+N62</f>
        <v>5103.3487547999994</v>
      </c>
      <c r="O64" s="262" t="s">
        <v>251</v>
      </c>
      <c r="P64" s="262"/>
      <c r="Q64" s="263"/>
      <c r="R64" s="264">
        <v>4.4844800000000005</v>
      </c>
      <c r="S64" s="264">
        <v>5.3272800000000009</v>
      </c>
    </row>
    <row r="65" spans="1:19" ht="15.75" thickBot="1">
      <c r="A65" s="205" t="s">
        <v>196</v>
      </c>
      <c r="B65" s="786" t="s">
        <v>414</v>
      </c>
      <c r="C65" s="206">
        <v>1393.6476</v>
      </c>
      <c r="D65" s="796">
        <v>1605.915</v>
      </c>
      <c r="E65" s="191"/>
      <c r="F65" s="191"/>
      <c r="G65" s="191"/>
      <c r="H65" s="191"/>
      <c r="I65" s="811"/>
      <c r="J65" s="200"/>
      <c r="K65" s="198"/>
      <c r="L65" s="200"/>
      <c r="M65" s="214"/>
      <c r="N65" s="820"/>
      <c r="O65" s="262"/>
      <c r="P65" s="262"/>
      <c r="Q65" s="262"/>
      <c r="R65" s="265">
        <f>R63+R64</f>
        <v>30.184000000000005</v>
      </c>
      <c r="S65" s="265">
        <f>S63+S64</f>
        <v>32.52816</v>
      </c>
    </row>
    <row r="66" spans="1:19" ht="15.75" thickBot="1">
      <c r="A66" s="205" t="s">
        <v>197</v>
      </c>
      <c r="B66" s="786" t="s">
        <v>415</v>
      </c>
      <c r="C66" s="206">
        <v>1163.3399999999999</v>
      </c>
      <c r="D66" s="796">
        <v>1390.95</v>
      </c>
      <c r="E66" s="191"/>
      <c r="F66" s="192" t="s">
        <v>225</v>
      </c>
      <c r="G66" s="193"/>
      <c r="H66" s="793">
        <f>H64+H61+H56+H50+H45</f>
        <v>21710.810235569996</v>
      </c>
      <c r="I66" s="812">
        <f>I64+I61+I56+I50+I45</f>
        <v>23812.046936937</v>
      </c>
      <c r="J66" s="226" t="s">
        <v>228</v>
      </c>
      <c r="K66" s="227"/>
      <c r="L66" s="227"/>
      <c r="M66" s="794" t="s">
        <v>418</v>
      </c>
      <c r="N66" s="821" t="s">
        <v>419</v>
      </c>
      <c r="O66" s="261" t="s">
        <v>97</v>
      </c>
      <c r="P66" s="262"/>
      <c r="Q66" s="262"/>
      <c r="R66" s="262"/>
      <c r="S66" s="262"/>
    </row>
    <row r="67" spans="1:19">
      <c r="A67" s="205" t="s">
        <v>198</v>
      </c>
      <c r="B67" s="786" t="s">
        <v>414</v>
      </c>
      <c r="C67" s="206">
        <v>92.73</v>
      </c>
      <c r="D67" s="796">
        <v>189.67500000000001</v>
      </c>
      <c r="E67" s="191"/>
      <c r="F67" s="191"/>
      <c r="G67" s="191"/>
      <c r="H67" s="193"/>
      <c r="I67" s="811"/>
      <c r="J67" s="227"/>
      <c r="K67" s="228" t="s">
        <v>52</v>
      </c>
      <c r="L67" s="228" t="s">
        <v>188</v>
      </c>
      <c r="M67" s="228" t="s">
        <v>53</v>
      </c>
      <c r="N67" s="822" t="s">
        <v>53</v>
      </c>
      <c r="O67" s="262" t="s">
        <v>238</v>
      </c>
      <c r="P67" s="262"/>
      <c r="Q67" s="262"/>
      <c r="R67" s="263">
        <v>7.0716800000000006</v>
      </c>
      <c r="S67" s="262">
        <v>7</v>
      </c>
    </row>
    <row r="68" spans="1:19">
      <c r="A68" s="205" t="s">
        <v>199</v>
      </c>
      <c r="B68" s="786" t="s">
        <v>415</v>
      </c>
      <c r="C68" s="206">
        <v>75.87</v>
      </c>
      <c r="D68" s="796">
        <v>75.87</v>
      </c>
      <c r="E68" s="216" t="s">
        <v>228</v>
      </c>
      <c r="F68" s="217"/>
      <c r="G68" s="217"/>
      <c r="H68" s="217"/>
      <c r="I68" s="811"/>
      <c r="J68" s="227" t="s">
        <v>21</v>
      </c>
      <c r="K68" s="229">
        <f>M44</f>
        <v>3568.9057320000011</v>
      </c>
      <c r="L68" s="230">
        <f>K68/$K$72</f>
        <v>0.76772600955663617</v>
      </c>
      <c r="M68" s="229">
        <f>1.13*K68</f>
        <v>4032.8634771600009</v>
      </c>
      <c r="N68" s="816">
        <v>3915.8854974800001</v>
      </c>
      <c r="O68" s="262" t="s">
        <v>79</v>
      </c>
      <c r="P68" s="262"/>
      <c r="Q68" s="262"/>
      <c r="R68" s="263">
        <v>1.8816000000000002</v>
      </c>
      <c r="S68" s="262">
        <v>3</v>
      </c>
    </row>
    <row r="69" spans="1:19">
      <c r="A69" s="205" t="s">
        <v>194</v>
      </c>
      <c r="B69" s="786" t="s">
        <v>415</v>
      </c>
      <c r="C69" s="207">
        <v>300</v>
      </c>
      <c r="D69" s="797">
        <v>359.94413999999983</v>
      </c>
      <c r="E69" s="217"/>
      <c r="F69" s="218" t="s">
        <v>52</v>
      </c>
      <c r="G69" s="218" t="s">
        <v>188</v>
      </c>
      <c r="H69" s="218" t="s">
        <v>53</v>
      </c>
      <c r="I69" s="813" t="s">
        <v>53</v>
      </c>
      <c r="J69" s="227" t="s">
        <v>100</v>
      </c>
      <c r="K69" s="229">
        <f>M50</f>
        <v>748.87858030000018</v>
      </c>
      <c r="L69" s="230">
        <f>K69/$K$72</f>
        <v>0.16109519479349416</v>
      </c>
      <c r="M69" s="229">
        <f t="shared" ref="M69:M71" si="13">1.13*K69</f>
        <v>846.23279573900015</v>
      </c>
      <c r="N69" s="816">
        <v>1464.6848375859986</v>
      </c>
      <c r="O69" s="262" t="s">
        <v>252</v>
      </c>
      <c r="P69" s="262"/>
      <c r="Q69" s="263"/>
      <c r="R69" s="264">
        <v>0.11760000000000001</v>
      </c>
      <c r="S69" s="264">
        <v>13.747440000000001</v>
      </c>
    </row>
    <row r="70" spans="1:19">
      <c r="A70" s="208" t="s">
        <v>109</v>
      </c>
      <c r="B70" s="205"/>
      <c r="C70" s="209">
        <f>SUM(C65:C69)</f>
        <v>3025.5875999999998</v>
      </c>
      <c r="D70" s="798">
        <f>SUM(D65:D69)</f>
        <v>3622.3541399999995</v>
      </c>
      <c r="E70" s="217" t="s">
        <v>94</v>
      </c>
      <c r="F70" s="219">
        <f>H45</f>
        <v>20581.641105569994</v>
      </c>
      <c r="G70" s="220">
        <f t="shared" ref="G70:G75" si="14">F70/$F$75</f>
        <v>0.94799046568285028</v>
      </c>
      <c r="H70" s="219">
        <f>1.07*F70</f>
        <v>22022.355982959896</v>
      </c>
      <c r="I70" s="809">
        <v>23980.747982072589</v>
      </c>
      <c r="J70" s="227" t="s">
        <v>20</v>
      </c>
      <c r="K70" s="229">
        <f>M57</f>
        <v>255.259434</v>
      </c>
      <c r="L70" s="230">
        <f>K70/$K$72</f>
        <v>5.4910194155418361E-2</v>
      </c>
      <c r="M70" s="229">
        <f t="shared" si="13"/>
        <v>288.44316041999997</v>
      </c>
      <c r="N70" s="816">
        <v>305.58135920800004</v>
      </c>
      <c r="O70" s="262"/>
      <c r="P70" s="262"/>
      <c r="Q70" s="262"/>
      <c r="R70" s="263">
        <f>SUM(R67:R69)</f>
        <v>9.0708800000000007</v>
      </c>
      <c r="S70" s="263">
        <f>SUM(S67:S69)</f>
        <v>23.747440000000001</v>
      </c>
    </row>
    <row r="71" spans="1:19">
      <c r="A71" s="204" t="s">
        <v>220</v>
      </c>
      <c r="B71" s="205"/>
      <c r="C71" s="205"/>
      <c r="D71" s="800"/>
      <c r="E71" s="217" t="s">
        <v>185</v>
      </c>
      <c r="F71" s="219">
        <f>H50</f>
        <v>640.12350000000004</v>
      </c>
      <c r="G71" s="220">
        <f t="shared" si="14"/>
        <v>2.9484090784933078E-2</v>
      </c>
      <c r="H71" s="219">
        <f t="shared" ref="H71:H74" si="15">1.07*F71</f>
        <v>684.93214500000011</v>
      </c>
      <c r="I71" s="809">
        <v>924.98899900000015</v>
      </c>
      <c r="J71" s="231" t="s">
        <v>189</v>
      </c>
      <c r="K71" s="232">
        <f>M62</f>
        <v>75.627378000000036</v>
      </c>
      <c r="L71" s="233">
        <f>K71/$K$72</f>
        <v>1.6268601494451394E-2</v>
      </c>
      <c r="M71" s="232">
        <f t="shared" si="13"/>
        <v>85.458937140000032</v>
      </c>
      <c r="N71" s="818">
        <v>80.632398650000027</v>
      </c>
      <c r="O71" s="261" t="s">
        <v>20</v>
      </c>
      <c r="P71" s="262"/>
      <c r="Q71" s="262"/>
      <c r="R71" s="262"/>
      <c r="S71" s="262"/>
    </row>
    <row r="72" spans="1:19">
      <c r="A72" s="205" t="s">
        <v>209</v>
      </c>
      <c r="B72" s="205"/>
      <c r="C72" s="206">
        <v>1331.94</v>
      </c>
      <c r="D72" s="796">
        <v>1538.4749999999999</v>
      </c>
      <c r="E72" s="217" t="s">
        <v>189</v>
      </c>
      <c r="F72" s="219">
        <f>H56</f>
        <v>325.17983000000004</v>
      </c>
      <c r="G72" s="220">
        <f t="shared" si="14"/>
        <v>1.4977784176255214E-2</v>
      </c>
      <c r="H72" s="219">
        <f t="shared" si="15"/>
        <v>347.94241810000005</v>
      </c>
      <c r="I72" s="809">
        <v>288.75665745000003</v>
      </c>
      <c r="J72" s="227" t="s">
        <v>56</v>
      </c>
      <c r="K72" s="234">
        <f>SUM(K68:K71)</f>
        <v>4648.6711243000009</v>
      </c>
      <c r="L72" s="235">
        <f>K72/$K$72</f>
        <v>1</v>
      </c>
      <c r="M72" s="234">
        <f>SUM(M68:M71)</f>
        <v>5252.9983704590004</v>
      </c>
      <c r="N72" s="823">
        <v>5766.7840929239992</v>
      </c>
      <c r="O72" s="262" t="s">
        <v>196</v>
      </c>
      <c r="P72" s="262"/>
      <c r="Q72" s="263"/>
      <c r="R72" s="264">
        <v>6.8992000000000004</v>
      </c>
      <c r="S72" s="264">
        <v>4.5472000000000001</v>
      </c>
    </row>
    <row r="73" spans="1:19">
      <c r="A73" s="205" t="s">
        <v>210</v>
      </c>
      <c r="B73" s="205"/>
      <c r="C73" s="207">
        <v>489.23349297900006</v>
      </c>
      <c r="D73" s="797">
        <v>545.56535658450014</v>
      </c>
      <c r="E73" s="217" t="s">
        <v>191</v>
      </c>
      <c r="F73" s="219">
        <f>H61</f>
        <v>133.6953</v>
      </c>
      <c r="G73" s="220">
        <f t="shared" si="14"/>
        <v>6.1580060140252043E-3</v>
      </c>
      <c r="H73" s="219">
        <f t="shared" si="15"/>
        <v>143.05397100000002</v>
      </c>
      <c r="I73" s="809">
        <v>249.78047900000004</v>
      </c>
      <c r="O73" s="262"/>
      <c r="P73" s="262"/>
      <c r="Q73" s="262"/>
      <c r="R73" s="266">
        <v>46.154080000000008</v>
      </c>
      <c r="S73" s="266">
        <f>S65+S70+S72</f>
        <v>60.822800000000001</v>
      </c>
    </row>
    <row r="74" spans="1:19">
      <c r="A74" s="208" t="s">
        <v>109</v>
      </c>
      <c r="B74" s="205"/>
      <c r="C74" s="209">
        <f>C72+C73</f>
        <v>1821.173492979</v>
      </c>
      <c r="D74" s="798">
        <f>D72+D73</f>
        <v>2084.0403565844999</v>
      </c>
      <c r="E74" s="221" t="s">
        <v>81</v>
      </c>
      <c r="F74" s="222">
        <f>H64</f>
        <v>30.170500000000001</v>
      </c>
      <c r="G74" s="223">
        <f t="shared" si="14"/>
        <v>1.3896533419360847E-3</v>
      </c>
      <c r="H74" s="222">
        <f t="shared" si="15"/>
        <v>32.282435</v>
      </c>
      <c r="I74" s="810">
        <v>34.616105000000005</v>
      </c>
      <c r="J74" s="874" t="s">
        <v>243</v>
      </c>
      <c r="K74" s="874"/>
      <c r="L74" s="874"/>
      <c r="M74" s="874"/>
    </row>
    <row r="75" spans="1:19">
      <c r="A75" s="204" t="s">
        <v>98</v>
      </c>
      <c r="B75" s="205"/>
      <c r="C75" s="205"/>
      <c r="D75" s="800"/>
      <c r="E75" s="217" t="s">
        <v>56</v>
      </c>
      <c r="F75" s="224">
        <f>SUM(F70:F74)</f>
        <v>21710.810235569996</v>
      </c>
      <c r="G75" s="225">
        <f t="shared" si="14"/>
        <v>1</v>
      </c>
      <c r="H75" s="224">
        <f>SUM(H70:H74)</f>
        <v>23230.566952059897</v>
      </c>
      <c r="I75" s="814">
        <v>25478.890222522594</v>
      </c>
      <c r="J75" s="88"/>
      <c r="K75" s="88"/>
      <c r="L75" s="88"/>
      <c r="M75" s="88"/>
    </row>
    <row r="76" spans="1:19">
      <c r="A76" s="205" t="s">
        <v>211</v>
      </c>
      <c r="B76" s="205"/>
      <c r="C76" s="206">
        <v>187.3989</v>
      </c>
      <c r="D76" s="796">
        <v>231.82499999999999</v>
      </c>
      <c r="J76" s="273" t="s">
        <v>175</v>
      </c>
      <c r="K76" s="274"/>
      <c r="L76" s="278">
        <v>0.75</v>
      </c>
      <c r="M76" s="88"/>
    </row>
    <row r="77" spans="1:19">
      <c r="A77" s="205" t="s">
        <v>212</v>
      </c>
      <c r="B77" s="205"/>
      <c r="C77" s="206">
        <v>152.33009999999999</v>
      </c>
      <c r="D77" s="796">
        <v>164.6379</v>
      </c>
      <c r="E77" s="294" t="s">
        <v>247</v>
      </c>
      <c r="F77" s="295"/>
      <c r="G77" s="296"/>
      <c r="H77" s="297"/>
      <c r="J77" s="273" t="s">
        <v>79</v>
      </c>
      <c r="K77" s="274"/>
      <c r="L77" s="278">
        <v>0.2</v>
      </c>
      <c r="M77" s="88"/>
    </row>
    <row r="78" spans="1:19">
      <c r="A78" s="205" t="s">
        <v>213</v>
      </c>
      <c r="B78" s="205"/>
      <c r="C78" s="206">
        <v>88.515000000000001</v>
      </c>
      <c r="D78" s="796">
        <v>164.38499999999999</v>
      </c>
      <c r="E78" s="298" t="s">
        <v>248</v>
      </c>
      <c r="F78" s="299"/>
      <c r="G78" s="300"/>
      <c r="H78" s="301"/>
      <c r="J78" s="277" t="s">
        <v>80</v>
      </c>
      <c r="K78" s="276"/>
      <c r="L78" s="279">
        <v>0.05</v>
      </c>
      <c r="M78" s="88"/>
    </row>
    <row r="79" spans="1:19">
      <c r="A79" s="205" t="s">
        <v>214</v>
      </c>
      <c r="B79" s="205"/>
      <c r="C79" s="206">
        <v>138.868233</v>
      </c>
      <c r="D79" s="796">
        <v>194.80887000000001</v>
      </c>
      <c r="E79" s="75"/>
      <c r="F79" s="75"/>
      <c r="J79" s="274" t="s">
        <v>56</v>
      </c>
      <c r="K79" s="274"/>
      <c r="L79" s="275">
        <f>SUM(L76:L78)</f>
        <v>1</v>
      </c>
      <c r="M79" s="88"/>
    </row>
    <row r="80" spans="1:19">
      <c r="A80" s="205" t="s">
        <v>215</v>
      </c>
      <c r="B80" s="205"/>
      <c r="C80" s="206">
        <v>532.91088000000002</v>
      </c>
      <c r="D80" s="796">
        <v>360.80399999999997</v>
      </c>
      <c r="F80" s="75"/>
    </row>
    <row r="81" spans="1:7">
      <c r="A81" s="205" t="s">
        <v>216</v>
      </c>
      <c r="B81" s="205"/>
      <c r="C81" s="787">
        <v>84.450896999999998</v>
      </c>
      <c r="D81" s="801">
        <v>89.830922999999999</v>
      </c>
      <c r="F81" s="75"/>
    </row>
    <row r="82" spans="1:7">
      <c r="A82" s="205" t="s">
        <v>416</v>
      </c>
      <c r="B82" s="205"/>
      <c r="C82" s="207">
        <v>2640.4344839999999</v>
      </c>
      <c r="D82" s="797"/>
      <c r="F82" s="75"/>
    </row>
    <row r="83" spans="1:7">
      <c r="A83" s="208" t="s">
        <v>109</v>
      </c>
      <c r="B83" s="12"/>
      <c r="C83" s="57">
        <f>SUM(C76:C82)</f>
        <v>3824.9084939999998</v>
      </c>
      <c r="D83" s="798">
        <f>SUM(D76:D81)</f>
        <v>1206.2916930000001</v>
      </c>
      <c r="E83" s="75"/>
      <c r="F83" s="75"/>
      <c r="G83" s="10"/>
    </row>
    <row r="84" spans="1:7" ht="15.75" thickBot="1">
      <c r="A84" s="205"/>
      <c r="B84" s="205"/>
      <c r="C84" s="205"/>
      <c r="D84" s="800"/>
      <c r="E84" s="75"/>
      <c r="F84" s="336"/>
    </row>
    <row r="85" spans="1:7" ht="15.75" thickBot="1">
      <c r="A85" s="211" t="s">
        <v>221</v>
      </c>
      <c r="B85" s="205"/>
      <c r="C85" s="212">
        <f>C83+C74+C70+C63+C57+C51+C50</f>
        <v>46213.264265579994</v>
      </c>
      <c r="D85" s="802">
        <f>D83+D74+D70+D63+D57+D51+D50</f>
        <v>55843.913565690003</v>
      </c>
      <c r="F85" s="75"/>
    </row>
    <row r="86" spans="1:7">
      <c r="A86" s="12"/>
      <c r="B86" s="12"/>
      <c r="C86" s="12"/>
      <c r="D86" s="803"/>
      <c r="F86" s="75"/>
    </row>
    <row r="87" spans="1:7">
      <c r="A87" s="236" t="s">
        <v>431</v>
      </c>
      <c r="B87" s="237" t="s">
        <v>52</v>
      </c>
      <c r="C87" s="237" t="s">
        <v>188</v>
      </c>
      <c r="D87" s="804" t="s">
        <v>53</v>
      </c>
      <c r="F87" s="75"/>
    </row>
    <row r="88" spans="1:7">
      <c r="A88" s="238" t="s">
        <v>183</v>
      </c>
      <c r="B88" s="239">
        <f>C50</f>
        <v>13169.500365</v>
      </c>
      <c r="C88" s="240">
        <f t="shared" ref="C88:C95" si="16">B88/$B$95</f>
        <v>0.28497230339144741</v>
      </c>
      <c r="D88" s="805">
        <f>B88*1.035</f>
        <v>13630.432877775</v>
      </c>
      <c r="F88" s="75"/>
    </row>
    <row r="89" spans="1:7">
      <c r="A89" s="238" t="s">
        <v>187</v>
      </c>
      <c r="B89" s="239">
        <f>C51</f>
        <v>10645.685562000001</v>
      </c>
      <c r="C89" s="240">
        <f t="shared" si="16"/>
        <v>0.23035995684747571</v>
      </c>
      <c r="D89" s="805">
        <f t="shared" ref="D89:D94" si="17">B89*1.035</f>
        <v>11018.28455667</v>
      </c>
      <c r="F89" s="75"/>
    </row>
    <row r="90" spans="1:7">
      <c r="A90" s="238" t="s">
        <v>184</v>
      </c>
      <c r="B90" s="239">
        <f>C57</f>
        <v>11339.711366600999</v>
      </c>
      <c r="C90" s="240">
        <f t="shared" si="16"/>
        <v>0.24537784869368998</v>
      </c>
      <c r="D90" s="805">
        <f t="shared" si="17"/>
        <v>11736.601264432033</v>
      </c>
      <c r="F90" s="75"/>
    </row>
    <row r="91" spans="1:7">
      <c r="A91" s="238" t="s">
        <v>185</v>
      </c>
      <c r="B91" s="239">
        <f>C63</f>
        <v>2386.6973849999999</v>
      </c>
      <c r="C91" s="240">
        <f t="shared" si="16"/>
        <v>5.164528892146731E-2</v>
      </c>
      <c r="D91" s="805">
        <f t="shared" si="17"/>
        <v>2470.2317934749999</v>
      </c>
      <c r="F91" s="75"/>
    </row>
    <row r="92" spans="1:7">
      <c r="A92" s="238" t="s">
        <v>20</v>
      </c>
      <c r="B92" s="239">
        <f>C70</f>
        <v>3025.5875999999998</v>
      </c>
      <c r="C92" s="240">
        <f t="shared" si="16"/>
        <v>6.5470112273663408E-2</v>
      </c>
      <c r="D92" s="805">
        <f t="shared" si="17"/>
        <v>3131.4831659999995</v>
      </c>
      <c r="F92" s="75"/>
    </row>
    <row r="93" spans="1:7">
      <c r="A93" s="238" t="s">
        <v>186</v>
      </c>
      <c r="B93" s="239">
        <f>C74</f>
        <v>1821.173492979</v>
      </c>
      <c r="C93" s="240">
        <f t="shared" si="16"/>
        <v>3.9408025421294991E-2</v>
      </c>
      <c r="D93" s="805">
        <f t="shared" si="17"/>
        <v>1884.914565233265</v>
      </c>
      <c r="F93" s="75"/>
    </row>
    <row r="94" spans="1:7" ht="15.75" thickBot="1">
      <c r="A94" s="241" t="s">
        <v>97</v>
      </c>
      <c r="B94" s="242">
        <f>C83</f>
        <v>3824.9084939999998</v>
      </c>
      <c r="C94" s="243">
        <f t="shared" si="16"/>
        <v>8.2766464450961141E-2</v>
      </c>
      <c r="D94" s="806">
        <f t="shared" si="17"/>
        <v>3958.7802912899997</v>
      </c>
      <c r="F94" s="75"/>
    </row>
    <row r="95" spans="1:7" ht="15.75" thickBot="1">
      <c r="A95" s="244" t="s">
        <v>56</v>
      </c>
      <c r="B95" s="245">
        <f>SUM(B88:B94)</f>
        <v>46213.264265580001</v>
      </c>
      <c r="C95" s="240">
        <f t="shared" si="16"/>
        <v>1</v>
      </c>
      <c r="D95" s="807">
        <f>SUM(D88:D94)</f>
        <v>47830.7285148753</v>
      </c>
      <c r="F95" s="75"/>
    </row>
    <row r="97" spans="1:2">
      <c r="A97" s="280" t="s">
        <v>244</v>
      </c>
      <c r="B97" s="281"/>
    </row>
    <row r="98" spans="1:2">
      <c r="A98" s="282" t="s">
        <v>245</v>
      </c>
      <c r="B98" s="283">
        <v>0.35</v>
      </c>
    </row>
    <row r="99" spans="1:2">
      <c r="A99" s="282" t="s">
        <v>19</v>
      </c>
      <c r="B99" s="283">
        <v>0.31</v>
      </c>
    </row>
    <row r="100" spans="1:2">
      <c r="A100" s="287" t="s">
        <v>246</v>
      </c>
      <c r="B100" s="284"/>
    </row>
    <row r="101" spans="1:2">
      <c r="A101" s="285" t="s">
        <v>56</v>
      </c>
      <c r="B101" s="286">
        <f>SUM(B98:B100)</f>
        <v>0.65999999999999992</v>
      </c>
    </row>
    <row r="135" spans="3:3">
      <c r="C135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1"/>
  <sheetViews>
    <sheetView topLeftCell="B61" zoomScale="90" zoomScaleNormal="90" workbookViewId="0">
      <selection activeCell="F18" sqref="F18"/>
    </sheetView>
  </sheetViews>
  <sheetFormatPr defaultRowHeight="15"/>
  <cols>
    <col min="1" max="1" width="21.28515625" customWidth="1"/>
    <col min="2" max="2" width="9.85546875" customWidth="1"/>
    <col min="3" max="3" width="11.85546875" customWidth="1"/>
    <col min="4" max="4" width="11.140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7.85546875" customWidth="1"/>
    <col min="11" max="11" width="9.7109375" customWidth="1"/>
    <col min="12" max="12" width="13.5703125" customWidth="1"/>
    <col min="13" max="13" width="7.28515625" customWidth="1"/>
    <col min="14" max="14" width="9.7109375" customWidth="1"/>
    <col min="15" max="15" width="12" customWidth="1"/>
    <col min="16" max="16" width="11" customWidth="1"/>
    <col min="17" max="17" width="9" customWidth="1"/>
    <col min="18" max="18" width="12.42578125" customWidth="1"/>
    <col min="19" max="19" width="11.42578125" customWidth="1"/>
    <col min="21" max="21" width="11.28515625" customWidth="1"/>
  </cols>
  <sheetData>
    <row r="1" spans="1:28" ht="18">
      <c r="F1" s="895" t="s">
        <v>408</v>
      </c>
      <c r="G1" s="895"/>
      <c r="H1" s="895" t="s">
        <v>265</v>
      </c>
      <c r="I1" s="895"/>
      <c r="J1" s="895"/>
      <c r="K1" s="895"/>
      <c r="L1" s="895"/>
      <c r="O1" s="759"/>
      <c r="P1" s="754">
        <v>2560956</v>
      </c>
    </row>
    <row r="2" spans="1:28" ht="15.75">
      <c r="A2" s="65" t="s">
        <v>266</v>
      </c>
      <c r="D2" s="745">
        <f>F6+F10</f>
        <v>396599</v>
      </c>
      <c r="E2" s="741">
        <f>E6+E10+E14+E15</f>
        <v>11018.28455667</v>
      </c>
      <c r="F2" s="741"/>
      <c r="I2" s="742"/>
      <c r="O2" s="757"/>
      <c r="P2" s="752">
        <v>9474737</v>
      </c>
    </row>
    <row r="3" spans="1:28">
      <c r="A3" s="74" t="s">
        <v>89</v>
      </c>
      <c r="E3" s="741">
        <f>E7+E11</f>
        <v>80059.544120274018</v>
      </c>
      <c r="F3" s="11"/>
      <c r="T3" s="360" t="s">
        <v>69</v>
      </c>
      <c r="U3" s="360" t="s">
        <v>329</v>
      </c>
    </row>
    <row r="4" spans="1:28" s="75" customFormat="1" ht="12.75">
      <c r="A4" s="85" t="s">
        <v>72</v>
      </c>
      <c r="B4" s="85" t="s">
        <v>69</v>
      </c>
      <c r="C4" s="896" t="s">
        <v>55</v>
      </c>
      <c r="D4" s="897"/>
      <c r="E4" s="898"/>
      <c r="F4" s="893" t="s">
        <v>272</v>
      </c>
      <c r="G4" s="894"/>
      <c r="H4" s="902"/>
      <c r="I4" s="904" t="s">
        <v>70</v>
      </c>
      <c r="J4" s="904"/>
      <c r="K4" s="904"/>
      <c r="L4" s="913" t="s">
        <v>59</v>
      </c>
      <c r="M4" s="914"/>
      <c r="N4" s="915"/>
      <c r="O4" s="918" t="s">
        <v>60</v>
      </c>
      <c r="P4" s="919"/>
      <c r="Q4" s="920"/>
      <c r="S4" s="359"/>
      <c r="T4" s="360" t="s">
        <v>260</v>
      </c>
      <c r="U4" s="360" t="s">
        <v>330</v>
      </c>
      <c r="V4" s="360" t="s">
        <v>263</v>
      </c>
    </row>
    <row r="5" spans="1:28" s="75" customFormat="1" ht="12.75">
      <c r="A5" s="327"/>
      <c r="B5" s="363"/>
      <c r="C5" s="452" t="s">
        <v>267</v>
      </c>
      <c r="D5" s="453" t="s">
        <v>52</v>
      </c>
      <c r="E5" s="454" t="s">
        <v>53</v>
      </c>
      <c r="F5" s="487" t="s">
        <v>62</v>
      </c>
      <c r="G5" s="488" t="s">
        <v>64</v>
      </c>
      <c r="H5" s="489" t="s">
        <v>53</v>
      </c>
      <c r="I5" s="516" t="s">
        <v>66</v>
      </c>
      <c r="J5" s="516" t="s">
        <v>67</v>
      </c>
      <c r="K5" s="516" t="s">
        <v>71</v>
      </c>
      <c r="L5" s="540" t="s">
        <v>62</v>
      </c>
      <c r="M5" s="541" t="s">
        <v>64</v>
      </c>
      <c r="N5" s="542" t="s">
        <v>53</v>
      </c>
      <c r="O5" s="571" t="s">
        <v>62</v>
      </c>
      <c r="P5" s="572" t="s">
        <v>64</v>
      </c>
      <c r="Q5" s="573" t="s">
        <v>53</v>
      </c>
      <c r="S5" s="353"/>
      <c r="T5" s="361" t="s">
        <v>262</v>
      </c>
      <c r="U5" s="361" t="s">
        <v>261</v>
      </c>
      <c r="V5" s="361" t="s">
        <v>264</v>
      </c>
      <c r="X5" s="592" t="s">
        <v>326</v>
      </c>
      <c r="Y5" s="593"/>
      <c r="AA5" s="592" t="s">
        <v>326</v>
      </c>
      <c r="AB5" s="593"/>
    </row>
    <row r="6" spans="1:28" s="75" customFormat="1" ht="15" customHeight="1">
      <c r="A6" s="329" t="s">
        <v>317</v>
      </c>
      <c r="B6" s="328" t="s">
        <v>57</v>
      </c>
      <c r="C6" s="753">
        <v>66591</v>
      </c>
      <c r="D6" s="455">
        <f>C6*$Y$6/1000</f>
        <v>56.136212999999998</v>
      </c>
      <c r="E6" s="456">
        <f>D6*$U$6</f>
        <v>58.100980454999991</v>
      </c>
      <c r="F6" s="753">
        <v>198519</v>
      </c>
      <c r="G6" s="490">
        <f>F6/1000000</f>
        <v>0.198519</v>
      </c>
      <c r="H6" s="491">
        <f>G6*$U$8</f>
        <v>17.072634000000001</v>
      </c>
      <c r="I6" s="517">
        <f t="shared" ref="I6" si="0">C6/F6</f>
        <v>0.33543892524141267</v>
      </c>
      <c r="J6" s="518">
        <f t="shared" ref="J6" si="1">F6/C6</f>
        <v>2.9811686263909536</v>
      </c>
      <c r="K6" s="519">
        <f>H6/E6</f>
        <v>0.2938441634943319</v>
      </c>
      <c r="L6" s="921">
        <v>2560956</v>
      </c>
      <c r="M6" s="923">
        <f>L6/1000000</f>
        <v>2.560956</v>
      </c>
      <c r="N6" s="547"/>
      <c r="O6" s="574"/>
      <c r="P6" s="575"/>
      <c r="Q6" s="576"/>
      <c r="S6" s="361" t="s">
        <v>57</v>
      </c>
      <c r="T6" s="339">
        <v>0.83809999999999996</v>
      </c>
      <c r="U6" s="772">
        <v>1.0349999999999999</v>
      </c>
      <c r="V6" s="339"/>
      <c r="X6" s="594" t="s">
        <v>57</v>
      </c>
      <c r="Y6" s="595">
        <v>0.84299999999999997</v>
      </c>
      <c r="AA6" s="594" t="s">
        <v>57</v>
      </c>
      <c r="AB6" s="596">
        <v>0.82979999999999998</v>
      </c>
    </row>
    <row r="7" spans="1:28" s="75" customFormat="1" ht="12.75">
      <c r="B7" s="330" t="s">
        <v>58</v>
      </c>
      <c r="C7" s="755">
        <v>7464655.4930771962</v>
      </c>
      <c r="D7" s="457">
        <f>C7*$Y$7/1000</f>
        <v>7039.1701299717961</v>
      </c>
      <c r="E7" s="458">
        <f>D7*$U$7</f>
        <v>6757.6033247729238</v>
      </c>
      <c r="F7" s="755">
        <v>31224250</v>
      </c>
      <c r="G7" s="492">
        <f t="shared" ref="G7:G14" si="2">F7/1000000</f>
        <v>31.224250000000001</v>
      </c>
      <c r="H7" s="493">
        <f>G7*$U$8</f>
        <v>2685.2855</v>
      </c>
      <c r="I7" s="538">
        <f>C7/F7</f>
        <v>0.23906596613456516</v>
      </c>
      <c r="J7" s="521">
        <f>F7/C7</f>
        <v>4.1829458879860848</v>
      </c>
      <c r="K7" s="539">
        <f>H7/E7</f>
        <v>0.39737246638255935</v>
      </c>
      <c r="L7" s="922"/>
      <c r="M7" s="924"/>
      <c r="N7" s="544"/>
      <c r="O7" s="577"/>
      <c r="P7" s="578"/>
      <c r="Q7" s="579"/>
      <c r="S7" s="361" t="s">
        <v>58</v>
      </c>
      <c r="T7" s="339">
        <v>0.93600000000000005</v>
      </c>
      <c r="U7" s="772">
        <v>0.96</v>
      </c>
      <c r="V7" s="339"/>
      <c r="X7" s="594" t="s">
        <v>58</v>
      </c>
      <c r="Y7" s="595">
        <v>0.94299999999999995</v>
      </c>
      <c r="AA7" s="594" t="s">
        <v>58</v>
      </c>
      <c r="AB7" s="595">
        <v>0.93600000000000005</v>
      </c>
    </row>
    <row r="8" spans="1:28" s="75" customFormat="1">
      <c r="A8" s="327"/>
      <c r="B8" s="328" t="s">
        <v>109</v>
      </c>
      <c r="C8" s="459"/>
      <c r="D8" s="460"/>
      <c r="E8" s="461">
        <f>SUM(E6:E7)</f>
        <v>6815.7043052279241</v>
      </c>
      <c r="F8" s="494">
        <f t="shared" ref="F8:H8" si="3">SUM(F6:F7)</f>
        <v>31422769</v>
      </c>
      <c r="G8" s="495">
        <f t="shared" si="3"/>
        <v>31.422769000000002</v>
      </c>
      <c r="H8" s="496">
        <f t="shared" si="3"/>
        <v>2702.3581340000001</v>
      </c>
      <c r="I8" s="290"/>
      <c r="J8" s="290"/>
      <c r="K8" s="519">
        <f>H8/E8</f>
        <v>0.39648993163145013</v>
      </c>
      <c r="L8" s="545">
        <f>L6</f>
        <v>2560956</v>
      </c>
      <c r="M8" s="546">
        <f>L8/1000000</f>
        <v>2.560956</v>
      </c>
      <c r="N8" s="547">
        <f>M8*86</f>
        <v>220.24221600000001</v>
      </c>
      <c r="O8" s="773">
        <f>F8-L8</f>
        <v>28861813</v>
      </c>
      <c r="P8" s="581">
        <f>O8/1000000</f>
        <v>28.861813000000001</v>
      </c>
      <c r="Q8" s="481">
        <f>P8*86</f>
        <v>2482.115918</v>
      </c>
      <c r="S8" s="361" t="s">
        <v>78</v>
      </c>
      <c r="T8" s="339"/>
      <c r="U8" s="339">
        <v>86</v>
      </c>
      <c r="V8" s="362"/>
      <c r="X8" s="75" t="s">
        <v>327</v>
      </c>
      <c r="AA8" s="75" t="s">
        <v>328</v>
      </c>
      <c r="AB8"/>
    </row>
    <row r="9" spans="1:28" s="75" customFormat="1" ht="8.25" customHeight="1">
      <c r="A9" s="327"/>
      <c r="B9" s="328"/>
      <c r="C9" s="459"/>
      <c r="D9" s="460"/>
      <c r="E9" s="461"/>
      <c r="F9" s="494"/>
      <c r="G9" s="495"/>
      <c r="H9" s="496"/>
      <c r="I9" s="290"/>
      <c r="J9" s="290"/>
      <c r="K9" s="519"/>
      <c r="L9" s="545"/>
      <c r="M9" s="546"/>
      <c r="N9" s="547"/>
      <c r="O9" s="580"/>
      <c r="P9" s="581"/>
      <c r="Q9" s="481"/>
      <c r="S9" s="765"/>
      <c r="T9" s="353"/>
      <c r="U9" s="353"/>
      <c r="V9" s="362"/>
      <c r="AB9"/>
    </row>
    <row r="10" spans="1:28" s="75" customFormat="1" ht="15" customHeight="1">
      <c r="A10" s="329" t="s">
        <v>316</v>
      </c>
      <c r="B10" s="328" t="s">
        <v>57</v>
      </c>
      <c r="C10" s="753">
        <v>48297</v>
      </c>
      <c r="D10" s="462">
        <f>C10*$Y$6/1000</f>
        <v>40.714371</v>
      </c>
      <c r="E10" s="463">
        <f>D10*$U$6</f>
        <v>42.139373984999999</v>
      </c>
      <c r="F10" s="753">
        <v>198080</v>
      </c>
      <c r="G10" s="497">
        <f t="shared" si="2"/>
        <v>0.19808000000000001</v>
      </c>
      <c r="H10" s="498">
        <f>G10*$U$8</f>
        <v>17.034880000000001</v>
      </c>
      <c r="I10" s="517">
        <f t="shared" ref="I10:I11" si="4">C10/F10</f>
        <v>0.24382572697899837</v>
      </c>
      <c r="J10" s="518">
        <f t="shared" ref="J10:J11" si="5">F10/C10</f>
        <v>4.1012899351926624</v>
      </c>
      <c r="K10" s="519">
        <f t="shared" ref="K10:K15" si="6">H10/E10</f>
        <v>0.404250903349057</v>
      </c>
      <c r="L10" s="921">
        <v>9474737</v>
      </c>
      <c r="M10" s="923">
        <f>L10/1000000</f>
        <v>9.4747369999999993</v>
      </c>
      <c r="N10" s="543"/>
      <c r="O10" s="574"/>
      <c r="P10" s="575"/>
      <c r="Q10" s="576"/>
      <c r="T10" s="75" t="s">
        <v>331</v>
      </c>
    </row>
    <row r="11" spans="1:28" s="75" customFormat="1" ht="12.75">
      <c r="B11" s="330" t="s">
        <v>58</v>
      </c>
      <c r="C11" s="756">
        <v>80971567.686794266</v>
      </c>
      <c r="D11" s="464">
        <f>C11*$Y$7/1000</f>
        <v>76356.188328646982</v>
      </c>
      <c r="E11" s="465">
        <f>D11*$U$7</f>
        <v>73301.940795501097</v>
      </c>
      <c r="F11" s="756">
        <v>352811950</v>
      </c>
      <c r="G11" s="499">
        <f t="shared" si="2"/>
        <v>352.81195000000002</v>
      </c>
      <c r="H11" s="500">
        <f>G11*$U$8</f>
        <v>30341.827700000002</v>
      </c>
      <c r="I11" s="520">
        <f t="shared" si="4"/>
        <v>0.2295034725632005</v>
      </c>
      <c r="J11" s="521">
        <f t="shared" si="5"/>
        <v>4.3572325456845569</v>
      </c>
      <c r="K11" s="522">
        <f t="shared" si="6"/>
        <v>0.41392939082811064</v>
      </c>
      <c r="L11" s="922"/>
      <c r="M11" s="924"/>
      <c r="N11" s="544"/>
      <c r="O11" s="577"/>
      <c r="P11" s="578"/>
      <c r="Q11" s="579"/>
      <c r="V11" s="332"/>
    </row>
    <row r="12" spans="1:28" s="75" customFormat="1" ht="12.75">
      <c r="A12" s="328"/>
      <c r="B12" s="328" t="s">
        <v>109</v>
      </c>
      <c r="C12" s="459"/>
      <c r="D12" s="462"/>
      <c r="E12" s="466">
        <f>SUM(E10:E11)</f>
        <v>73344.0801694861</v>
      </c>
      <c r="F12" s="494">
        <f t="shared" ref="F12:H12" si="7">SUM(F10:F11)</f>
        <v>353010030</v>
      </c>
      <c r="G12" s="501">
        <f t="shared" si="7"/>
        <v>353.01003000000003</v>
      </c>
      <c r="H12" s="502">
        <f t="shared" si="7"/>
        <v>30358.862580000001</v>
      </c>
      <c r="I12" s="517"/>
      <c r="J12" s="290"/>
      <c r="K12" s="519">
        <f t="shared" si="6"/>
        <v>0.41392383011479134</v>
      </c>
      <c r="L12" s="545">
        <f>L10</f>
        <v>9474737</v>
      </c>
      <c r="M12" s="548">
        <f>L12/1000000</f>
        <v>9.4747369999999993</v>
      </c>
      <c r="N12" s="549">
        <f>M12*86</f>
        <v>814.82738199999994</v>
      </c>
      <c r="O12" s="773">
        <f>F12-L12</f>
        <v>343535293</v>
      </c>
      <c r="P12" s="582">
        <f>O12/1000000</f>
        <v>343.53529300000002</v>
      </c>
      <c r="Q12" s="482">
        <f>P12*86</f>
        <v>29544.035198000001</v>
      </c>
    </row>
    <row r="13" spans="1:28" s="75" customFormat="1" ht="8.25" customHeight="1">
      <c r="A13" s="328"/>
      <c r="B13" s="328"/>
      <c r="C13" s="766"/>
      <c r="D13" s="462"/>
      <c r="E13" s="466"/>
      <c r="F13" s="767"/>
      <c r="G13" s="501"/>
      <c r="H13" s="502"/>
      <c r="I13" s="517"/>
      <c r="J13" s="290"/>
      <c r="K13" s="519"/>
      <c r="L13" s="545"/>
      <c r="M13" s="548"/>
      <c r="N13" s="549"/>
      <c r="O13" s="580"/>
      <c r="P13" s="582"/>
      <c r="Q13" s="482"/>
    </row>
    <row r="14" spans="1:28" s="75" customFormat="1" ht="12.75">
      <c r="A14" s="329" t="s">
        <v>315</v>
      </c>
      <c r="B14" s="328" t="s">
        <v>57</v>
      </c>
      <c r="C14" s="758">
        <v>12482184</v>
      </c>
      <c r="D14" s="462">
        <f>C14*$Y$6/1000</f>
        <v>10522.481111999999</v>
      </c>
      <c r="E14" s="463">
        <f>D14*$U$6</f>
        <v>10890.767950919999</v>
      </c>
      <c r="F14" s="758">
        <v>45586721</v>
      </c>
      <c r="G14" s="497">
        <f t="shared" si="2"/>
        <v>45.586720999999997</v>
      </c>
      <c r="H14" s="498">
        <f>G14*$U$8</f>
        <v>3920.4580059999998</v>
      </c>
      <c r="I14" s="517">
        <f>C14/F14</f>
        <v>0.27381184095254407</v>
      </c>
      <c r="J14" s="518">
        <f>F14/C14</f>
        <v>3.6521430063841391</v>
      </c>
      <c r="K14" s="519">
        <f t="shared" si="6"/>
        <v>0.35997994114536419</v>
      </c>
      <c r="L14" s="761">
        <v>952293</v>
      </c>
      <c r="M14" s="548">
        <f>L14/1000000</f>
        <v>0.95229299999999995</v>
      </c>
      <c r="N14" s="549">
        <f>M14*86</f>
        <v>81.897197999999989</v>
      </c>
      <c r="O14" s="773">
        <f>F14-L14</f>
        <v>44634428</v>
      </c>
      <c r="P14" s="582">
        <f>O14/1000000</f>
        <v>44.634428</v>
      </c>
      <c r="Q14" s="482">
        <f>P14*86</f>
        <v>3838.5608080000002</v>
      </c>
      <c r="R14" s="75">
        <v>51915917</v>
      </c>
      <c r="S14" s="754">
        <v>2560956</v>
      </c>
    </row>
    <row r="15" spans="1:28" s="75" customFormat="1" ht="12.75">
      <c r="A15" s="743" t="s">
        <v>400</v>
      </c>
      <c r="B15" s="330" t="s">
        <v>57</v>
      </c>
      <c r="C15" s="769">
        <v>31262</v>
      </c>
      <c r="D15" s="464">
        <f>C15*$Y$6/1000</f>
        <v>26.353865999999996</v>
      </c>
      <c r="E15" s="465">
        <f>D15*$U$6</f>
        <v>27.276251309999996</v>
      </c>
      <c r="F15" s="760">
        <v>109904</v>
      </c>
      <c r="G15" s="499">
        <f t="shared" ref="G15" si="8">F15/1000000</f>
        <v>0.109904</v>
      </c>
      <c r="H15" s="500">
        <f>G15*$U$8</f>
        <v>9.4517439999999997</v>
      </c>
      <c r="I15" s="520">
        <f>C15/F15</f>
        <v>0.28444824574173827</v>
      </c>
      <c r="J15" s="521">
        <f>F15/C15</f>
        <v>3.5155780180410723</v>
      </c>
      <c r="K15" s="522">
        <f t="shared" si="6"/>
        <v>0.34651917129590348</v>
      </c>
      <c r="L15" s="764"/>
      <c r="M15" s="770"/>
      <c r="N15" s="771"/>
      <c r="O15" s="583">
        <f>F15-L15</f>
        <v>109904</v>
      </c>
      <c r="P15" s="584">
        <f>O15/1000000</f>
        <v>0.109904</v>
      </c>
      <c r="Q15" s="483">
        <f>P15*86</f>
        <v>9.4517439999999997</v>
      </c>
      <c r="S15" s="752">
        <v>9474737</v>
      </c>
    </row>
    <row r="16" spans="1:28" s="75" customFormat="1" ht="16.5" customHeight="1" thickBot="1">
      <c r="A16" s="743"/>
      <c r="B16" s="328" t="s">
        <v>109</v>
      </c>
      <c r="C16" s="758"/>
      <c r="D16" s="462"/>
      <c r="E16" s="463">
        <f>SUM(E14:E15)</f>
        <v>10918.044202229999</v>
      </c>
      <c r="F16" s="768">
        <f>SUM(F14:F15)</f>
        <v>45696625</v>
      </c>
      <c r="G16" s="497"/>
      <c r="H16" s="498"/>
      <c r="I16" s="517"/>
      <c r="J16" s="518"/>
      <c r="K16" s="519"/>
      <c r="L16" s="545">
        <f>SUM(L14:L15)</f>
        <v>952293</v>
      </c>
      <c r="M16" s="548"/>
      <c r="N16" s="549"/>
      <c r="O16" s="580">
        <f>SUM(O14:O15)</f>
        <v>44744332</v>
      </c>
      <c r="P16" s="582"/>
      <c r="Q16" s="482"/>
      <c r="S16" s="759">
        <f t="shared" ref="S16" si="9">SUM(S14:S15)</f>
        <v>12035693</v>
      </c>
    </row>
    <row r="17" spans="1:21" s="75" customFormat="1" ht="12.75">
      <c r="A17" s="364" t="s">
        <v>409</v>
      </c>
      <c r="B17" s="331"/>
      <c r="C17" s="467"/>
      <c r="D17" s="468"/>
      <c r="E17" s="774">
        <f>E8+E12+E16</f>
        <v>91077.828676944016</v>
      </c>
      <c r="F17" s="774">
        <f>F8+F12+F16</f>
        <v>430129424</v>
      </c>
      <c r="G17" s="503">
        <f t="shared" ref="G17:H17" si="10">G8+G12+G14+G15</f>
        <v>430.12942400000003</v>
      </c>
      <c r="H17" s="504">
        <f t="shared" si="10"/>
        <v>36991.130464000002</v>
      </c>
      <c r="I17" s="523"/>
      <c r="J17" s="523"/>
      <c r="K17" s="524">
        <f>H17/E17</f>
        <v>0.40614857645770991</v>
      </c>
      <c r="L17" s="774">
        <f>L8+L12+L16</f>
        <v>12987986</v>
      </c>
      <c r="M17" s="550">
        <f t="shared" ref="M17:Q17" si="11">M8+M12+M14</f>
        <v>12.987985999999998</v>
      </c>
      <c r="N17" s="551">
        <f t="shared" si="11"/>
        <v>1116.9667959999999</v>
      </c>
      <c r="O17" s="484">
        <f>O8+O12+O16</f>
        <v>417141438</v>
      </c>
      <c r="P17" s="485">
        <f t="shared" si="11"/>
        <v>417.03153400000002</v>
      </c>
      <c r="Q17" s="486">
        <f t="shared" si="11"/>
        <v>35864.711924000003</v>
      </c>
    </row>
    <row r="18" spans="1:21">
      <c r="F18" s="10"/>
    </row>
    <row r="19" spans="1:21" s="75" customFormat="1">
      <c r="A19" s="74" t="s">
        <v>259</v>
      </c>
      <c r="C19" s="469" t="s">
        <v>74</v>
      </c>
      <c r="D19" s="470" t="s">
        <v>313</v>
      </c>
      <c r="E19" s="332"/>
      <c r="F19" s="893" t="s">
        <v>272</v>
      </c>
      <c r="G19" s="894"/>
      <c r="H19" s="902"/>
      <c r="I19" s="904" t="s">
        <v>70</v>
      </c>
      <c r="J19" s="904"/>
      <c r="K19" s="904"/>
      <c r="L19" s="913" t="s">
        <v>314</v>
      </c>
      <c r="M19" s="914"/>
      <c r="N19" s="915"/>
      <c r="O19" s="918" t="s">
        <v>60</v>
      </c>
      <c r="P19" s="919"/>
      <c r="Q19" s="920"/>
      <c r="S19" s="744"/>
    </row>
    <row r="20" spans="1:21" s="75" customFormat="1" ht="12.75">
      <c r="A20" s="447" t="s">
        <v>279</v>
      </c>
      <c r="C20" s="471" t="s">
        <v>61</v>
      </c>
      <c r="D20" s="472" t="s">
        <v>75</v>
      </c>
      <c r="E20" s="332"/>
      <c r="F20" s="487" t="s">
        <v>62</v>
      </c>
      <c r="G20" s="488" t="s">
        <v>64</v>
      </c>
      <c r="H20" s="489" t="s">
        <v>53</v>
      </c>
      <c r="I20" s="525" t="s">
        <v>268</v>
      </c>
      <c r="J20" s="526" t="s">
        <v>103</v>
      </c>
      <c r="K20" s="289"/>
      <c r="L20" s="552" t="s">
        <v>62</v>
      </c>
      <c r="M20" s="553" t="s">
        <v>64</v>
      </c>
      <c r="N20" s="554" t="s">
        <v>53</v>
      </c>
      <c r="O20" s="571" t="s">
        <v>62</v>
      </c>
      <c r="P20" s="572" t="s">
        <v>64</v>
      </c>
      <c r="Q20" s="573" t="s">
        <v>53</v>
      </c>
      <c r="S20" s="744"/>
    </row>
    <row r="21" spans="1:21" s="75" customFormat="1">
      <c r="A21" s="447" t="s">
        <v>280</v>
      </c>
      <c r="C21" s="473">
        <v>6000</v>
      </c>
      <c r="D21" s="474">
        <f>365*24</f>
        <v>8760</v>
      </c>
      <c r="E21" s="334"/>
      <c r="F21" s="760">
        <v>5985764.444444444</v>
      </c>
      <c r="G21" s="749">
        <f t="shared" ref="G21" si="12">F21/1000000</f>
        <v>5.9857644444444444</v>
      </c>
      <c r="H21" s="500">
        <f>G21*$U$8</f>
        <v>514.77574222222222</v>
      </c>
      <c r="I21" s="527">
        <f>F21/(C21*D21)</f>
        <v>0.11388440723828851</v>
      </c>
      <c r="J21" s="528">
        <f>F21/C21</f>
        <v>997.6274074074073</v>
      </c>
      <c r="K21" s="293"/>
      <c r="L21" s="763">
        <v>140000</v>
      </c>
      <c r="M21" s="555">
        <f>L21/1000000</f>
        <v>0.14000000000000001</v>
      </c>
      <c r="N21" s="556">
        <f>M21*86</f>
        <v>12.040000000000001</v>
      </c>
      <c r="O21" s="775">
        <f>F21-L21</f>
        <v>5845764.444444444</v>
      </c>
      <c r="P21" s="584">
        <f>O21/1000000</f>
        <v>5.8457644444444439</v>
      </c>
      <c r="Q21" s="483">
        <f>P21*86</f>
        <v>502.7357422222222</v>
      </c>
      <c r="S21" s="744"/>
    </row>
    <row r="22" spans="1:21">
      <c r="F22" s="10"/>
      <c r="S22" s="744"/>
      <c r="T22" s="75"/>
      <c r="U22" s="75"/>
    </row>
    <row r="23" spans="1:21" s="75" customFormat="1">
      <c r="A23" s="74" t="s">
        <v>76</v>
      </c>
      <c r="B23" s="365"/>
      <c r="C23" s="732" t="s">
        <v>74</v>
      </c>
      <c r="D23" s="733" t="s">
        <v>313</v>
      </c>
      <c r="E23" s="332"/>
      <c r="F23" s="893" t="s">
        <v>272</v>
      </c>
      <c r="G23" s="894"/>
      <c r="H23" s="902"/>
      <c r="I23" s="916" t="s">
        <v>70</v>
      </c>
      <c r="J23" s="916"/>
      <c r="K23" s="917"/>
      <c r="L23" s="913" t="s">
        <v>314</v>
      </c>
      <c r="M23" s="914"/>
      <c r="N23" s="915"/>
      <c r="O23" s="918" t="s">
        <v>60</v>
      </c>
      <c r="P23" s="919"/>
      <c r="Q23" s="920"/>
    </row>
    <row r="24" spans="1:21" s="75" customFormat="1" ht="12.75">
      <c r="A24" s="448" t="s">
        <v>273</v>
      </c>
      <c r="B24" s="365"/>
      <c r="C24" s="452" t="s">
        <v>61</v>
      </c>
      <c r="D24" s="454" t="s">
        <v>75</v>
      </c>
      <c r="E24" s="332"/>
      <c r="F24" s="487" t="s">
        <v>62</v>
      </c>
      <c r="G24" s="488" t="s">
        <v>64</v>
      </c>
      <c r="H24" s="489" t="s">
        <v>53</v>
      </c>
      <c r="I24" s="526" t="s">
        <v>268</v>
      </c>
      <c r="J24" s="526" t="s">
        <v>103</v>
      </c>
      <c r="K24" s="288"/>
      <c r="L24" s="552" t="s">
        <v>62</v>
      </c>
      <c r="M24" s="553" t="s">
        <v>64</v>
      </c>
      <c r="N24" s="554" t="s">
        <v>53</v>
      </c>
      <c r="O24" s="572" t="s">
        <v>62</v>
      </c>
      <c r="P24" s="572" t="s">
        <v>64</v>
      </c>
      <c r="Q24" s="573" t="s">
        <v>53</v>
      </c>
    </row>
    <row r="25" spans="1:21" s="75" customFormat="1" ht="12.75">
      <c r="A25" s="447" t="s">
        <v>307</v>
      </c>
      <c r="B25" s="365"/>
      <c r="C25" s="762">
        <v>4860</v>
      </c>
      <c r="D25" s="472">
        <f>365*24</f>
        <v>8760</v>
      </c>
      <c r="E25" s="446"/>
      <c r="F25" s="761">
        <v>4992858</v>
      </c>
      <c r="G25" s="490">
        <f t="shared" ref="G25:G27" si="13">F25/1000000</f>
        <v>4.992858</v>
      </c>
      <c r="H25" s="498">
        <f>G25*$U$8</f>
        <v>429.38578799999999</v>
      </c>
      <c r="I25" s="529">
        <f>F25/(C25*D25)</f>
        <v>0.11727591746998139</v>
      </c>
      <c r="J25" s="530">
        <f>F25/C25</f>
        <v>1027.3370370370371</v>
      </c>
      <c r="K25" s="290"/>
      <c r="L25" s="762">
        <v>3000</v>
      </c>
      <c r="M25" s="860">
        <f>L25/1000000</f>
        <v>3.0000000000000001E-3</v>
      </c>
      <c r="N25" s="547">
        <f>M25*86</f>
        <v>0.25800000000000001</v>
      </c>
      <c r="O25" s="585">
        <f>F25-L25</f>
        <v>4989858</v>
      </c>
      <c r="P25" s="582">
        <f>O25/1000000</f>
        <v>4.9898579999999999</v>
      </c>
      <c r="Q25" s="482">
        <f>P25*86</f>
        <v>429.12778800000001</v>
      </c>
    </row>
    <row r="26" spans="1:21" s="75" customFormat="1" ht="12.75">
      <c r="A26" s="447" t="s">
        <v>308</v>
      </c>
      <c r="B26" s="365"/>
      <c r="C26" s="762">
        <v>976</v>
      </c>
      <c r="D26" s="472">
        <f t="shared" ref="D26:D27" si="14">365*24</f>
        <v>8760</v>
      </c>
      <c r="E26" s="446"/>
      <c r="F26" s="761">
        <v>602803</v>
      </c>
      <c r="G26" s="490">
        <f t="shared" si="13"/>
        <v>0.60280299999999998</v>
      </c>
      <c r="H26" s="498">
        <f t="shared" ref="H26:H27" si="15">G26*$U$8</f>
        <v>51.841057999999997</v>
      </c>
      <c r="I26" s="529">
        <f t="shared" ref="I26" si="16">F26/(C26*D26)</f>
        <v>7.0505253948648858E-2</v>
      </c>
      <c r="J26" s="530">
        <f t="shared" ref="J26" si="17">F26/C26</f>
        <v>617.62602459016398</v>
      </c>
      <c r="K26" s="290"/>
      <c r="L26" s="540">
        <v>0</v>
      </c>
      <c r="M26" s="546">
        <f>L26/1000000</f>
        <v>0</v>
      </c>
      <c r="N26" s="547">
        <f>M26*86</f>
        <v>0</v>
      </c>
      <c r="O26" s="585">
        <f>F26-L26</f>
        <v>602803</v>
      </c>
      <c r="P26" s="582">
        <f>O26/1000000</f>
        <v>0.60280299999999998</v>
      </c>
      <c r="Q26" s="482">
        <f>P26*86</f>
        <v>51.841057999999997</v>
      </c>
    </row>
    <row r="27" spans="1:21" s="75" customFormat="1" ht="12.75">
      <c r="A27" s="447" t="s">
        <v>309</v>
      </c>
      <c r="B27" s="365"/>
      <c r="C27" s="475"/>
      <c r="D27" s="474">
        <f t="shared" si="14"/>
        <v>8760</v>
      </c>
      <c r="E27" s="446"/>
      <c r="F27" s="776">
        <v>123535</v>
      </c>
      <c r="G27" s="492">
        <f t="shared" si="13"/>
        <v>0.12353500000000001</v>
      </c>
      <c r="H27" s="500">
        <f t="shared" si="15"/>
        <v>10.62401</v>
      </c>
      <c r="I27" s="529"/>
      <c r="J27" s="530"/>
      <c r="K27" s="290"/>
      <c r="L27" s="557">
        <v>0</v>
      </c>
      <c r="M27" s="555">
        <f>L27/1000000</f>
        <v>0</v>
      </c>
      <c r="N27" s="556">
        <f>M27*86</f>
        <v>0</v>
      </c>
      <c r="O27" s="585"/>
      <c r="P27" s="582"/>
      <c r="Q27" s="482"/>
    </row>
    <row r="28" spans="1:21" s="75" customFormat="1">
      <c r="A28" s="355" t="s">
        <v>109</v>
      </c>
      <c r="C28" s="738">
        <f>SUM(C25:C27)</f>
        <v>5836</v>
      </c>
      <c r="D28" s="474">
        <v>8760</v>
      </c>
      <c r="F28" s="509">
        <f>SUM(F25:F27)</f>
        <v>5719196</v>
      </c>
      <c r="G28" s="739">
        <f t="shared" ref="G28:H28" si="18">SUM(G25:G26)</f>
        <v>5.5956609999999998</v>
      </c>
      <c r="H28" s="740">
        <f t="shared" si="18"/>
        <v>481.22684599999997</v>
      </c>
      <c r="I28" s="531">
        <f>F28/(C28*D28)</f>
        <v>0.11187050303422937</v>
      </c>
      <c r="J28" s="532">
        <f>F28/C28</f>
        <v>979.98560657984922</v>
      </c>
      <c r="K28" s="290"/>
      <c r="L28" s="444"/>
      <c r="M28" s="444"/>
      <c r="N28" s="444"/>
      <c r="O28" s="586">
        <f t="shared" ref="O28:Q28" si="19">SUM(O25:O26)</f>
        <v>5592661</v>
      </c>
      <c r="P28" s="587">
        <f t="shared" si="19"/>
        <v>5.5926609999999997</v>
      </c>
      <c r="Q28" s="588">
        <f t="shared" si="19"/>
        <v>480.96884599999998</v>
      </c>
    </row>
    <row r="29" spans="1:21" s="75" customFormat="1">
      <c r="A29" s="448" t="s">
        <v>274</v>
      </c>
      <c r="C29"/>
      <c r="D29"/>
      <c r="F29"/>
      <c r="G29"/>
      <c r="H29"/>
      <c r="I29" s="516" t="s">
        <v>268</v>
      </c>
      <c r="J29" s="516" t="s">
        <v>103</v>
      </c>
      <c r="K29" s="533"/>
      <c r="L29" s="355" t="s">
        <v>271</v>
      </c>
      <c r="M29" s="75" t="s">
        <v>73</v>
      </c>
      <c r="O29" s="337"/>
      <c r="P29" s="337"/>
      <c r="Q29" s="337"/>
    </row>
    <row r="30" spans="1:21" s="75" customFormat="1" ht="12.75">
      <c r="A30" s="365" t="s">
        <v>310</v>
      </c>
      <c r="C30" s="734">
        <v>25.38</v>
      </c>
      <c r="D30" s="454">
        <v>8760</v>
      </c>
      <c r="F30" s="735">
        <v>38171</v>
      </c>
      <c r="G30" s="736">
        <f>F30/1000000</f>
        <v>3.8170999999999997E-2</v>
      </c>
      <c r="H30" s="737">
        <f>G30*$U$8</f>
        <v>3.2827059999999997</v>
      </c>
      <c r="I30" s="529">
        <f>F30/(C30*D30)</f>
        <v>0.17168715883862101</v>
      </c>
      <c r="J30" s="534">
        <f>F30/C30</f>
        <v>1503.97951142632</v>
      </c>
      <c r="K30" s="291"/>
      <c r="L30" s="355" t="s">
        <v>270</v>
      </c>
      <c r="M30" s="75" t="s">
        <v>269</v>
      </c>
      <c r="N30" s="335"/>
      <c r="O30" s="337"/>
      <c r="P30" s="337"/>
      <c r="Q30" s="337"/>
    </row>
    <row r="31" spans="1:21" s="75" customFormat="1">
      <c r="A31" s="365" t="s">
        <v>312</v>
      </c>
      <c r="C31" s="476"/>
      <c r="D31" s="477"/>
      <c r="F31" s="506"/>
      <c r="G31" s="507"/>
      <c r="H31" s="491"/>
      <c r="I31" s="290"/>
      <c r="J31" s="290"/>
      <c r="K31" s="291"/>
      <c r="L31" s="445"/>
      <c r="N31" s="444"/>
      <c r="O31" s="444"/>
    </row>
    <row r="32" spans="1:21" s="75" customFormat="1">
      <c r="A32" s="365" t="s">
        <v>311</v>
      </c>
      <c r="C32" s="478">
        <v>752</v>
      </c>
      <c r="D32" s="474">
        <v>8760</v>
      </c>
      <c r="F32" s="505">
        <f>C32*J32</f>
        <v>1052800</v>
      </c>
      <c r="G32" s="508">
        <f>F32/1000000</f>
        <v>1.0528</v>
      </c>
      <c r="H32" s="493">
        <f>G32*$U$8</f>
        <v>90.54079999999999</v>
      </c>
      <c r="I32" s="290"/>
      <c r="J32" s="534">
        <v>1400</v>
      </c>
      <c r="K32" s="291"/>
      <c r="L32" s="445"/>
      <c r="N32" s="444"/>
      <c r="O32" s="444"/>
      <c r="Q32" s="336"/>
    </row>
    <row r="33" spans="1:18" s="75" customFormat="1">
      <c r="A33" s="355" t="s">
        <v>56</v>
      </c>
      <c r="C33" s="479">
        <f>SUM(C30:C32)</f>
        <v>777.38</v>
      </c>
      <c r="D33" s="480">
        <v>8760</v>
      </c>
      <c r="F33" s="509">
        <f>SUM(F30:F32)</f>
        <v>1090971</v>
      </c>
      <c r="G33" s="510">
        <f t="shared" ref="G33:H33" si="20">SUM(G30:G32)</f>
        <v>1.0909709999999999</v>
      </c>
      <c r="H33" s="511">
        <f t="shared" si="20"/>
        <v>93.823505999999995</v>
      </c>
      <c r="I33" s="292"/>
      <c r="J33" s="292"/>
      <c r="K33" s="293"/>
      <c r="L33" s="445"/>
      <c r="N33" s="444"/>
      <c r="O33" s="444"/>
      <c r="Q33" s="336"/>
    </row>
    <row r="34" spans="1:18">
      <c r="L34" s="445"/>
      <c r="N34" s="444"/>
      <c r="O34" s="444"/>
    </row>
    <row r="35" spans="1:18" ht="15.75">
      <c r="A35" s="326" t="s">
        <v>275</v>
      </c>
      <c r="F35" s="864"/>
      <c r="N35" s="444"/>
      <c r="O35" s="444"/>
      <c r="R35" s="445"/>
    </row>
    <row r="36" spans="1:18">
      <c r="F36" s="444"/>
    </row>
    <row r="37" spans="1:18" s="75" customFormat="1" ht="12.75">
      <c r="A37" s="338" t="s">
        <v>167</v>
      </c>
      <c r="B37" s="85" t="s">
        <v>64</v>
      </c>
      <c r="C37" s="338" t="s">
        <v>158</v>
      </c>
    </row>
    <row r="38" spans="1:18" s="75" customFormat="1" ht="12.75">
      <c r="A38" s="339" t="s">
        <v>276</v>
      </c>
      <c r="B38" s="356">
        <f>(F7+F11)/1000000</f>
        <v>384.03620000000001</v>
      </c>
      <c r="C38" s="340">
        <f>$B38/$B$42</f>
        <v>0.86704496656021579</v>
      </c>
    </row>
    <row r="39" spans="1:18" s="75" customFormat="1" ht="12.75">
      <c r="A39" s="339" t="s">
        <v>277</v>
      </c>
      <c r="B39" s="356">
        <f>(F6+F10+F14+F15)/1000000</f>
        <v>46.093223999999999</v>
      </c>
      <c r="C39" s="340">
        <f>$B39/$B$42</f>
        <v>0.10406544451208645</v>
      </c>
    </row>
    <row r="40" spans="1:18" s="75" customFormat="1" ht="12.75">
      <c r="A40" s="339" t="s">
        <v>278</v>
      </c>
      <c r="B40" s="356">
        <f>F21/1000000</f>
        <v>5.9857644444444444</v>
      </c>
      <c r="C40" s="340">
        <f>$B40/$B$42</f>
        <v>1.3514160729042371E-2</v>
      </c>
    </row>
    <row r="41" spans="1:18" s="75" customFormat="1" ht="12.75">
      <c r="A41" s="339" t="s">
        <v>91</v>
      </c>
      <c r="B41" s="356">
        <f>(F28+F33)/1000000</f>
        <v>6.8101669999999999</v>
      </c>
      <c r="C41" s="340">
        <f>$B41/$B$42</f>
        <v>1.5375428198655451E-2</v>
      </c>
    </row>
    <row r="42" spans="1:18" s="75" customFormat="1" ht="12.75">
      <c r="A42" s="338" t="s">
        <v>56</v>
      </c>
      <c r="B42" s="865">
        <f>SUM(B38:B41)</f>
        <v>442.92535544444445</v>
      </c>
      <c r="C42" s="341">
        <f>$B42/$B$42</f>
        <v>1</v>
      </c>
    </row>
    <row r="43" spans="1:18" s="75" customFormat="1" ht="12.75"/>
    <row r="44" spans="1:18" s="75" customFormat="1" ht="12.75">
      <c r="A44" s="75" t="s">
        <v>111</v>
      </c>
      <c r="H44" s="342"/>
    </row>
    <row r="45" spans="1:18" s="75" customFormat="1" ht="12.75">
      <c r="B45" s="343" t="s">
        <v>83</v>
      </c>
      <c r="C45" s="343" t="s">
        <v>68</v>
      </c>
      <c r="D45" s="75" t="s">
        <v>400</v>
      </c>
      <c r="E45" s="75" t="s">
        <v>427</v>
      </c>
      <c r="F45" s="343" t="s">
        <v>56</v>
      </c>
      <c r="G45" s="342"/>
    </row>
    <row r="46" spans="1:18" s="75" customFormat="1" ht="12.75">
      <c r="A46" s="351" t="s">
        <v>104</v>
      </c>
      <c r="B46" s="357">
        <f>G8+G12</f>
        <v>384.43279900000005</v>
      </c>
      <c r="C46" s="358">
        <f>G14</f>
        <v>45.586720999999997</v>
      </c>
      <c r="D46" s="859">
        <f>G15</f>
        <v>0.109904</v>
      </c>
      <c r="E46" s="868"/>
      <c r="F46" s="358">
        <f>SUM(B46:D46)</f>
        <v>430.12942400000003</v>
      </c>
      <c r="G46" s="342"/>
    </row>
    <row r="47" spans="1:18" s="75" customFormat="1" ht="12.75">
      <c r="A47" s="351" t="s">
        <v>105</v>
      </c>
      <c r="B47" s="570">
        <f>G21+G25</f>
        <v>10.978622444444444</v>
      </c>
      <c r="C47" s="358">
        <f>G26</f>
        <v>0.60280299999999998</v>
      </c>
      <c r="D47" s="346">
        <f>G27</f>
        <v>0.12353500000000001</v>
      </c>
      <c r="E47" s="867">
        <f>G33</f>
        <v>1.0909709999999999</v>
      </c>
      <c r="F47" s="358">
        <f>SUM(B47:E47)</f>
        <v>12.795931444444443</v>
      </c>
      <c r="G47" s="342"/>
    </row>
    <row r="48" spans="1:18" s="75" customFormat="1" ht="12.75">
      <c r="A48" s="351" t="s">
        <v>109</v>
      </c>
      <c r="B48" s="357">
        <f>B46+B47</f>
        <v>395.4114214444445</v>
      </c>
      <c r="C48" s="357">
        <f t="shared" ref="C48:E48" si="21">C46+C47</f>
        <v>46.189523999999999</v>
      </c>
      <c r="D48" s="357">
        <f t="shared" si="21"/>
        <v>0.23343900000000001</v>
      </c>
      <c r="E48" s="357">
        <f t="shared" si="21"/>
        <v>1.0909709999999999</v>
      </c>
      <c r="F48" s="866">
        <f>F46+F47</f>
        <v>442.92535544444445</v>
      </c>
    </row>
    <row r="49" spans="1:16" s="75" customFormat="1" ht="12.75">
      <c r="A49" s="449" t="s">
        <v>320</v>
      </c>
      <c r="B49" s="570">
        <f>B47*0.2248</f>
        <v>2.467994325511111</v>
      </c>
      <c r="C49" s="570">
        <f>C47*0.2248</f>
        <v>0.13551011439999999</v>
      </c>
      <c r="D49" s="570">
        <f>D47*0.2248</f>
        <v>2.7770668000000002E-2</v>
      </c>
      <c r="E49" s="570">
        <f>E47*0.2248</f>
        <v>0.24525028079999997</v>
      </c>
      <c r="F49" s="358">
        <f>SUM(B49:E49)</f>
        <v>2.8765253887111113</v>
      </c>
    </row>
    <row r="50" spans="1:16" s="75" customFormat="1" ht="12.75">
      <c r="A50" s="90" t="s">
        <v>321</v>
      </c>
      <c r="L50" s="189"/>
    </row>
    <row r="51" spans="1:16" s="75" customFormat="1" ht="12.75">
      <c r="L51" s="189"/>
    </row>
    <row r="52" spans="1:16" s="75" customFormat="1" ht="12.75">
      <c r="A52" s="75" t="s">
        <v>318</v>
      </c>
      <c r="B52" s="347"/>
      <c r="C52" s="348"/>
      <c r="D52" s="348"/>
      <c r="E52" s="348"/>
    </row>
    <row r="53" spans="1:16" s="75" customFormat="1" ht="12.75">
      <c r="B53" s="343" t="s">
        <v>83</v>
      </c>
      <c r="C53" s="343" t="s">
        <v>68</v>
      </c>
      <c r="D53" s="343" t="s">
        <v>56</v>
      </c>
      <c r="E53" s="335" t="s">
        <v>319</v>
      </c>
    </row>
    <row r="54" spans="1:16" s="75" customFormat="1" ht="12.75">
      <c r="A54" s="351" t="s">
        <v>108</v>
      </c>
      <c r="B54" s="344">
        <f>(M8+M12+M21+M25)</f>
        <v>12.178692999999999</v>
      </c>
      <c r="C54" s="345">
        <f>M14+M26</f>
        <v>0.95229299999999995</v>
      </c>
      <c r="D54" s="345">
        <f>B54+C54</f>
        <v>13.130985999999998</v>
      </c>
      <c r="E54" s="385">
        <f>D54*86</f>
        <v>1129.2647959999999</v>
      </c>
    </row>
    <row r="55" spans="1:16" s="75" customFormat="1" ht="12.75">
      <c r="A55" s="351" t="s">
        <v>107</v>
      </c>
      <c r="B55" s="344">
        <f>B48-B54</f>
        <v>383.23272844444449</v>
      </c>
      <c r="C55" s="345">
        <f>C48-C54</f>
        <v>45.237231000000001</v>
      </c>
      <c r="D55" s="345">
        <f>B55+C55</f>
        <v>428.4699594444445</v>
      </c>
      <c r="E55" s="385">
        <f t="shared" ref="E55:E57" si="22">D55*86</f>
        <v>36848.416512222226</v>
      </c>
    </row>
    <row r="56" spans="1:16" s="75" customFormat="1" ht="12.75">
      <c r="A56" s="352" t="s">
        <v>106</v>
      </c>
      <c r="B56" s="349">
        <v>354.28327200000001</v>
      </c>
      <c r="C56" s="349">
        <v>46.056669999999997</v>
      </c>
      <c r="D56" s="345">
        <f>B56+C56</f>
        <v>400.33994200000001</v>
      </c>
      <c r="E56" s="385">
        <f t="shared" si="22"/>
        <v>34429.235011999997</v>
      </c>
    </row>
    <row r="57" spans="1:16" s="75" customFormat="1" ht="15" customHeight="1">
      <c r="A57" s="351" t="s">
        <v>110</v>
      </c>
      <c r="B57" s="346">
        <f>B55-B56</f>
        <v>28.949456444444479</v>
      </c>
      <c r="C57" s="346">
        <f>C55-C56</f>
        <v>-0.81943899999999559</v>
      </c>
      <c r="D57" s="345">
        <f>B57+C57</f>
        <v>28.130017444444483</v>
      </c>
      <c r="E57" s="385">
        <f t="shared" si="22"/>
        <v>2419.1815002222256</v>
      </c>
      <c r="I57" s="742">
        <f>C63+C64</f>
        <v>210032153.09999999</v>
      </c>
    </row>
    <row r="58" spans="1:16" ht="15" customHeight="1">
      <c r="A58" s="351" t="s">
        <v>112</v>
      </c>
      <c r="B58" s="350">
        <f>B57/B48</f>
        <v>7.321350591920596E-2</v>
      </c>
      <c r="C58" s="350">
        <f>C57/C48</f>
        <v>-1.7740797675247652E-2</v>
      </c>
      <c r="D58" s="350">
        <f>D57/F48</f>
        <v>6.3509611944021563E-2</v>
      </c>
      <c r="E58" s="75"/>
      <c r="I58" s="742">
        <f>I57+C65</f>
        <v>210135259.09999999</v>
      </c>
    </row>
    <row r="59" spans="1:16">
      <c r="I59" s="863">
        <f>D60-I57</f>
        <v>4806.9000000059605</v>
      </c>
    </row>
    <row r="60" spans="1:16" ht="15.75">
      <c r="A60" s="354" t="s">
        <v>323</v>
      </c>
      <c r="D60" s="862">
        <v>210036960</v>
      </c>
      <c r="N60" s="605"/>
      <c r="O60" s="606" t="s">
        <v>62</v>
      </c>
      <c r="P60" s="607" t="s">
        <v>64</v>
      </c>
    </row>
    <row r="61" spans="1:16">
      <c r="F61" s="744"/>
      <c r="H61" s="911" t="s">
        <v>130</v>
      </c>
      <c r="I61" s="912"/>
      <c r="J61" s="598"/>
      <c r="K61" s="598"/>
      <c r="L61" s="616">
        <f>F62</f>
        <v>140994699.28999999</v>
      </c>
      <c r="N61" s="608" t="s">
        <v>130</v>
      </c>
      <c r="O61" s="778">
        <f>L61</f>
        <v>140994699.28999999</v>
      </c>
      <c r="P61" s="610">
        <f>O61/1000000</f>
        <v>140.99469929</v>
      </c>
    </row>
    <row r="62" spans="1:16">
      <c r="A62" s="597" t="s">
        <v>130</v>
      </c>
      <c r="B62" s="598"/>
      <c r="C62" s="782">
        <v>140994699.28999999</v>
      </c>
      <c r="E62" s="605" t="s">
        <v>130</v>
      </c>
      <c r="F62" s="783">
        <f>C62</f>
        <v>140994699.28999999</v>
      </c>
      <c r="H62" s="611"/>
      <c r="I62" s="600"/>
      <c r="J62" s="600"/>
      <c r="K62" s="600"/>
      <c r="L62" s="612"/>
      <c r="N62" s="611"/>
      <c r="O62" s="600"/>
      <c r="P62" s="612"/>
    </row>
    <row r="63" spans="1:16">
      <c r="A63" s="599" t="s">
        <v>290</v>
      </c>
      <c r="B63" s="600"/>
      <c r="C63" s="751">
        <v>116127303</v>
      </c>
      <c r="E63" s="611"/>
      <c r="F63" s="744"/>
      <c r="H63" s="906" t="s">
        <v>291</v>
      </c>
      <c r="I63" s="907"/>
      <c r="J63" s="907"/>
      <c r="K63" s="908"/>
      <c r="L63" s="604">
        <f>0.27*F64</f>
        <v>56737817.82</v>
      </c>
      <c r="N63" s="608" t="s">
        <v>20</v>
      </c>
      <c r="O63" s="609">
        <f>L63</f>
        <v>56737817.82</v>
      </c>
      <c r="P63" s="610">
        <f>O63/1000000</f>
        <v>56.737817820000004</v>
      </c>
    </row>
    <row r="64" spans="1:16">
      <c r="A64" s="599" t="s">
        <v>407</v>
      </c>
      <c r="B64" s="600"/>
      <c r="C64" s="751">
        <v>93904850.099999994</v>
      </c>
      <c r="E64" s="608" t="s">
        <v>163</v>
      </c>
      <c r="F64" s="784">
        <v>210140066</v>
      </c>
      <c r="H64" s="611"/>
      <c r="I64" s="600"/>
      <c r="J64" s="600"/>
      <c r="K64" s="600"/>
      <c r="L64" s="612"/>
      <c r="N64" s="611"/>
      <c r="O64" s="600"/>
      <c r="P64" s="612"/>
    </row>
    <row r="65" spans="1:19">
      <c r="A65" s="601" t="s">
        <v>289</v>
      </c>
      <c r="B65" s="602"/>
      <c r="C65" s="861">
        <v>103106</v>
      </c>
      <c r="E65" s="611"/>
      <c r="F65" s="612"/>
      <c r="H65" s="906" t="s">
        <v>292</v>
      </c>
      <c r="I65" s="907"/>
      <c r="J65" s="907"/>
      <c r="K65" s="908"/>
      <c r="L65" s="604">
        <f>F64-L63</f>
        <v>153402248.18000001</v>
      </c>
      <c r="N65" s="611"/>
      <c r="O65" s="600"/>
      <c r="P65" s="612"/>
    </row>
    <row r="66" spans="1:19">
      <c r="A66" s="599" t="s">
        <v>131</v>
      </c>
      <c r="B66" s="600"/>
      <c r="C66" s="751">
        <v>26714345.82</v>
      </c>
      <c r="E66" s="608" t="s">
        <v>189</v>
      </c>
      <c r="F66" s="612"/>
      <c r="H66" s="611"/>
      <c r="I66" s="600"/>
      <c r="J66" s="600"/>
      <c r="K66" s="600"/>
      <c r="L66" s="612"/>
      <c r="N66" s="608" t="s">
        <v>97</v>
      </c>
      <c r="O66" s="779">
        <f>L65+L67</f>
        <v>204288674.18000001</v>
      </c>
      <c r="P66" s="610">
        <f>O66/1000000</f>
        <v>204.28867418000002</v>
      </c>
    </row>
    <row r="67" spans="1:19">
      <c r="A67" s="599" t="s">
        <v>77</v>
      </c>
      <c r="B67" s="600"/>
      <c r="C67" s="751">
        <v>23053140</v>
      </c>
      <c r="E67" s="611"/>
      <c r="F67" s="785">
        <v>50886426</v>
      </c>
      <c r="H67" s="909" t="s">
        <v>189</v>
      </c>
      <c r="I67" s="910"/>
      <c r="J67" s="600"/>
      <c r="K67" s="600"/>
      <c r="L67" s="604">
        <f>F67</f>
        <v>50886426</v>
      </c>
      <c r="N67" s="611"/>
      <c r="O67" s="600"/>
      <c r="P67" s="612"/>
    </row>
    <row r="68" spans="1:19">
      <c r="A68" s="599" t="s">
        <v>99</v>
      </c>
      <c r="B68" s="600"/>
      <c r="C68" s="751">
        <v>1081675</v>
      </c>
      <c r="E68" s="611"/>
      <c r="F68" s="613"/>
      <c r="H68" s="611"/>
      <c r="I68" s="600"/>
      <c r="J68" s="600"/>
      <c r="K68" s="600"/>
      <c r="L68" s="617"/>
      <c r="N68" s="611"/>
      <c r="O68" s="602"/>
      <c r="P68" s="613"/>
      <c r="S68" s="9"/>
    </row>
    <row r="69" spans="1:19">
      <c r="A69" s="603" t="s">
        <v>56</v>
      </c>
      <c r="B69" s="602"/>
      <c r="C69" s="777"/>
      <c r="E69" s="614"/>
      <c r="F69" s="618">
        <f>F62+F64+F67</f>
        <v>402021191.28999996</v>
      </c>
      <c r="H69" s="614"/>
      <c r="I69" s="602"/>
      <c r="J69" s="602"/>
      <c r="K69" s="602"/>
      <c r="L69" s="618">
        <f>L61+L63+L65+L67</f>
        <v>402021191.28999996</v>
      </c>
      <c r="N69" s="614"/>
      <c r="O69" s="780">
        <f>O61+O63+O66</f>
        <v>402021191.28999996</v>
      </c>
      <c r="P69" s="615">
        <f>O69/1000000</f>
        <v>402.02119128999999</v>
      </c>
      <c r="S69" s="9"/>
    </row>
    <row r="70" spans="1:19">
      <c r="C70" s="781">
        <v>402021190</v>
      </c>
    </row>
    <row r="71" spans="1:19">
      <c r="C71" s="863"/>
      <c r="L71" s="18"/>
      <c r="M71" s="18"/>
    </row>
    <row r="72" spans="1:19" ht="18.75">
      <c r="A72" s="65" t="s">
        <v>324</v>
      </c>
      <c r="C72" s="72"/>
    </row>
    <row r="73" spans="1:19">
      <c r="F73" s="903" t="s">
        <v>70</v>
      </c>
      <c r="G73" s="904"/>
      <c r="H73" s="904"/>
      <c r="I73" s="905"/>
    </row>
    <row r="74" spans="1:19">
      <c r="A74" s="85" t="s">
        <v>281</v>
      </c>
      <c r="B74" s="369" t="s">
        <v>69</v>
      </c>
      <c r="C74" s="896" t="s">
        <v>55</v>
      </c>
      <c r="D74" s="897"/>
      <c r="E74" s="898"/>
      <c r="F74" s="899" t="s">
        <v>424</v>
      </c>
      <c r="G74" s="900"/>
      <c r="H74" s="901"/>
      <c r="I74" s="535" t="s">
        <v>425</v>
      </c>
      <c r="J74" s="893" t="s">
        <v>272</v>
      </c>
      <c r="K74" s="894"/>
      <c r="L74" s="843" t="s">
        <v>282</v>
      </c>
      <c r="M74" s="844"/>
      <c r="N74" s="845" t="s">
        <v>283</v>
      </c>
      <c r="O74" s="846"/>
    </row>
    <row r="75" spans="1:19" ht="15.75">
      <c r="A75" s="368"/>
      <c r="B75" s="363"/>
      <c r="C75" s="453" t="s">
        <v>267</v>
      </c>
      <c r="D75" s="453" t="s">
        <v>52</v>
      </c>
      <c r="E75" s="454" t="s">
        <v>53</v>
      </c>
      <c r="F75" s="525" t="s">
        <v>287</v>
      </c>
      <c r="G75" s="525" t="s">
        <v>422</v>
      </c>
      <c r="H75" s="855" t="s">
        <v>423</v>
      </c>
      <c r="I75" s="535" t="s">
        <v>426</v>
      </c>
      <c r="J75" s="488" t="s">
        <v>64</v>
      </c>
      <c r="K75" s="488" t="s">
        <v>53</v>
      </c>
      <c r="L75" s="540" t="s">
        <v>64</v>
      </c>
      <c r="M75" s="542" t="s">
        <v>53</v>
      </c>
      <c r="N75" s="572" t="s">
        <v>64</v>
      </c>
      <c r="O75" s="573" t="s">
        <v>53</v>
      </c>
    </row>
    <row r="76" spans="1:19">
      <c r="A76" s="327" t="s">
        <v>79</v>
      </c>
      <c r="B76" s="328" t="s">
        <v>57</v>
      </c>
      <c r="C76" s="560"/>
      <c r="D76" s="561">
        <v>9744.5750430000007</v>
      </c>
      <c r="E76" s="562">
        <f>D76*$U$6</f>
        <v>10085.635169505</v>
      </c>
      <c r="F76" s="847">
        <v>3.5</v>
      </c>
      <c r="G76" s="850">
        <f>1/F76</f>
        <v>0.2857142857142857</v>
      </c>
      <c r="H76" s="852">
        <f>G76*0.8381*1000</f>
        <v>239.45714285714283</v>
      </c>
      <c r="I76" s="536">
        <f>K76/E76</f>
        <v>0.34700066345143465</v>
      </c>
      <c r="J76" s="512">
        <f>D76/H76</f>
        <v>40.69444296682974</v>
      </c>
      <c r="K76" s="513">
        <f>J76*86</f>
        <v>3499.7220951473578</v>
      </c>
      <c r="L76" s="540"/>
      <c r="M76" s="542"/>
      <c r="N76" s="589">
        <f>J76</f>
        <v>40.69444296682974</v>
      </c>
      <c r="O76" s="590">
        <f>N76*86</f>
        <v>3499.7220951473578</v>
      </c>
    </row>
    <row r="77" spans="1:19">
      <c r="A77" s="327" t="s">
        <v>284</v>
      </c>
      <c r="B77" s="328" t="s">
        <v>57</v>
      </c>
      <c r="C77" s="560"/>
      <c r="D77" s="561">
        <v>1912.475322</v>
      </c>
      <c r="E77" s="562">
        <f t="shared" ref="E77:E80" si="23">D77*$U$6</f>
        <v>1979.4119582699998</v>
      </c>
      <c r="F77" s="847">
        <v>3.5</v>
      </c>
      <c r="G77" s="850">
        <f>1/F77</f>
        <v>0.2857142857142857</v>
      </c>
      <c r="H77" s="852">
        <f t="shared" ref="H77:H80" si="24">G77*0.8381*1000</f>
        <v>239.45714285714283</v>
      </c>
      <c r="I77" s="536">
        <f>K77/E77</f>
        <v>0.34700066345143465</v>
      </c>
      <c r="J77" s="512">
        <f>D77/H77</f>
        <v>7.9867123577138779</v>
      </c>
      <c r="K77" s="513">
        <f t="shared" ref="K77:K80" si="25">J77*86</f>
        <v>686.85726276339346</v>
      </c>
      <c r="L77" s="540"/>
      <c r="M77" s="542"/>
      <c r="N77" s="589">
        <f>J77</f>
        <v>7.9867123577138779</v>
      </c>
      <c r="O77" s="590">
        <f>N77*86</f>
        <v>686.85726276339346</v>
      </c>
    </row>
    <row r="78" spans="1:19">
      <c r="A78" s="327" t="s">
        <v>194</v>
      </c>
      <c r="B78" s="328" t="s">
        <v>57</v>
      </c>
      <c r="C78" s="560"/>
      <c r="D78" s="561">
        <v>205.8</v>
      </c>
      <c r="E78" s="562">
        <f t="shared" si="23"/>
        <v>213.00299999999999</v>
      </c>
      <c r="F78" s="847">
        <v>3.5</v>
      </c>
      <c r="G78" s="850">
        <f>1/F78</f>
        <v>0.2857142857142857</v>
      </c>
      <c r="H78" s="852">
        <f t="shared" si="24"/>
        <v>239.45714285714283</v>
      </c>
      <c r="I78" s="536">
        <f>K78/E78</f>
        <v>0.34700066345143465</v>
      </c>
      <c r="J78" s="512">
        <f>D78/H78</f>
        <v>0.85944398043192949</v>
      </c>
      <c r="K78" s="513">
        <f t="shared" si="25"/>
        <v>73.912182317145934</v>
      </c>
      <c r="L78" s="857">
        <f>J78</f>
        <v>0.85944398043192949</v>
      </c>
      <c r="M78" s="558">
        <f>L78*86</f>
        <v>73.912182317145934</v>
      </c>
      <c r="N78" s="572"/>
      <c r="O78" s="573"/>
    </row>
    <row r="79" spans="1:19">
      <c r="A79" s="327" t="s">
        <v>285</v>
      </c>
      <c r="B79" s="328" t="s">
        <v>57</v>
      </c>
      <c r="C79" s="560"/>
      <c r="D79" s="561">
        <v>1298.22</v>
      </c>
      <c r="E79" s="562">
        <f t="shared" si="23"/>
        <v>1343.6577</v>
      </c>
      <c r="F79" s="847">
        <v>3.5</v>
      </c>
      <c r="G79" s="850">
        <f>1/F79</f>
        <v>0.2857142857142857</v>
      </c>
      <c r="H79" s="852">
        <f t="shared" si="24"/>
        <v>239.45714285714283</v>
      </c>
      <c r="I79" s="536">
        <f>K79/E79</f>
        <v>0.34700066345143465</v>
      </c>
      <c r="J79" s="512">
        <f>D79/H79</f>
        <v>5.4215129459491713</v>
      </c>
      <c r="K79" s="513">
        <f t="shared" si="25"/>
        <v>466.25011335162873</v>
      </c>
      <c r="L79" s="857">
        <f>J79</f>
        <v>5.4215129459491713</v>
      </c>
      <c r="M79" s="558">
        <f>L79*86</f>
        <v>466.25011335162873</v>
      </c>
      <c r="N79" s="589">
        <f>Q79/1000000</f>
        <v>0</v>
      </c>
      <c r="O79" s="590">
        <f>N79*86</f>
        <v>0</v>
      </c>
    </row>
    <row r="80" spans="1:19">
      <c r="A80" s="367" t="s">
        <v>399</v>
      </c>
      <c r="B80" s="330" t="s">
        <v>57</v>
      </c>
      <c r="C80" s="563"/>
      <c r="D80" s="564">
        <v>8.43</v>
      </c>
      <c r="E80" s="565">
        <f t="shared" si="23"/>
        <v>8.7250499999999995</v>
      </c>
      <c r="F80" s="848">
        <v>3.5</v>
      </c>
      <c r="G80" s="851">
        <f>1/F80</f>
        <v>0.2857142857142857</v>
      </c>
      <c r="H80" s="853">
        <f t="shared" si="24"/>
        <v>239.45714285714283</v>
      </c>
      <c r="I80" s="537">
        <f>K80/E80</f>
        <v>0.3470006634514346</v>
      </c>
      <c r="J80" s="512">
        <f>D80/H80</f>
        <v>3.520462951915046E-2</v>
      </c>
      <c r="K80" s="514">
        <f t="shared" si="25"/>
        <v>3.0275981386469395</v>
      </c>
      <c r="L80" s="540"/>
      <c r="M80" s="542"/>
      <c r="N80" s="589">
        <f>J80</f>
        <v>3.520462951915046E-2</v>
      </c>
      <c r="O80" s="590">
        <f>N80*86</f>
        <v>3.0275981386469395</v>
      </c>
    </row>
    <row r="81" spans="1:15">
      <c r="A81" s="370" t="s">
        <v>56</v>
      </c>
      <c r="B81" s="371"/>
      <c r="C81" s="566">
        <f t="shared" ref="C81:E81" si="26">SUM(C76:C80)</f>
        <v>0</v>
      </c>
      <c r="D81" s="566">
        <f t="shared" si="26"/>
        <v>13169.500365</v>
      </c>
      <c r="E81" s="566">
        <f t="shared" si="26"/>
        <v>13630.432877775</v>
      </c>
      <c r="F81" s="849"/>
      <c r="G81" s="538"/>
      <c r="H81" s="854"/>
      <c r="I81" s="539"/>
      <c r="J81" s="856">
        <f t="shared" ref="J81:O81" si="27">SUM(J76:J80)</f>
        <v>54.997316880443869</v>
      </c>
      <c r="K81" s="515">
        <f t="shared" si="27"/>
        <v>4729.7692517181731</v>
      </c>
      <c r="L81" s="559">
        <f t="shared" si="27"/>
        <v>6.2809569263811005</v>
      </c>
      <c r="M81" s="559">
        <f t="shared" si="27"/>
        <v>540.16229566877462</v>
      </c>
      <c r="N81" s="858">
        <f t="shared" si="27"/>
        <v>48.716359954062767</v>
      </c>
      <c r="O81" s="591">
        <f t="shared" si="27"/>
        <v>4189.6069560493979</v>
      </c>
    </row>
    <row r="82" spans="1:15">
      <c r="A82" s="90" t="s">
        <v>286</v>
      </c>
    </row>
    <row r="83" spans="1:15">
      <c r="A83" s="372" t="s">
        <v>288</v>
      </c>
      <c r="I83" s="11"/>
      <c r="N83" s="5"/>
    </row>
    <row r="84" spans="1:15">
      <c r="I84" s="11"/>
    </row>
    <row r="85" spans="1:15" ht="15.75">
      <c r="A85" s="65" t="s">
        <v>294</v>
      </c>
      <c r="I85" s="11"/>
    </row>
    <row r="86" spans="1:15">
      <c r="I86" s="11"/>
    </row>
    <row r="87" spans="1:15">
      <c r="A87" t="s">
        <v>322</v>
      </c>
      <c r="B87" s="373" t="s">
        <v>77</v>
      </c>
      <c r="C87" s="373" t="s">
        <v>293</v>
      </c>
      <c r="D87" s="366" t="s">
        <v>56</v>
      </c>
      <c r="E87" s="81" t="s">
        <v>325</v>
      </c>
      <c r="I87" s="11"/>
    </row>
    <row r="88" spans="1:15">
      <c r="B88" s="374" t="s">
        <v>64</v>
      </c>
      <c r="C88" s="374" t="s">
        <v>64</v>
      </c>
      <c r="D88" s="374" t="s">
        <v>64</v>
      </c>
      <c r="E88" s="374" t="s">
        <v>53</v>
      </c>
    </row>
    <row r="89" spans="1:15">
      <c r="A89" s="375" t="s">
        <v>130</v>
      </c>
      <c r="B89" s="376">
        <f>O61/1000000</f>
        <v>140.99469929</v>
      </c>
      <c r="C89" s="376"/>
      <c r="D89" s="377">
        <f>B89+C89</f>
        <v>140.99469929</v>
      </c>
      <c r="E89" s="378">
        <f>D89*86</f>
        <v>12125.54413894</v>
      </c>
      <c r="F89" s="53"/>
    </row>
    <row r="90" spans="1:15">
      <c r="A90" s="379" t="s">
        <v>20</v>
      </c>
      <c r="B90" s="30">
        <f>O63/1000000</f>
        <v>56.737817820000004</v>
      </c>
      <c r="C90" s="30">
        <f>L81</f>
        <v>6.2809569263811005</v>
      </c>
      <c r="D90" s="36">
        <f t="shared" ref="D90:D91" si="28">B90+C90</f>
        <v>63.018774746381105</v>
      </c>
      <c r="E90" s="380">
        <f t="shared" ref="E90:E91" si="29">D90*86</f>
        <v>5419.614628188775</v>
      </c>
      <c r="F90" s="53"/>
    </row>
    <row r="91" spans="1:15">
      <c r="A91" s="381" t="s">
        <v>97</v>
      </c>
      <c r="B91" s="382">
        <f>O66/1000000</f>
        <v>204.28867418000002</v>
      </c>
      <c r="C91" s="382">
        <f>N81</f>
        <v>48.716359954062767</v>
      </c>
      <c r="D91" s="383">
        <f t="shared" si="28"/>
        <v>253.00503413406278</v>
      </c>
      <c r="E91" s="384">
        <f t="shared" si="29"/>
        <v>21758.432935529399</v>
      </c>
      <c r="F91" s="53"/>
    </row>
    <row r="92" spans="1:15">
      <c r="A92" s="96" t="s">
        <v>56</v>
      </c>
      <c r="B92" s="450">
        <f>SUM(B89:B91)</f>
        <v>402.02119129000005</v>
      </c>
      <c r="C92" s="450">
        <f>SUM(C89:C91)</f>
        <v>54.997316880443869</v>
      </c>
      <c r="D92" s="450">
        <f>SUM(D89:D91)</f>
        <v>457.01850817044385</v>
      </c>
      <c r="E92" s="451">
        <f>SUM(E89:E91)</f>
        <v>39303.591702658174</v>
      </c>
      <c r="F92" s="53"/>
      <c r="G92" s="2"/>
      <c r="H92" s="2"/>
      <c r="I92" s="2"/>
      <c r="J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</row>
    <row r="95" spans="1:15">
      <c r="A95" s="17"/>
      <c r="B95" s="17"/>
      <c r="D95" s="11"/>
      <c r="E95" s="11"/>
      <c r="F95" s="11"/>
      <c r="G95" s="11"/>
      <c r="H95" s="11"/>
      <c r="I95" s="11"/>
      <c r="J95" s="11"/>
    </row>
    <row r="96" spans="1:15">
      <c r="A96" s="17"/>
      <c r="B96" s="17"/>
      <c r="D96" s="11"/>
      <c r="E96" s="11"/>
      <c r="F96" s="11"/>
      <c r="G96" s="11"/>
      <c r="H96" s="11"/>
      <c r="I96" s="11"/>
      <c r="J96" s="11"/>
    </row>
    <row r="97" spans="1:10">
      <c r="A97" s="17"/>
      <c r="B97" s="17"/>
      <c r="D97" s="11"/>
      <c r="E97" s="11"/>
      <c r="F97" s="11"/>
      <c r="G97" s="11"/>
      <c r="H97" s="11"/>
      <c r="I97" s="11"/>
      <c r="J97" s="11"/>
    </row>
    <row r="98" spans="1:10">
      <c r="A98" s="17"/>
      <c r="B98" s="17"/>
      <c r="D98" s="11"/>
      <c r="E98" s="11"/>
      <c r="F98" s="11"/>
      <c r="G98" s="11"/>
      <c r="H98" s="11"/>
      <c r="I98" s="11"/>
      <c r="J98" s="11"/>
    </row>
    <row r="99" spans="1:10">
      <c r="A99" s="17"/>
      <c r="B99" s="17"/>
      <c r="D99" s="11"/>
      <c r="E99" s="11"/>
      <c r="F99" s="11"/>
      <c r="G99" s="11"/>
      <c r="H99" s="11"/>
      <c r="I99" s="11"/>
      <c r="J99" s="11"/>
    </row>
    <row r="100" spans="1:10">
      <c r="D100" s="11"/>
      <c r="E100" s="11"/>
      <c r="F100" s="11"/>
      <c r="G100" s="11"/>
      <c r="H100" s="11"/>
      <c r="I100" s="11"/>
      <c r="J100" s="11"/>
    </row>
    <row r="101" spans="1:10">
      <c r="A101" s="22"/>
      <c r="B101" s="22"/>
      <c r="C101" s="22"/>
      <c r="D101" s="66"/>
      <c r="E101" s="66"/>
      <c r="F101" s="66"/>
      <c r="G101" s="66"/>
      <c r="H101" s="66"/>
      <c r="I101" s="66"/>
      <c r="J101" s="66"/>
    </row>
    <row r="111" spans="1:10">
      <c r="C111" s="46"/>
      <c r="G111" s="11"/>
    </row>
  </sheetData>
  <mergeCells count="27">
    <mergeCell ref="I23:K23"/>
    <mergeCell ref="L23:N23"/>
    <mergeCell ref="O19:Q19"/>
    <mergeCell ref="L4:N4"/>
    <mergeCell ref="O23:Q23"/>
    <mergeCell ref="O4:Q4"/>
    <mergeCell ref="L6:L7"/>
    <mergeCell ref="L10:L11"/>
    <mergeCell ref="I4:K4"/>
    <mergeCell ref="M6:M7"/>
    <mergeCell ref="M10:M11"/>
    <mergeCell ref="J74:K74"/>
    <mergeCell ref="F1:G1"/>
    <mergeCell ref="C74:E74"/>
    <mergeCell ref="F74:H74"/>
    <mergeCell ref="C4:E4"/>
    <mergeCell ref="F4:H4"/>
    <mergeCell ref="F23:H23"/>
    <mergeCell ref="F19:H19"/>
    <mergeCell ref="F73:I73"/>
    <mergeCell ref="H65:K65"/>
    <mergeCell ref="H67:I67"/>
    <mergeCell ref="H61:I61"/>
    <mergeCell ref="I19:K19"/>
    <mergeCell ref="H63:K63"/>
    <mergeCell ref="H1:L1"/>
    <mergeCell ref="L19:N1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topLeftCell="A28" zoomScale="90" zoomScaleNormal="90" workbookViewId="0">
      <selection activeCell="L40" sqref="L40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692" t="s">
        <v>361</v>
      </c>
    </row>
    <row r="3" spans="1:18">
      <c r="A3" s="626" t="s">
        <v>172</v>
      </c>
    </row>
    <row r="4" spans="1:18">
      <c r="A4" s="75" t="s">
        <v>333</v>
      </c>
    </row>
    <row r="5" spans="1:18">
      <c r="A5" s="75"/>
      <c r="Q5" s="18"/>
      <c r="R5" s="18"/>
    </row>
    <row r="6" spans="1:18">
      <c r="A6" s="76"/>
      <c r="B6" s="691" t="s">
        <v>173</v>
      </c>
      <c r="C6" s="77"/>
      <c r="D6" s="77"/>
      <c r="G6" s="620" t="s">
        <v>140</v>
      </c>
      <c r="H6" s="625" t="s">
        <v>359</v>
      </c>
      <c r="I6" s="97"/>
      <c r="J6" s="97"/>
      <c r="K6" s="97"/>
      <c r="L6" s="97"/>
      <c r="M6" s="97"/>
      <c r="N6" s="97"/>
      <c r="O6" s="97"/>
      <c r="P6" s="621"/>
      <c r="Q6" s="18"/>
      <c r="R6" s="18"/>
    </row>
    <row r="7" spans="1:18">
      <c r="B7" s="691" t="s">
        <v>174</v>
      </c>
      <c r="G7" s="628" t="s">
        <v>334</v>
      </c>
      <c r="H7" s="629"/>
      <c r="I7" s="629"/>
      <c r="J7" s="629"/>
      <c r="K7" s="629"/>
      <c r="L7" s="629"/>
      <c r="M7" s="629"/>
      <c r="N7" s="629"/>
      <c r="O7" s="629"/>
      <c r="P7" s="636"/>
      <c r="Q7" s="365"/>
      <c r="R7" s="18"/>
    </row>
    <row r="8" spans="1:18">
      <c r="G8" s="628" t="s">
        <v>141</v>
      </c>
      <c r="H8" s="629"/>
      <c r="I8" s="629"/>
      <c r="J8" s="629"/>
      <c r="K8" s="629"/>
      <c r="L8" s="629"/>
      <c r="M8" s="629"/>
      <c r="N8" s="629"/>
      <c r="O8" s="629"/>
      <c r="P8" s="636"/>
      <c r="Q8" s="629"/>
      <c r="R8" s="18"/>
    </row>
    <row r="9" spans="1:18">
      <c r="A9" s="690" t="s">
        <v>362</v>
      </c>
      <c r="B9" s="925">
        <v>2002</v>
      </c>
      <c r="C9" s="926"/>
      <c r="D9" s="927">
        <v>2010</v>
      </c>
      <c r="E9" s="928"/>
      <c r="G9" s="628" t="s">
        <v>137</v>
      </c>
      <c r="H9" s="645">
        <v>1</v>
      </c>
      <c r="I9" s="629" t="s">
        <v>133</v>
      </c>
      <c r="J9" s="650" t="s">
        <v>142</v>
      </c>
      <c r="K9" s="365"/>
      <c r="L9" s="18"/>
      <c r="M9" s="630" t="s">
        <v>143</v>
      </c>
      <c r="N9" s="365"/>
      <c r="O9" s="629">
        <f>2.5*365</f>
        <v>912.5</v>
      </c>
      <c r="P9" s="636" t="s">
        <v>133</v>
      </c>
      <c r="Q9" s="629"/>
      <c r="R9" s="649"/>
    </row>
    <row r="10" spans="1:18">
      <c r="A10" s="368" t="s">
        <v>146</v>
      </c>
      <c r="B10" s="671">
        <v>18211</v>
      </c>
      <c r="C10" s="672">
        <f>B10/$B$18</f>
        <v>0.86996608226245642</v>
      </c>
      <c r="D10" s="679">
        <v>22650</v>
      </c>
      <c r="E10" s="680">
        <f t="shared" ref="E10:E18" si="0">D10/$D$18</f>
        <v>0.91441259588211543</v>
      </c>
      <c r="G10" s="628" t="s">
        <v>138</v>
      </c>
      <c r="H10" s="645">
        <v>1</v>
      </c>
      <c r="I10" s="629" t="s">
        <v>133</v>
      </c>
      <c r="J10" s="365" t="s">
        <v>342</v>
      </c>
      <c r="K10" s="365"/>
      <c r="L10" s="365" t="s">
        <v>343</v>
      </c>
      <c r="M10" s="629"/>
      <c r="N10" s="631"/>
      <c r="O10" s="629">
        <f>O9/1000</f>
        <v>0.91249999999999998</v>
      </c>
      <c r="P10" s="636" t="s">
        <v>341</v>
      </c>
      <c r="Q10" s="629"/>
      <c r="R10" s="18"/>
    </row>
    <row r="11" spans="1:18">
      <c r="A11" s="327" t="s">
        <v>93</v>
      </c>
      <c r="B11" s="671">
        <v>1556</v>
      </c>
      <c r="C11" s="672">
        <f>B11/$B$18</f>
        <v>7.4332393827927196E-2</v>
      </c>
      <c r="D11" s="679">
        <v>1052</v>
      </c>
      <c r="E11" s="680">
        <f t="shared" si="0"/>
        <v>4.2470730722648363E-2</v>
      </c>
      <c r="G11" s="628" t="s">
        <v>139</v>
      </c>
      <c r="H11" s="646">
        <v>0.5</v>
      </c>
      <c r="I11" s="629" t="s">
        <v>133</v>
      </c>
      <c r="J11" s="18"/>
      <c r="K11" s="629"/>
      <c r="L11" s="634"/>
      <c r="M11" s="629"/>
      <c r="N11" s="629"/>
      <c r="O11" s="629">
        <f>O10/0.5</f>
        <v>1.825</v>
      </c>
      <c r="P11" s="636" t="s">
        <v>135</v>
      </c>
      <c r="Q11" s="629"/>
      <c r="R11" s="649"/>
    </row>
    <row r="12" spans="1:18">
      <c r="A12" s="327" t="s">
        <v>147</v>
      </c>
      <c r="B12" s="671"/>
      <c r="C12" s="672"/>
      <c r="D12" s="679">
        <v>215</v>
      </c>
      <c r="E12" s="680">
        <f t="shared" si="0"/>
        <v>8.6798546628986673E-3</v>
      </c>
      <c r="G12" s="647"/>
      <c r="H12" s="646">
        <f>SUM(H9:H11)</f>
        <v>2.5</v>
      </c>
      <c r="I12" s="627" t="s">
        <v>133</v>
      </c>
      <c r="J12" s="633" t="s">
        <v>344</v>
      </c>
      <c r="K12" s="648"/>
      <c r="L12" s="627"/>
      <c r="M12" s="633"/>
      <c r="N12" s="627"/>
      <c r="O12" s="669">
        <f>O11*0.233</f>
        <v>0.42522500000000002</v>
      </c>
      <c r="P12" s="651" t="s">
        <v>347</v>
      </c>
      <c r="Q12" s="629"/>
      <c r="R12" s="649"/>
    </row>
    <row r="13" spans="1:18">
      <c r="A13" s="327" t="s">
        <v>54</v>
      </c>
      <c r="B13" s="671">
        <v>432</v>
      </c>
      <c r="C13" s="672">
        <f t="shared" ref="C13:C18" si="1">B13/$B$18</f>
        <v>2.0637271294128887E-2</v>
      </c>
      <c r="D13" s="679">
        <v>19</v>
      </c>
      <c r="E13" s="680">
        <f t="shared" si="0"/>
        <v>7.6705692369802183E-4</v>
      </c>
      <c r="Q13" s="629"/>
      <c r="R13" s="18"/>
    </row>
    <row r="14" spans="1:18">
      <c r="A14" s="687" t="s">
        <v>134</v>
      </c>
      <c r="B14" s="673">
        <v>192</v>
      </c>
      <c r="C14" s="674">
        <f t="shared" si="1"/>
        <v>9.1721205751683944E-3</v>
      </c>
      <c r="D14" s="681">
        <v>125</v>
      </c>
      <c r="E14" s="674">
        <f t="shared" si="0"/>
        <v>5.0464271295922484E-3</v>
      </c>
      <c r="G14" s="620" t="s">
        <v>144</v>
      </c>
      <c r="H14" s="625" t="s">
        <v>360</v>
      </c>
      <c r="I14" s="97"/>
      <c r="J14" s="97"/>
      <c r="K14" s="97"/>
      <c r="L14" s="97"/>
      <c r="M14" s="97"/>
      <c r="N14" s="97"/>
      <c r="O14" s="97"/>
      <c r="P14" s="621"/>
      <c r="Q14" s="365"/>
      <c r="R14" s="18"/>
    </row>
    <row r="15" spans="1:18">
      <c r="A15" s="687" t="s">
        <v>136</v>
      </c>
      <c r="B15" s="673">
        <v>22</v>
      </c>
      <c r="C15" s="674">
        <f t="shared" si="1"/>
        <v>1.0509721492380452E-3</v>
      </c>
      <c r="D15" s="681">
        <v>9</v>
      </c>
      <c r="E15" s="682">
        <f t="shared" si="0"/>
        <v>3.633427533306419E-4</v>
      </c>
      <c r="G15" s="628" t="s">
        <v>335</v>
      </c>
      <c r="H15" s="629"/>
      <c r="I15" s="365"/>
      <c r="J15" s="629"/>
      <c r="K15" s="629"/>
      <c r="L15" s="629"/>
      <c r="M15" s="629"/>
      <c r="N15" s="629"/>
      <c r="O15" s="365"/>
      <c r="P15" s="101"/>
      <c r="Q15" s="18"/>
      <c r="R15" s="18"/>
    </row>
    <row r="16" spans="1:18">
      <c r="A16" s="327" t="s">
        <v>148</v>
      </c>
      <c r="B16" s="671">
        <v>197</v>
      </c>
      <c r="C16" s="672">
        <f t="shared" si="1"/>
        <v>9.4109778818134045E-3</v>
      </c>
      <c r="D16" s="679">
        <v>257</v>
      </c>
      <c r="E16" s="680">
        <f t="shared" si="0"/>
        <v>1.0375454178441663E-2</v>
      </c>
      <c r="G16" s="628" t="s">
        <v>141</v>
      </c>
      <c r="H16" s="629"/>
      <c r="I16" s="629"/>
      <c r="J16" s="629"/>
      <c r="K16" s="365"/>
      <c r="L16" s="365"/>
      <c r="M16" s="365"/>
      <c r="N16" s="365"/>
      <c r="O16" s="365"/>
      <c r="P16" s="101"/>
      <c r="Q16" s="18"/>
    </row>
    <row r="17" spans="1:18">
      <c r="A17" s="688" t="s">
        <v>149</v>
      </c>
      <c r="B17" s="675">
        <v>323</v>
      </c>
      <c r="C17" s="676">
        <f t="shared" si="1"/>
        <v>1.5430182009267664E-2</v>
      </c>
      <c r="D17" s="683">
        <v>443</v>
      </c>
      <c r="E17" s="684">
        <f t="shared" si="0"/>
        <v>1.7884537747274928E-2</v>
      </c>
      <c r="G17" s="628" t="s">
        <v>137</v>
      </c>
      <c r="H17" s="645">
        <v>0.5</v>
      </c>
      <c r="I17" s="629" t="s">
        <v>133</v>
      </c>
      <c r="J17" s="365" t="s">
        <v>142</v>
      </c>
      <c r="K17" s="365"/>
      <c r="L17" s="18"/>
      <c r="M17" s="630" t="s">
        <v>145</v>
      </c>
      <c r="N17" s="365"/>
      <c r="O17" s="629">
        <f>1.3*365</f>
        <v>474.5</v>
      </c>
      <c r="P17" s="636" t="s">
        <v>336</v>
      </c>
      <c r="Q17" s="18"/>
    </row>
    <row r="18" spans="1:18">
      <c r="A18" s="689" t="s">
        <v>56</v>
      </c>
      <c r="B18" s="677">
        <f>SUM(B10:B17)</f>
        <v>20933</v>
      </c>
      <c r="C18" s="678">
        <f t="shared" si="1"/>
        <v>1</v>
      </c>
      <c r="D18" s="685">
        <f>SUM(D10:D17)</f>
        <v>24770</v>
      </c>
      <c r="E18" s="686">
        <f t="shared" si="0"/>
        <v>1</v>
      </c>
      <c r="G18" s="628" t="s">
        <v>138</v>
      </c>
      <c r="H18" s="645">
        <v>0.5</v>
      </c>
      <c r="I18" s="629" t="s">
        <v>133</v>
      </c>
      <c r="J18" s="629" t="s">
        <v>345</v>
      </c>
      <c r="K18" s="18"/>
      <c r="L18" s="18"/>
      <c r="M18" s="18"/>
      <c r="N18" s="18"/>
      <c r="O18" s="139">
        <f>O17/1000</f>
        <v>0.47449999999999998</v>
      </c>
      <c r="P18" s="101" t="s">
        <v>341</v>
      </c>
      <c r="Q18" s="18"/>
    </row>
    <row r="19" spans="1:18">
      <c r="A19" s="89" t="s">
        <v>169</v>
      </c>
      <c r="G19" s="628" t="s">
        <v>139</v>
      </c>
      <c r="H19" s="646">
        <v>0.3</v>
      </c>
      <c r="I19" s="629" t="s">
        <v>133</v>
      </c>
      <c r="J19" s="365" t="s">
        <v>346</v>
      </c>
      <c r="K19" s="365"/>
      <c r="L19" s="365"/>
      <c r="M19" s="365"/>
      <c r="N19" s="365"/>
      <c r="O19" s="670">
        <f>0.69*O18</f>
        <v>0.32740499999999995</v>
      </c>
      <c r="P19" s="651" t="s">
        <v>347</v>
      </c>
      <c r="Q19" s="18"/>
    </row>
    <row r="20" spans="1:18">
      <c r="A20" s="75" t="s">
        <v>170</v>
      </c>
      <c r="G20" s="647"/>
      <c r="H20" s="646">
        <f>SUM(H17:H19)</f>
        <v>1.3</v>
      </c>
      <c r="I20" s="627" t="s">
        <v>133</v>
      </c>
      <c r="J20" s="48"/>
      <c r="K20" s="633"/>
      <c r="L20" s="633"/>
      <c r="M20" s="627"/>
      <c r="N20" s="652"/>
      <c r="O20" s="627"/>
      <c r="P20" s="622"/>
      <c r="Q20" s="18"/>
    </row>
    <row r="21" spans="1:18">
      <c r="A21" s="75" t="s">
        <v>171</v>
      </c>
    </row>
    <row r="22" spans="1:18">
      <c r="A22" s="75"/>
      <c r="G22" s="620" t="s">
        <v>40</v>
      </c>
      <c r="H22" s="97"/>
      <c r="I22" s="625" t="s">
        <v>160</v>
      </c>
      <c r="J22" s="97"/>
      <c r="K22" s="97"/>
      <c r="L22" s="97"/>
      <c r="M22" s="621"/>
    </row>
    <row r="23" spans="1:18">
      <c r="A23" s="75"/>
      <c r="G23" s="623" t="s">
        <v>161</v>
      </c>
      <c r="H23" s="365"/>
      <c r="I23" s="365"/>
      <c r="J23" s="365"/>
      <c r="K23" s="365"/>
      <c r="L23" s="365"/>
      <c r="M23" s="635"/>
    </row>
    <row r="24" spans="1:18">
      <c r="C24" s="568"/>
      <c r="G24" s="624" t="s">
        <v>142</v>
      </c>
      <c r="H24" s="365"/>
      <c r="I24" s="365"/>
      <c r="J24" s="365" t="s">
        <v>162</v>
      </c>
      <c r="K24" s="365"/>
      <c r="L24" s="365">
        <f>0.5*365</f>
        <v>182.5</v>
      </c>
      <c r="M24" s="635" t="s">
        <v>352</v>
      </c>
    </row>
    <row r="25" spans="1:18">
      <c r="B25" s="567"/>
      <c r="D25" s="568"/>
      <c r="F25" s="73"/>
      <c r="G25" s="624" t="s">
        <v>350</v>
      </c>
      <c r="H25" s="365"/>
      <c r="I25" s="365" t="s">
        <v>351</v>
      </c>
      <c r="J25" s="365"/>
      <c r="K25" s="18"/>
      <c r="L25" s="139">
        <f>L24*0.784</f>
        <v>143.08000000000001</v>
      </c>
      <c r="M25" s="635" t="s">
        <v>354</v>
      </c>
      <c r="N25" s="365"/>
      <c r="O25" s="365"/>
      <c r="P25" s="18"/>
    </row>
    <row r="26" spans="1:18">
      <c r="C26" s="569"/>
      <c r="E26" s="569"/>
      <c r="F26" s="365"/>
      <c r="G26" s="632" t="s">
        <v>353</v>
      </c>
      <c r="H26" s="633"/>
      <c r="I26" s="633"/>
      <c r="J26" s="633"/>
      <c r="K26" s="48"/>
      <c r="L26" s="670">
        <f>L25/1000*1.045</f>
        <v>0.1495186</v>
      </c>
      <c r="M26" s="663" t="s">
        <v>347</v>
      </c>
      <c r="N26" s="365"/>
      <c r="O26" s="365"/>
      <c r="P26" s="365"/>
      <c r="Q26" s="365"/>
      <c r="R26" s="365"/>
    </row>
    <row r="27" spans="1:18">
      <c r="C27" s="569"/>
      <c r="E27" s="569"/>
      <c r="F27" s="365"/>
      <c r="G27" s="365"/>
      <c r="H27" s="365"/>
      <c r="I27" s="365"/>
      <c r="J27" s="365"/>
      <c r="K27" s="18"/>
      <c r="L27" s="365"/>
      <c r="M27" s="650"/>
      <c r="N27" s="365"/>
      <c r="O27" s="365"/>
      <c r="P27" s="365"/>
      <c r="Q27" s="365"/>
      <c r="R27" s="365"/>
    </row>
    <row r="28" spans="1:18">
      <c r="C28" s="569"/>
      <c r="E28" s="569"/>
      <c r="F28" s="365"/>
      <c r="G28" s="365"/>
      <c r="H28" s="365"/>
      <c r="I28" s="365"/>
      <c r="J28" s="365"/>
      <c r="K28" s="18"/>
      <c r="L28" s="365"/>
      <c r="M28" s="650"/>
      <c r="N28" s="365"/>
      <c r="O28" s="365"/>
      <c r="P28" s="365"/>
      <c r="Q28" s="365"/>
      <c r="R28" s="365"/>
    </row>
    <row r="29" spans="1:18"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</row>
    <row r="30" spans="1:18" ht="42.75" customHeight="1">
      <c r="A30" s="640" t="s">
        <v>337</v>
      </c>
      <c r="B30" s="640" t="s">
        <v>338</v>
      </c>
      <c r="C30" s="640" t="s">
        <v>340</v>
      </c>
      <c r="D30" s="640" t="s">
        <v>339</v>
      </c>
      <c r="E30" s="661" t="s">
        <v>348</v>
      </c>
      <c r="F30" s="661" t="s">
        <v>358</v>
      </c>
      <c r="G30" s="662" t="s">
        <v>349</v>
      </c>
      <c r="H30" s="662" t="s">
        <v>357</v>
      </c>
      <c r="I30" s="664" t="s">
        <v>355</v>
      </c>
      <c r="J30" s="664" t="s">
        <v>356</v>
      </c>
      <c r="K30" s="698" t="s">
        <v>372</v>
      </c>
      <c r="L30" s="698" t="s">
        <v>383</v>
      </c>
      <c r="M30" s="664" t="s">
        <v>398</v>
      </c>
      <c r="N30" s="365"/>
      <c r="O30" s="365"/>
      <c r="P30" s="365"/>
      <c r="Q30" s="365"/>
      <c r="R30" s="365"/>
    </row>
    <row r="31" spans="1:18">
      <c r="A31" s="637">
        <v>2010</v>
      </c>
      <c r="B31" s="643">
        <v>89770</v>
      </c>
      <c r="C31" s="639">
        <f>B31/D31</f>
        <v>3.6241421073879692</v>
      </c>
      <c r="D31" s="643">
        <v>24770</v>
      </c>
      <c r="E31" s="653">
        <f>0.5%*D31</f>
        <v>123.85000000000001</v>
      </c>
      <c r="F31" s="655">
        <f t="shared" ref="F31:F40" si="2">E31*$O$12</f>
        <v>52.664116250000006</v>
      </c>
      <c r="G31" s="657">
        <f>0.04%*D31</f>
        <v>9.9080000000000013</v>
      </c>
      <c r="H31" s="659">
        <f t="shared" ref="H31:H40" si="3">G31*$O$19</f>
        <v>3.2439287399999999</v>
      </c>
      <c r="I31" s="665">
        <f>0.1%*D31</f>
        <v>24.77</v>
      </c>
      <c r="J31" s="666">
        <f t="shared" ref="J31:J40" si="4">I31*$L$26</f>
        <v>3.7035757220000001</v>
      </c>
      <c r="K31" s="699">
        <f>16.7%*D31</f>
        <v>4136.5899999999992</v>
      </c>
      <c r="L31" s="699">
        <f t="shared" ref="L31:L40" si="5">K31*$G$62</f>
        <v>71.618691105378787</v>
      </c>
      <c r="M31" s="731">
        <f>F31+H31</f>
        <v>55.908044990000008</v>
      </c>
    </row>
    <row r="32" spans="1:18">
      <c r="A32" s="637">
        <v>2011</v>
      </c>
      <c r="B32" s="643">
        <v>87441</v>
      </c>
      <c r="C32" s="639">
        <v>3.7</v>
      </c>
      <c r="D32" s="643">
        <f>B32/C32</f>
        <v>23632.7027027027</v>
      </c>
      <c r="E32" s="654">
        <f t="shared" ref="E32:E40" si="6">0.5%*D32</f>
        <v>118.16351351351351</v>
      </c>
      <c r="F32" s="656">
        <f t="shared" si="2"/>
        <v>50.246080033783784</v>
      </c>
      <c r="G32" s="658">
        <f t="shared" ref="G32:G40" si="7">0.04%*D32</f>
        <v>9.4530810810810806</v>
      </c>
      <c r="H32" s="660">
        <f t="shared" si="3"/>
        <v>3.0949860113513505</v>
      </c>
      <c r="I32" s="667">
        <f t="shared" ref="I32:I40" si="8">0.1%*D32</f>
        <v>23.632702702702701</v>
      </c>
      <c r="J32" s="668">
        <f t="shared" si="4"/>
        <v>3.5335286223243241</v>
      </c>
      <c r="K32" s="700">
        <f t="shared" ref="K32:K40" si="9">16.7%*D32</f>
        <v>3946.6613513513503</v>
      </c>
      <c r="L32" s="700">
        <f t="shared" si="5"/>
        <v>68.330368786843579</v>
      </c>
      <c r="M32" s="731">
        <f t="shared" ref="M32:M40" si="10">F32+H32</f>
        <v>53.341066045135136</v>
      </c>
    </row>
    <row r="33" spans="1:17">
      <c r="A33" s="637">
        <v>2012</v>
      </c>
      <c r="B33" s="643">
        <v>88303</v>
      </c>
      <c r="C33" s="639">
        <v>3.7</v>
      </c>
      <c r="D33" s="643">
        <f t="shared" ref="D33:D40" si="11">B33/C33</f>
        <v>23865.675675675673</v>
      </c>
      <c r="E33" s="654">
        <f t="shared" si="6"/>
        <v>119.32837837837837</v>
      </c>
      <c r="F33" s="656">
        <f t="shared" si="2"/>
        <v>50.741409695945947</v>
      </c>
      <c r="G33" s="658">
        <f t="shared" si="7"/>
        <v>9.54627027027027</v>
      </c>
      <c r="H33" s="660">
        <f t="shared" si="3"/>
        <v>3.1254966178378374</v>
      </c>
      <c r="I33" s="667">
        <f t="shared" si="8"/>
        <v>23.865675675675675</v>
      </c>
      <c r="J33" s="668">
        <f t="shared" si="4"/>
        <v>3.5683624150810811</v>
      </c>
      <c r="K33" s="700">
        <f t="shared" si="9"/>
        <v>3985.567837837837</v>
      </c>
      <c r="L33" s="700">
        <f t="shared" si="5"/>
        <v>69.003974737075836</v>
      </c>
      <c r="M33" s="731">
        <f t="shared" si="10"/>
        <v>53.866906313783787</v>
      </c>
    </row>
    <row r="34" spans="1:17">
      <c r="A34" s="637">
        <v>2013</v>
      </c>
      <c r="B34" s="643">
        <v>89949</v>
      </c>
      <c r="C34" s="639">
        <v>3.7</v>
      </c>
      <c r="D34" s="643">
        <f t="shared" si="11"/>
        <v>24310.54054054054</v>
      </c>
      <c r="E34" s="654">
        <f t="shared" si="6"/>
        <v>121.5527027027027</v>
      </c>
      <c r="F34" s="656">
        <f t="shared" si="2"/>
        <v>51.687248006756761</v>
      </c>
      <c r="G34" s="658">
        <f t="shared" si="7"/>
        <v>9.7242162162162167</v>
      </c>
      <c r="H34" s="660">
        <f t="shared" si="3"/>
        <v>3.1837570102702699</v>
      </c>
      <c r="I34" s="667">
        <f t="shared" si="8"/>
        <v>24.31054054054054</v>
      </c>
      <c r="J34" s="668">
        <f t="shared" si="4"/>
        <v>3.6348779868648649</v>
      </c>
      <c r="K34" s="700">
        <f t="shared" si="9"/>
        <v>4059.8602702702697</v>
      </c>
      <c r="L34" s="700">
        <f t="shared" si="5"/>
        <v>70.290233894943938</v>
      </c>
      <c r="M34" s="731">
        <f t="shared" si="10"/>
        <v>54.871005017027031</v>
      </c>
    </row>
    <row r="35" spans="1:17">
      <c r="A35" s="637">
        <v>2014</v>
      </c>
      <c r="B35" s="642">
        <v>91359</v>
      </c>
      <c r="C35" s="639">
        <v>3.7</v>
      </c>
      <c r="D35" s="643">
        <f t="shared" si="11"/>
        <v>24691.62162162162</v>
      </c>
      <c r="E35" s="654">
        <f t="shared" si="6"/>
        <v>123.45810810810811</v>
      </c>
      <c r="F35" s="656">
        <f t="shared" si="2"/>
        <v>52.497474020270275</v>
      </c>
      <c r="G35" s="658">
        <f t="shared" si="7"/>
        <v>9.8766486486486489</v>
      </c>
      <c r="H35" s="660">
        <f t="shared" si="3"/>
        <v>3.2336641508108102</v>
      </c>
      <c r="I35" s="667">
        <f t="shared" si="8"/>
        <v>24.691621621621621</v>
      </c>
      <c r="J35" s="668">
        <f t="shared" si="4"/>
        <v>3.6918566965945945</v>
      </c>
      <c r="K35" s="700">
        <f t="shared" si="9"/>
        <v>4123.5008108108104</v>
      </c>
      <c r="L35" s="700">
        <f t="shared" si="5"/>
        <v>71.392071934186973</v>
      </c>
      <c r="M35" s="731">
        <f t="shared" si="10"/>
        <v>55.731138171081085</v>
      </c>
    </row>
    <row r="36" spans="1:17">
      <c r="A36" s="637">
        <v>2015</v>
      </c>
      <c r="B36" s="642">
        <v>93419</v>
      </c>
      <c r="C36" s="639">
        <f>B36/D36</f>
        <v>3.7714574081550261</v>
      </c>
      <c r="D36" s="641">
        <v>24770</v>
      </c>
      <c r="E36" s="654">
        <f t="shared" si="6"/>
        <v>123.85000000000001</v>
      </c>
      <c r="F36" s="656">
        <f t="shared" si="2"/>
        <v>52.664116250000006</v>
      </c>
      <c r="G36" s="658">
        <f t="shared" si="7"/>
        <v>9.9080000000000013</v>
      </c>
      <c r="H36" s="660">
        <f t="shared" si="3"/>
        <v>3.2439287399999999</v>
      </c>
      <c r="I36" s="667">
        <f t="shared" si="8"/>
        <v>24.77</v>
      </c>
      <c r="J36" s="668">
        <f t="shared" si="4"/>
        <v>3.7035757220000001</v>
      </c>
      <c r="K36" s="700">
        <f t="shared" si="9"/>
        <v>4136.5899999999992</v>
      </c>
      <c r="L36" s="700">
        <f t="shared" si="5"/>
        <v>71.618691105378787</v>
      </c>
      <c r="M36" s="731">
        <f t="shared" si="10"/>
        <v>55.908044990000008</v>
      </c>
    </row>
    <row r="37" spans="1:17">
      <c r="A37" s="637">
        <v>2016</v>
      </c>
      <c r="B37" s="642">
        <v>94597.8</v>
      </c>
      <c r="C37" s="644">
        <v>3.8</v>
      </c>
      <c r="D37" s="638">
        <f t="shared" si="11"/>
        <v>24894.157894736843</v>
      </c>
      <c r="E37" s="654">
        <f t="shared" si="6"/>
        <v>124.47078947368422</v>
      </c>
      <c r="F37" s="656">
        <f t="shared" si="2"/>
        <v>52.928091453947374</v>
      </c>
      <c r="G37" s="658">
        <f t="shared" si="7"/>
        <v>9.9576631578947374</v>
      </c>
      <c r="H37" s="660">
        <f t="shared" si="3"/>
        <v>3.2601887062105259</v>
      </c>
      <c r="I37" s="667">
        <f t="shared" si="8"/>
        <v>24.894157894736843</v>
      </c>
      <c r="J37" s="668">
        <f t="shared" si="4"/>
        <v>3.7221396366000001</v>
      </c>
      <c r="K37" s="700">
        <f t="shared" si="9"/>
        <v>4157.324368421052</v>
      </c>
      <c r="L37" s="700">
        <f t="shared" si="5"/>
        <v>71.977674791751511</v>
      </c>
      <c r="M37" s="731">
        <f t="shared" si="10"/>
        <v>56.188280160157902</v>
      </c>
    </row>
    <row r="38" spans="1:17">
      <c r="A38" s="637">
        <v>2017</v>
      </c>
      <c r="B38" s="642">
        <v>95800</v>
      </c>
      <c r="C38" s="644">
        <v>3.8</v>
      </c>
      <c r="D38" s="638">
        <f t="shared" si="11"/>
        <v>25210.526315789473</v>
      </c>
      <c r="E38" s="654">
        <f t="shared" si="6"/>
        <v>126.05263157894737</v>
      </c>
      <c r="F38" s="656">
        <f t="shared" si="2"/>
        <v>53.600730263157899</v>
      </c>
      <c r="G38" s="658">
        <f t="shared" si="7"/>
        <v>10.08421052631579</v>
      </c>
      <c r="H38" s="660">
        <f t="shared" si="3"/>
        <v>3.3016209473684204</v>
      </c>
      <c r="I38" s="667">
        <f t="shared" si="8"/>
        <v>25.210526315789473</v>
      </c>
      <c r="J38" s="668">
        <f t="shared" si="4"/>
        <v>3.7694426000000001</v>
      </c>
      <c r="K38" s="700">
        <f t="shared" si="9"/>
        <v>4210.1578947368416</v>
      </c>
      <c r="L38" s="700">
        <f t="shared" si="5"/>
        <v>72.892406007854248</v>
      </c>
      <c r="M38" s="731">
        <f t="shared" si="10"/>
        <v>56.902351210526319</v>
      </c>
    </row>
    <row r="39" spans="1:17">
      <c r="A39" s="637">
        <v>2018</v>
      </c>
      <c r="B39" s="642">
        <v>96800</v>
      </c>
      <c r="C39" s="644">
        <v>3.8</v>
      </c>
      <c r="D39" s="638">
        <f t="shared" si="11"/>
        <v>25473.684210526317</v>
      </c>
      <c r="E39" s="654">
        <f t="shared" si="6"/>
        <v>127.36842105263159</v>
      </c>
      <c r="F39" s="656">
        <f t="shared" si="2"/>
        <v>54.16023684210527</v>
      </c>
      <c r="G39" s="658">
        <f t="shared" si="7"/>
        <v>10.189473684210528</v>
      </c>
      <c r="H39" s="660">
        <f t="shared" si="3"/>
        <v>3.3360846315789474</v>
      </c>
      <c r="I39" s="667">
        <f t="shared" si="8"/>
        <v>25.473684210526319</v>
      </c>
      <c r="J39" s="668">
        <f t="shared" si="4"/>
        <v>3.8087896000000003</v>
      </c>
      <c r="K39" s="700">
        <f t="shared" si="9"/>
        <v>4254.1052631578941</v>
      </c>
      <c r="L39" s="700">
        <f t="shared" si="5"/>
        <v>73.653287072654393</v>
      </c>
      <c r="M39" s="731">
        <f t="shared" si="10"/>
        <v>57.496321473684219</v>
      </c>
    </row>
    <row r="40" spans="1:17">
      <c r="A40" s="637">
        <v>2019</v>
      </c>
      <c r="B40" s="642">
        <v>97739</v>
      </c>
      <c r="C40" s="644">
        <v>3.8</v>
      </c>
      <c r="D40" s="638">
        <f t="shared" si="11"/>
        <v>25720.78947368421</v>
      </c>
      <c r="E40" s="654">
        <f t="shared" si="6"/>
        <v>128.60394736842105</v>
      </c>
      <c r="F40" s="656">
        <f t="shared" si="2"/>
        <v>54.68561351973684</v>
      </c>
      <c r="G40" s="658">
        <f t="shared" si="7"/>
        <v>10.288315789473684</v>
      </c>
      <c r="H40" s="660">
        <f t="shared" si="3"/>
        <v>3.3684460310526307</v>
      </c>
      <c r="I40" s="667">
        <f t="shared" si="8"/>
        <v>25.72078947368421</v>
      </c>
      <c r="J40" s="668">
        <f t="shared" si="4"/>
        <v>3.8457364329999999</v>
      </c>
      <c r="K40" s="700">
        <f t="shared" si="9"/>
        <v>4295.3718421052627</v>
      </c>
      <c r="L40" s="700">
        <f t="shared" si="5"/>
        <v>74.367754392501737</v>
      </c>
      <c r="M40" s="731">
        <f t="shared" si="10"/>
        <v>58.054059550789468</v>
      </c>
    </row>
    <row r="41" spans="1:17">
      <c r="A41" s="637">
        <v>2020</v>
      </c>
      <c r="B41" s="642">
        <v>99276.986666666693</v>
      </c>
    </row>
    <row r="42" spans="1:17">
      <c r="A42" s="637">
        <v>2021</v>
      </c>
      <c r="B42" s="642">
        <v>100512.563809524</v>
      </c>
    </row>
    <row r="43" spans="1:17">
      <c r="A43" s="637">
        <v>2022</v>
      </c>
      <c r="B43" s="642">
        <v>101748.140952381</v>
      </c>
      <c r="N43" s="75" t="s">
        <v>370</v>
      </c>
    </row>
    <row r="44" spans="1:17">
      <c r="A44" s="637">
        <v>2023</v>
      </c>
      <c r="B44" s="642">
        <v>102983.718095238</v>
      </c>
      <c r="G44" s="18"/>
      <c r="H44" s="18"/>
      <c r="I44" s="18"/>
      <c r="J44" s="18"/>
      <c r="K44" s="18"/>
      <c r="L44" s="18"/>
      <c r="M44" s="18"/>
      <c r="N44" s="75" t="s">
        <v>371</v>
      </c>
      <c r="O44" s="18"/>
      <c r="P44" s="18"/>
      <c r="Q44" s="18"/>
    </row>
    <row r="45" spans="1:17" ht="18.75">
      <c r="F45" s="692" t="s">
        <v>363</v>
      </c>
    </row>
    <row r="47" spans="1:17">
      <c r="A47" s="75" t="s">
        <v>386</v>
      </c>
      <c r="L47" s="1">
        <f>1664/9953</f>
        <v>0.16718577313372851</v>
      </c>
    </row>
    <row r="48" spans="1:17">
      <c r="A48" s="75" t="s">
        <v>385</v>
      </c>
      <c r="L48" s="78">
        <f>24770*L47</f>
        <v>4141.1916005224548</v>
      </c>
    </row>
    <row r="49" spans="1:16">
      <c r="A49" s="75"/>
    </row>
    <row r="50" spans="1:16">
      <c r="A50" s="75" t="s">
        <v>151</v>
      </c>
      <c r="B50" s="75" t="s">
        <v>364</v>
      </c>
      <c r="G50" s="75">
        <v>2</v>
      </c>
      <c r="H50" s="75" t="s">
        <v>84</v>
      </c>
      <c r="O50" s="1"/>
      <c r="P50" s="11"/>
    </row>
    <row r="51" spans="1:16">
      <c r="B51" s="75" t="s">
        <v>365</v>
      </c>
      <c r="G51" s="75">
        <v>200</v>
      </c>
      <c r="H51" s="75" t="s">
        <v>65</v>
      </c>
    </row>
    <row r="52" spans="1:16">
      <c r="B52" s="75" t="s">
        <v>376</v>
      </c>
      <c r="G52" s="75">
        <v>43</v>
      </c>
      <c r="H52" s="75" t="s">
        <v>85</v>
      </c>
      <c r="I52" s="75" t="s">
        <v>387</v>
      </c>
    </row>
    <row r="53" spans="1:16">
      <c r="B53" s="75" t="s">
        <v>366</v>
      </c>
      <c r="G53" s="75">
        <v>30</v>
      </c>
      <c r="H53" s="75" t="s">
        <v>85</v>
      </c>
    </row>
    <row r="54" spans="1:16">
      <c r="J54" s="696" t="s">
        <v>388</v>
      </c>
      <c r="K54" s="75" t="s">
        <v>389</v>
      </c>
      <c r="L54" s="75" t="s">
        <v>367</v>
      </c>
    </row>
    <row r="55" spans="1:16">
      <c r="A55" s="75" t="s">
        <v>377</v>
      </c>
      <c r="G55" s="189">
        <f>G51*4.182*(G52-G53)</f>
        <v>10873.2</v>
      </c>
      <c r="H55" s="75" t="s">
        <v>374</v>
      </c>
      <c r="J55" s="75" t="s">
        <v>368</v>
      </c>
      <c r="K55" s="75"/>
      <c r="L55" s="75"/>
    </row>
    <row r="56" spans="1:16">
      <c r="A56" s="75" t="s">
        <v>369</v>
      </c>
      <c r="G56" s="693">
        <f>G55*365/1000000</f>
        <v>3.9687180000000004</v>
      </c>
      <c r="H56" s="75" t="s">
        <v>375</v>
      </c>
    </row>
    <row r="57" spans="1:16">
      <c r="A57" s="75" t="s">
        <v>378</v>
      </c>
      <c r="B57" s="75"/>
      <c r="G57" s="694">
        <f>G56/K57</f>
        <v>9.479120091716825E-2</v>
      </c>
      <c r="H57" s="695" t="s">
        <v>373</v>
      </c>
      <c r="J57" s="79" t="s">
        <v>152</v>
      </c>
      <c r="K57" s="80">
        <v>41.868000000000002</v>
      </c>
      <c r="L57" s="81" t="s">
        <v>153</v>
      </c>
    </row>
    <row r="59" spans="1:16">
      <c r="A59" s="75" t="s">
        <v>384</v>
      </c>
    </row>
    <row r="60" spans="1:16">
      <c r="A60" s="75" t="s">
        <v>379</v>
      </c>
      <c r="G60" s="189">
        <v>1600</v>
      </c>
      <c r="H60" s="75" t="s">
        <v>380</v>
      </c>
      <c r="I60" s="75"/>
    </row>
    <row r="61" spans="1:16">
      <c r="A61" s="75" t="s">
        <v>381</v>
      </c>
      <c r="G61" s="190">
        <f>G60/8760</f>
        <v>0.18264840182648401</v>
      </c>
      <c r="H61" s="75"/>
    </row>
    <row r="62" spans="1:16">
      <c r="A62" s="75" t="s">
        <v>382</v>
      </c>
      <c r="G62" s="694">
        <f>G57*G61</f>
        <v>1.7313461354733925E-2</v>
      </c>
      <c r="H62" s="695" t="s">
        <v>373</v>
      </c>
    </row>
    <row r="69" spans="3:13">
      <c r="D69" s="3"/>
      <c r="E69" s="3"/>
      <c r="F69" s="3"/>
    </row>
    <row r="70" spans="3:13">
      <c r="C70" s="20"/>
      <c r="D70" s="3"/>
      <c r="E70" s="3"/>
      <c r="F70" s="10"/>
      <c r="G70" s="10"/>
      <c r="H70" s="10"/>
      <c r="I70" s="10"/>
      <c r="J70" s="10"/>
    </row>
    <row r="71" spans="3:13">
      <c r="C71" s="3"/>
      <c r="D71" s="3"/>
      <c r="E71" s="3"/>
      <c r="F71" s="3"/>
      <c r="G71" s="373"/>
      <c r="H71" s="3"/>
      <c r="I71" s="3"/>
      <c r="J71" s="3"/>
      <c r="K71" s="3"/>
      <c r="L71" s="3"/>
      <c r="M71" s="3"/>
    </row>
    <row r="72" spans="3:13">
      <c r="G72" s="11"/>
      <c r="H72" s="10"/>
      <c r="I72" s="10"/>
      <c r="K72" s="21"/>
      <c r="L72" s="10"/>
      <c r="M72" s="9"/>
    </row>
    <row r="73" spans="3:13">
      <c r="G73" s="11"/>
      <c r="H73" s="10"/>
      <c r="I73" s="10"/>
      <c r="K73" s="21"/>
      <c r="L73" s="10"/>
      <c r="M73" s="9"/>
    </row>
    <row r="74" spans="3:13">
      <c r="G74" s="11"/>
      <c r="H74" s="10"/>
      <c r="I74" s="10"/>
      <c r="K74" s="21"/>
      <c r="L74" s="10"/>
      <c r="M74" s="9"/>
    </row>
    <row r="75" spans="3:13">
      <c r="G75" s="11"/>
      <c r="H75" s="10"/>
      <c r="I75" s="10"/>
      <c r="K75" s="21"/>
      <c r="L75" s="10"/>
      <c r="M75" s="9"/>
    </row>
    <row r="76" spans="3:13">
      <c r="I76" s="10"/>
      <c r="M76" s="19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topLeftCell="A7" workbookViewId="0">
      <selection activeCell="N25" sqref="N25"/>
    </sheetView>
  </sheetViews>
  <sheetFormatPr defaultRowHeight="15"/>
  <sheetData>
    <row r="2" spans="2:2" ht="23.25">
      <c r="B2" s="730" t="s">
        <v>428</v>
      </c>
    </row>
    <row r="27" spans="2:7" ht="23.25">
      <c r="B27" s="730" t="s">
        <v>429</v>
      </c>
    </row>
    <row r="28" spans="2:7">
      <c r="C28" s="2"/>
    </row>
    <row r="30" spans="2:7">
      <c r="G30" s="62"/>
    </row>
    <row r="32" spans="2:7">
      <c r="G32" s="62"/>
    </row>
    <row r="34" spans="1:7">
      <c r="G34" s="62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Balance-2020</vt:lpstr>
      <vt:lpstr>Petroleum Stat-2020</vt:lpstr>
      <vt:lpstr>Electricity Stat-2020</vt:lpstr>
      <vt:lpstr>Biomass, SWH &amp; Kero</vt:lpstr>
      <vt:lpstr>Charts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2019-11-22T07:05:49Z</cp:lastPrinted>
  <dcterms:created xsi:type="dcterms:W3CDTF">2016-10-21T11:29:00Z</dcterms:created>
  <dcterms:modified xsi:type="dcterms:W3CDTF">2021-09-29T12:14:52Z</dcterms:modified>
</cp:coreProperties>
</file>