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8100" windowHeight="6375"/>
  </bookViews>
  <sheets>
    <sheet name="Energy Balance-2019" sheetId="1" r:id="rId1"/>
    <sheet name="Petroleum Stat-2019" sheetId="2" r:id="rId2"/>
    <sheet name="Electricity Stat-2019" sheetId="3" r:id="rId3"/>
    <sheet name="Biomass, SWH &amp; Kero" sheetId="7" r:id="rId4"/>
    <sheet name="Charts" sheetId="6" r:id="rId5"/>
    <sheet name="e-Sankey Diag" sheetId="8" r:id="rId6"/>
  </sheets>
  <calcPr calcId="125725"/>
</workbook>
</file>

<file path=xl/calcChain.xml><?xml version="1.0" encoding="utf-8"?>
<calcChain xmlns="http://schemas.openxmlformats.org/spreadsheetml/2006/main">
  <c r="Q63" i="3"/>
  <c r="B92" i="2"/>
  <c r="D68" l="1"/>
  <c r="D66"/>
  <c r="D65"/>
  <c r="N133" i="1"/>
  <c r="F133"/>
  <c r="F132"/>
  <c r="H137"/>
  <c r="H87" i="3"/>
  <c r="E80"/>
  <c r="J88"/>
  <c r="H88" l="1"/>
  <c r="X48" i="2"/>
  <c r="X47"/>
  <c r="D50"/>
  <c r="D69"/>
  <c r="D67"/>
  <c r="E92" i="3"/>
  <c r="E137" i="1"/>
  <c r="G67" i="7"/>
  <c r="G66"/>
  <c r="G65"/>
  <c r="R17" i="3"/>
  <c r="R16"/>
  <c r="V14"/>
  <c r="U14"/>
  <c r="V13"/>
  <c r="V12"/>
  <c r="U13"/>
  <c r="U12"/>
  <c r="R14"/>
  <c r="R13"/>
  <c r="R12"/>
  <c r="E65" i="1"/>
  <c r="B67"/>
  <c r="D2" i="3" l="1"/>
  <c r="H29"/>
  <c r="G29"/>
  <c r="F29"/>
  <c r="C15" i="1"/>
  <c r="P13" i="3"/>
  <c r="Q13" s="1"/>
  <c r="O13"/>
  <c r="K13"/>
  <c r="J13"/>
  <c r="I13"/>
  <c r="F14"/>
  <c r="G13"/>
  <c r="H13" s="1"/>
  <c r="E14"/>
  <c r="E13"/>
  <c r="D13"/>
  <c r="I7"/>
  <c r="J7"/>
  <c r="J6"/>
  <c r="I6"/>
  <c r="M32" i="7"/>
  <c r="M33"/>
  <c r="M34"/>
  <c r="M35"/>
  <c r="M36"/>
  <c r="M37"/>
  <c r="M38"/>
  <c r="M39"/>
  <c r="M40"/>
  <c r="M31"/>
  <c r="I5" i="1" l="1"/>
  <c r="K5"/>
  <c r="N29"/>
  <c r="S39"/>
  <c r="I29"/>
  <c r="L48" i="7"/>
  <c r="L47"/>
  <c r="G61"/>
  <c r="K36"/>
  <c r="K31"/>
  <c r="G55"/>
  <c r="I36"/>
  <c r="I31"/>
  <c r="G36" l="1"/>
  <c r="G31"/>
  <c r="E36"/>
  <c r="E31"/>
  <c r="C36"/>
  <c r="D40"/>
  <c r="D39"/>
  <c r="D38"/>
  <c r="D37"/>
  <c r="D33"/>
  <c r="D34"/>
  <c r="D35"/>
  <c r="D32"/>
  <c r="C31"/>
  <c r="I32" l="1"/>
  <c r="K32"/>
  <c r="I37"/>
  <c r="K37"/>
  <c r="I33"/>
  <c r="K33"/>
  <c r="I40"/>
  <c r="K40"/>
  <c r="I34"/>
  <c r="K34"/>
  <c r="I39"/>
  <c r="K39"/>
  <c r="I35"/>
  <c r="K35"/>
  <c r="I38"/>
  <c r="K38"/>
  <c r="E39"/>
  <c r="E35"/>
  <c r="G37"/>
  <c r="G33"/>
  <c r="E40"/>
  <c r="E32"/>
  <c r="G38"/>
  <c r="G34"/>
  <c r="E37"/>
  <c r="E33"/>
  <c r="G39"/>
  <c r="G35"/>
  <c r="E38"/>
  <c r="E34"/>
  <c r="G40"/>
  <c r="G32"/>
  <c r="F30" i="3" l="1"/>
  <c r="C30"/>
  <c r="M24"/>
  <c r="N24" s="1"/>
  <c r="J23"/>
  <c r="J24"/>
  <c r="G23"/>
  <c r="H23" s="1"/>
  <c r="G24"/>
  <c r="H24" s="1"/>
  <c r="F25"/>
  <c r="D23"/>
  <c r="I23" s="1"/>
  <c r="D24"/>
  <c r="I24" s="1"/>
  <c r="C25"/>
  <c r="H6" i="1" l="1"/>
  <c r="G31" l="1"/>
  <c r="F59" i="3"/>
  <c r="L58" s="1"/>
  <c r="F64"/>
  <c r="L64" s="1"/>
  <c r="F61"/>
  <c r="L60" s="1"/>
  <c r="O60" s="1"/>
  <c r="P60" l="1"/>
  <c r="B87"/>
  <c r="O58"/>
  <c r="F66"/>
  <c r="L62"/>
  <c r="O63" s="1"/>
  <c r="C66"/>
  <c r="I74"/>
  <c r="I75"/>
  <c r="I76"/>
  <c r="I77"/>
  <c r="I73"/>
  <c r="C78"/>
  <c r="F74"/>
  <c r="O74" s="1"/>
  <c r="P74" s="1"/>
  <c r="Q74" s="1"/>
  <c r="F75"/>
  <c r="G75" s="1"/>
  <c r="H75" s="1"/>
  <c r="F76"/>
  <c r="G76" s="1"/>
  <c r="H76" s="1"/>
  <c r="F77"/>
  <c r="O77" s="1"/>
  <c r="P77" s="1"/>
  <c r="Q77" s="1"/>
  <c r="F73"/>
  <c r="O73" s="1"/>
  <c r="D74"/>
  <c r="E74" s="1"/>
  <c r="D75"/>
  <c r="E75" s="1"/>
  <c r="D76"/>
  <c r="D77"/>
  <c r="E77" s="1"/>
  <c r="D73"/>
  <c r="E73" s="1"/>
  <c r="G73" l="1"/>
  <c r="H73" s="1"/>
  <c r="K73" s="1"/>
  <c r="G77"/>
  <c r="H77" s="1"/>
  <c r="K77" s="1"/>
  <c r="L75"/>
  <c r="P63"/>
  <c r="B88"/>
  <c r="B86"/>
  <c r="O66"/>
  <c r="P66" s="1"/>
  <c r="P58"/>
  <c r="D78"/>
  <c r="G74"/>
  <c r="H74" s="1"/>
  <c r="K74" s="1"/>
  <c r="L66"/>
  <c r="K75"/>
  <c r="P73"/>
  <c r="E76"/>
  <c r="E78" s="1"/>
  <c r="C16" i="1" s="1"/>
  <c r="O76" i="3"/>
  <c r="P76" s="1"/>
  <c r="Q76" s="1"/>
  <c r="F78"/>
  <c r="K76" l="1"/>
  <c r="M75"/>
  <c r="L78"/>
  <c r="G78"/>
  <c r="D86"/>
  <c r="B89"/>
  <c r="H78"/>
  <c r="M16" i="1" s="1"/>
  <c r="P78" i="3"/>
  <c r="C88" s="1"/>
  <c r="D88" s="1"/>
  <c r="E88" s="1"/>
  <c r="M30" i="1" s="1"/>
  <c r="Q73" i="3"/>
  <c r="Q78" s="1"/>
  <c r="O78"/>
  <c r="M78" l="1"/>
  <c r="C87" s="1"/>
  <c r="N75"/>
  <c r="N78" s="1"/>
  <c r="E86"/>
  <c r="J36" i="1"/>
  <c r="K36"/>
  <c r="L36"/>
  <c r="C34"/>
  <c r="B34"/>
  <c r="H33"/>
  <c r="H36" s="1"/>
  <c r="E33"/>
  <c r="E36" s="1"/>
  <c r="C32"/>
  <c r="B32"/>
  <c r="F31"/>
  <c r="D31"/>
  <c r="D36" s="1"/>
  <c r="C31"/>
  <c r="B31"/>
  <c r="G30"/>
  <c r="F30"/>
  <c r="C30"/>
  <c r="B30"/>
  <c r="F29"/>
  <c r="C89" i="3" l="1"/>
  <c r="D87"/>
  <c r="M29" i="1"/>
  <c r="F36"/>
  <c r="B100" i="2"/>
  <c r="L79"/>
  <c r="H50"/>
  <c r="F71" s="1"/>
  <c r="H71" s="1"/>
  <c r="W49"/>
  <c r="W50" s="1"/>
  <c r="R70"/>
  <c r="R65"/>
  <c r="P57"/>
  <c r="R57" s="1"/>
  <c r="P56"/>
  <c r="R56" s="1"/>
  <c r="P55"/>
  <c r="R55" s="1"/>
  <c r="R51"/>
  <c r="H72"/>
  <c r="H73"/>
  <c r="H74"/>
  <c r="H70"/>
  <c r="E87" i="3" l="1"/>
  <c r="D89"/>
  <c r="R73" i="2"/>
  <c r="P58"/>
  <c r="H75"/>
  <c r="R58"/>
  <c r="M64"/>
  <c r="H61"/>
  <c r="H66" s="1"/>
  <c r="C82"/>
  <c r="C74"/>
  <c r="D74" s="1"/>
  <c r="C63"/>
  <c r="C57"/>
  <c r="C70"/>
  <c r="C50"/>
  <c r="F75"/>
  <c r="G74" s="1"/>
  <c r="M69"/>
  <c r="M70"/>
  <c r="M71"/>
  <c r="M68"/>
  <c r="K72"/>
  <c r="Q55" s="1"/>
  <c r="W54"/>
  <c r="W53"/>
  <c r="U55"/>
  <c r="V53" s="1"/>
  <c r="D88"/>
  <c r="D89"/>
  <c r="D90"/>
  <c r="D91"/>
  <c r="D92"/>
  <c r="C35" i="1" s="1"/>
  <c r="C36" s="1"/>
  <c r="D93" i="2"/>
  <c r="D87"/>
  <c r="B94"/>
  <c r="C90" s="1"/>
  <c r="M31" i="1" l="1"/>
  <c r="E89" i="3"/>
  <c r="C84" i="2"/>
  <c r="Q56"/>
  <c r="L72"/>
  <c r="Q57"/>
  <c r="M72"/>
  <c r="L69"/>
  <c r="D94"/>
  <c r="L68"/>
  <c r="G75"/>
  <c r="G71"/>
  <c r="W55"/>
  <c r="G72"/>
  <c r="G70"/>
  <c r="V55"/>
  <c r="L71"/>
  <c r="G73"/>
  <c r="V54"/>
  <c r="L70"/>
  <c r="C91"/>
  <c r="C89"/>
  <c r="C92"/>
  <c r="C88"/>
  <c r="C93"/>
  <c r="C94"/>
  <c r="C87"/>
  <c r="C35" l="1"/>
  <c r="D35"/>
  <c r="E35"/>
  <c r="F35"/>
  <c r="G35"/>
  <c r="H35"/>
  <c r="I35"/>
  <c r="J35"/>
  <c r="D33"/>
  <c r="E33"/>
  <c r="F33"/>
  <c r="G33"/>
  <c r="H33"/>
  <c r="I33"/>
  <c r="J33"/>
  <c r="C26"/>
  <c r="D26"/>
  <c r="E26"/>
  <c r="F26"/>
  <c r="G26"/>
  <c r="H26"/>
  <c r="I26"/>
  <c r="J26"/>
  <c r="C27"/>
  <c r="D27"/>
  <c r="E27"/>
  <c r="F27"/>
  <c r="G27"/>
  <c r="H27"/>
  <c r="I27"/>
  <c r="J27"/>
  <c r="C29"/>
  <c r="D29"/>
  <c r="C10" i="1" s="1"/>
  <c r="E29" i="2"/>
  <c r="E10" i="1" s="1"/>
  <c r="F29" i="2"/>
  <c r="D10" i="1" s="1"/>
  <c r="G29" i="2"/>
  <c r="H10" i="1" s="1"/>
  <c r="H29" i="2"/>
  <c r="F10" i="1" s="1"/>
  <c r="I29" i="2"/>
  <c r="J29"/>
  <c r="G10" i="1" s="1"/>
  <c r="C30" i="2"/>
  <c r="B11" i="1" s="1"/>
  <c r="D30" i="2"/>
  <c r="E30"/>
  <c r="F30"/>
  <c r="G30"/>
  <c r="H30"/>
  <c r="I30"/>
  <c r="J30"/>
  <c r="D25"/>
  <c r="E25"/>
  <c r="F25"/>
  <c r="G25"/>
  <c r="H25"/>
  <c r="I25"/>
  <c r="J25"/>
  <c r="AD21"/>
  <c r="AC21"/>
  <c r="AB21"/>
  <c r="AA21"/>
  <c r="Z21"/>
  <c r="Y21"/>
  <c r="W21"/>
  <c r="X15"/>
  <c r="Y15"/>
  <c r="Z15"/>
  <c r="AA15"/>
  <c r="AB15"/>
  <c r="AC15"/>
  <c r="AD15"/>
  <c r="W15"/>
  <c r="D9"/>
  <c r="D12" s="1"/>
  <c r="E9"/>
  <c r="E12" s="1"/>
  <c r="F9"/>
  <c r="F28" s="1"/>
  <c r="D9" i="1" s="1"/>
  <c r="G9" i="2"/>
  <c r="G28" s="1"/>
  <c r="H9"/>
  <c r="H12" s="1"/>
  <c r="I9"/>
  <c r="I12" s="1"/>
  <c r="J9"/>
  <c r="J28" s="1"/>
  <c r="G9" i="1" s="1"/>
  <c r="C9" i="2"/>
  <c r="C12" s="1"/>
  <c r="G12" i="1" l="1"/>
  <c r="B53" s="1"/>
  <c r="H28" i="2"/>
  <c r="F9" i="1" s="1"/>
  <c r="B10"/>
  <c r="J31" i="2"/>
  <c r="F31"/>
  <c r="D28"/>
  <c r="C9" i="1" s="1"/>
  <c r="G31" i="2"/>
  <c r="H9" i="1"/>
  <c r="H12" s="1"/>
  <c r="B55" s="1"/>
  <c r="F12" i="2"/>
  <c r="G12"/>
  <c r="I28"/>
  <c r="I31" s="1"/>
  <c r="E28"/>
  <c r="E9" i="1" s="1"/>
  <c r="J12" i="2"/>
  <c r="C28"/>
  <c r="H31" l="1"/>
  <c r="D31"/>
  <c r="E31"/>
  <c r="B9" i="1"/>
  <c r="D53" i="3"/>
  <c r="E53" s="1"/>
  <c r="C33" i="2" l="1"/>
  <c r="D18"/>
  <c r="E18"/>
  <c r="F18"/>
  <c r="G18"/>
  <c r="H18"/>
  <c r="I18"/>
  <c r="J18"/>
  <c r="C18"/>
  <c r="B37" i="3" l="1"/>
  <c r="B36"/>
  <c r="B35"/>
  <c r="L24" i="7" l="1"/>
  <c r="L25" s="1"/>
  <c r="L26" s="1"/>
  <c r="J31" l="1"/>
  <c r="J36"/>
  <c r="J34"/>
  <c r="J32"/>
  <c r="J40"/>
  <c r="G29" i="1" s="1"/>
  <c r="G36" s="1"/>
  <c r="J38" i="7"/>
  <c r="J33"/>
  <c r="J35"/>
  <c r="J39"/>
  <c r="J37"/>
  <c r="G56"/>
  <c r="G57" s="1"/>
  <c r="G62" s="1"/>
  <c r="O17"/>
  <c r="O18" s="1"/>
  <c r="O19" s="1"/>
  <c r="H20"/>
  <c r="D18"/>
  <c r="E18" s="1"/>
  <c r="B18"/>
  <c r="C15" s="1"/>
  <c r="C17"/>
  <c r="O9"/>
  <c r="O10" s="1"/>
  <c r="O11" s="1"/>
  <c r="O12" s="1"/>
  <c r="H12"/>
  <c r="C13"/>
  <c r="C10"/>
  <c r="L34" l="1"/>
  <c r="L31"/>
  <c r="L39"/>
  <c r="L37"/>
  <c r="L40"/>
  <c r="L35"/>
  <c r="L33"/>
  <c r="L36"/>
  <c r="L38"/>
  <c r="L32"/>
  <c r="K12" i="1"/>
  <c r="B52" s="1"/>
  <c r="H36" i="7"/>
  <c r="H31"/>
  <c r="H37"/>
  <c r="H40"/>
  <c r="H34"/>
  <c r="H39"/>
  <c r="H32"/>
  <c r="H33"/>
  <c r="H35"/>
  <c r="H38"/>
  <c r="F36"/>
  <c r="F31"/>
  <c r="F32"/>
  <c r="F34"/>
  <c r="F39"/>
  <c r="F35"/>
  <c r="F33"/>
  <c r="F40"/>
  <c r="F37"/>
  <c r="F38"/>
  <c r="E12"/>
  <c r="C14"/>
  <c r="C16"/>
  <c r="C18"/>
  <c r="E11"/>
  <c r="E15"/>
  <c r="C11"/>
  <c r="E13"/>
  <c r="E17"/>
  <c r="E16"/>
  <c r="E10"/>
  <c r="E14"/>
  <c r="I12" i="1" l="1"/>
  <c r="B54" s="1"/>
  <c r="X21" i="2" l="1"/>
  <c r="O34" i="1" l="1"/>
  <c r="B102" s="1"/>
  <c r="O18" i="3" l="1"/>
  <c r="C8" i="1" l="1"/>
  <c r="E8"/>
  <c r="C6"/>
  <c r="E6"/>
  <c r="D6"/>
  <c r="F6"/>
  <c r="F12" s="1"/>
  <c r="B48" s="1"/>
  <c r="B6"/>
  <c r="B12" s="1"/>
  <c r="B47" l="1"/>
  <c r="C12"/>
  <c r="B46" s="1"/>
  <c r="E12"/>
  <c r="B49" s="1"/>
  <c r="H37" i="2"/>
  <c r="I37"/>
  <c r="E37"/>
  <c r="B79" i="1"/>
  <c r="J37" i="2"/>
  <c r="F37"/>
  <c r="G37"/>
  <c r="B77" i="1"/>
  <c r="B81"/>
  <c r="D37" i="2"/>
  <c r="O33" i="1" l="1"/>
  <c r="B103" s="1"/>
  <c r="M36" l="1"/>
  <c r="B72" l="1"/>
  <c r="O24" l="1"/>
  <c r="E21"/>
  <c r="F21"/>
  <c r="G21"/>
  <c r="H21"/>
  <c r="H27" s="1"/>
  <c r="H37" s="1"/>
  <c r="H38" s="1"/>
  <c r="I21"/>
  <c r="J27" i="3"/>
  <c r="I27"/>
  <c r="G27"/>
  <c r="G30" s="1"/>
  <c r="B21" i="1"/>
  <c r="M12"/>
  <c r="N12"/>
  <c r="O7"/>
  <c r="M23" i="3"/>
  <c r="N23" s="1"/>
  <c r="O23"/>
  <c r="O22"/>
  <c r="P22" s="1"/>
  <c r="M22"/>
  <c r="N22" s="1"/>
  <c r="J22"/>
  <c r="G22"/>
  <c r="H22" s="1"/>
  <c r="D22"/>
  <c r="I22" s="1"/>
  <c r="M18"/>
  <c r="N18" s="1"/>
  <c r="P18"/>
  <c r="Q18" s="1"/>
  <c r="J18"/>
  <c r="G18"/>
  <c r="D18"/>
  <c r="I18" s="1"/>
  <c r="L14"/>
  <c r="O12"/>
  <c r="P12" s="1"/>
  <c r="Q12" s="1"/>
  <c r="M12"/>
  <c r="M11"/>
  <c r="N11" s="1"/>
  <c r="M8"/>
  <c r="F11"/>
  <c r="O11" s="1"/>
  <c r="P11" s="1"/>
  <c r="Q11" s="1"/>
  <c r="F8"/>
  <c r="O8" s="1"/>
  <c r="J12"/>
  <c r="J10"/>
  <c r="J9"/>
  <c r="I12"/>
  <c r="I10"/>
  <c r="I9"/>
  <c r="D12"/>
  <c r="E12" s="1"/>
  <c r="D10"/>
  <c r="E10" s="1"/>
  <c r="D9"/>
  <c r="E9" s="1"/>
  <c r="D7"/>
  <c r="D6"/>
  <c r="G7"/>
  <c r="H7" s="1"/>
  <c r="G9"/>
  <c r="H9" s="1"/>
  <c r="G10"/>
  <c r="G12"/>
  <c r="G14" s="1"/>
  <c r="G6"/>
  <c r="H6" s="1"/>
  <c r="D8" i="1"/>
  <c r="D12" s="1"/>
  <c r="C25" i="2"/>
  <c r="B45" i="1" l="1"/>
  <c r="B57" s="1"/>
  <c r="S5"/>
  <c r="H27" i="3"/>
  <c r="B51"/>
  <c r="B38"/>
  <c r="N12"/>
  <c r="C51"/>
  <c r="H12"/>
  <c r="C43"/>
  <c r="H25"/>
  <c r="C44"/>
  <c r="C46" s="1"/>
  <c r="H18"/>
  <c r="L18" i="1" s="1"/>
  <c r="L21" s="1"/>
  <c r="B44" i="3"/>
  <c r="B46" s="1"/>
  <c r="D46" s="1"/>
  <c r="G11"/>
  <c r="O25"/>
  <c r="I27" i="1"/>
  <c r="C31" i="2"/>
  <c r="I25" i="3"/>
  <c r="M14"/>
  <c r="N8"/>
  <c r="H10"/>
  <c r="K10" s="1"/>
  <c r="G8"/>
  <c r="E6"/>
  <c r="G27" i="1"/>
  <c r="G37" s="1"/>
  <c r="E27"/>
  <c r="E37" s="1"/>
  <c r="E38" s="1"/>
  <c r="H8" i="3"/>
  <c r="P8"/>
  <c r="O14"/>
  <c r="E11"/>
  <c r="E7"/>
  <c r="K7" s="1"/>
  <c r="K9"/>
  <c r="P23"/>
  <c r="Q23" s="1"/>
  <c r="Q22"/>
  <c r="G25"/>
  <c r="J25"/>
  <c r="O8" i="1"/>
  <c r="O11"/>
  <c r="O10"/>
  <c r="O9"/>
  <c r="C37" i="2"/>
  <c r="K12" i="3" l="1"/>
  <c r="H14"/>
  <c r="K6"/>
  <c r="H30"/>
  <c r="J19" i="1" s="1"/>
  <c r="M19" s="1"/>
  <c r="O19" s="1"/>
  <c r="I36"/>
  <c r="I37" s="1"/>
  <c r="I38" s="1"/>
  <c r="L5"/>
  <c r="L12" s="1"/>
  <c r="D51" i="3"/>
  <c r="E51" s="1"/>
  <c r="B75" i="1"/>
  <c r="N14" i="3"/>
  <c r="M23" i="1" s="1"/>
  <c r="O23" s="1"/>
  <c r="C45" i="3"/>
  <c r="C52" s="1"/>
  <c r="C54" s="1"/>
  <c r="C55" s="1"/>
  <c r="D44"/>
  <c r="B43"/>
  <c r="D43" s="1"/>
  <c r="H11"/>
  <c r="K11" s="1"/>
  <c r="Q25"/>
  <c r="P25"/>
  <c r="E8"/>
  <c r="K8" s="1"/>
  <c r="F27" i="1"/>
  <c r="F37" s="1"/>
  <c r="F38" s="1"/>
  <c r="B74"/>
  <c r="M18"/>
  <c r="O18" s="1"/>
  <c r="Q8" i="3"/>
  <c r="Q14" s="1"/>
  <c r="P14"/>
  <c r="D15" i="1"/>
  <c r="J17"/>
  <c r="M17" s="1"/>
  <c r="B39" i="3"/>
  <c r="O6" i="1"/>
  <c r="B27"/>
  <c r="S24" l="1"/>
  <c r="S23" s="1"/>
  <c r="J5"/>
  <c r="J12" s="1"/>
  <c r="B51" s="1"/>
  <c r="L27"/>
  <c r="L37" s="1"/>
  <c r="B50"/>
  <c r="S6"/>
  <c r="D45" i="3"/>
  <c r="B45"/>
  <c r="B52" s="1"/>
  <c r="B80" i="1"/>
  <c r="O35"/>
  <c r="B107" s="1"/>
  <c r="C38" i="3"/>
  <c r="C37"/>
  <c r="C36"/>
  <c r="C35"/>
  <c r="C39"/>
  <c r="O17" i="1"/>
  <c r="M15"/>
  <c r="S18" s="1"/>
  <c r="O32"/>
  <c r="D21"/>
  <c r="D27" s="1"/>
  <c r="D37" s="1"/>
  <c r="D38" s="1"/>
  <c r="J21"/>
  <c r="C21"/>
  <c r="C27" s="1"/>
  <c r="C37" s="1"/>
  <c r="C38" s="1"/>
  <c r="O16"/>
  <c r="K20"/>
  <c r="B101" l="1"/>
  <c r="B100" s="1"/>
  <c r="O40"/>
  <c r="B58"/>
  <c r="O5"/>
  <c r="S19"/>
  <c r="S7"/>
  <c r="B56"/>
  <c r="O15"/>
  <c r="D52" i="3"/>
  <c r="E52" s="1"/>
  <c r="B54"/>
  <c r="B36" i="1"/>
  <c r="J27"/>
  <c r="J37" s="1"/>
  <c r="K14" i="3"/>
  <c r="M21" i="1"/>
  <c r="K21"/>
  <c r="N20"/>
  <c r="O12"/>
  <c r="C51" l="1"/>
  <c r="C57"/>
  <c r="C58"/>
  <c r="C50"/>
  <c r="C48"/>
  <c r="C47"/>
  <c r="C46"/>
  <c r="C54"/>
  <c r="C49"/>
  <c r="C55"/>
  <c r="C53"/>
  <c r="C52"/>
  <c r="S40"/>
  <c r="S38"/>
  <c r="B73"/>
  <c r="S22"/>
  <c r="T5"/>
  <c r="T7"/>
  <c r="T6"/>
  <c r="C45"/>
  <c r="C56"/>
  <c r="B55" i="3"/>
  <c r="D54"/>
  <c r="B37" i="1"/>
  <c r="B38" s="1"/>
  <c r="B76"/>
  <c r="O13"/>
  <c r="O31"/>
  <c r="O30"/>
  <c r="B104" s="1"/>
  <c r="K27"/>
  <c r="K37" s="1"/>
  <c r="S14"/>
  <c r="S10"/>
  <c r="S12"/>
  <c r="S13"/>
  <c r="S11"/>
  <c r="N21"/>
  <c r="N27" s="1"/>
  <c r="O20"/>
  <c r="O21" s="1"/>
  <c r="D55" i="3" l="1"/>
  <c r="E54"/>
  <c r="M26" i="1" s="1"/>
  <c r="S15"/>
  <c r="N36"/>
  <c r="B106"/>
  <c r="O29"/>
  <c r="N37" l="1"/>
  <c r="N38" s="1"/>
  <c r="S25"/>
  <c r="O26"/>
  <c r="O27" s="1"/>
  <c r="M27"/>
  <c r="M37" s="1"/>
  <c r="M38" s="1"/>
  <c r="O36"/>
  <c r="B105"/>
  <c r="B78"/>
  <c r="B82" s="1"/>
  <c r="B87" s="1"/>
  <c r="C39" l="1"/>
  <c r="B39"/>
  <c r="O44"/>
  <c r="N41"/>
  <c r="D39"/>
  <c r="F39"/>
  <c r="O41"/>
  <c r="U27"/>
  <c r="S26"/>
  <c r="O37"/>
  <c r="O38" s="1"/>
  <c r="S32"/>
  <c r="S29"/>
  <c r="S35"/>
  <c r="B108"/>
  <c r="C105" s="1"/>
  <c r="S31"/>
  <c r="S34"/>
  <c r="C78"/>
  <c r="S30"/>
  <c r="S33"/>
  <c r="T24" l="1"/>
  <c r="T23"/>
  <c r="T22"/>
  <c r="T25"/>
  <c r="S36"/>
  <c r="C77"/>
  <c r="C75"/>
  <c r="C81"/>
  <c r="C73"/>
  <c r="C79"/>
  <c r="C80"/>
  <c r="C74"/>
  <c r="C76"/>
  <c r="C72"/>
  <c r="C100"/>
  <c r="C102"/>
  <c r="C107"/>
  <c r="C103"/>
  <c r="C101"/>
  <c r="C104"/>
  <c r="C106"/>
  <c r="V24" l="1"/>
  <c r="C108"/>
  <c r="C82"/>
  <c r="T26"/>
  <c r="Q58" i="2"/>
</calcChain>
</file>

<file path=xl/comments1.xml><?xml version="1.0" encoding="utf-8"?>
<comments xmlns="http://schemas.openxmlformats.org/spreadsheetml/2006/main">
  <authors>
    <author>ACER</author>
  </authors>
  <commentList>
    <comment ref="H4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=99% of actual retail sales of gasoil, 1% goes to fishermen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=99% of actual retail sales of gasoil, 1% goes to fishermen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for all on-site equipments and engines such as concrete mixers, 'grue/lifter', etc.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part of Construction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=1% of retail sales of gasoil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 observed one afternoon a large pickup full of plastic tanks of 50 L capacity filling these tanks with gasoline at Grand Anse Retail station.  Possibly for fishing boats at Port Launay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Caution! this may happen only sometimes but not on a regular basis; we have to capture only regula uses of gasoline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B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possibly density after fuel treatment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 GWh = 86 TOE</t>
        </r>
      </text>
    </comment>
  </commentList>
</comments>
</file>

<file path=xl/sharedStrings.xml><?xml version="1.0" encoding="utf-8"?>
<sst xmlns="http://schemas.openxmlformats.org/spreadsheetml/2006/main" count="751" uniqueCount="437">
  <si>
    <t>PETROLEUM PRODUCTS</t>
  </si>
  <si>
    <t>Gasoil</t>
  </si>
  <si>
    <t>Fuel Oil</t>
  </si>
  <si>
    <t>Jet A1</t>
  </si>
  <si>
    <t>LPG</t>
  </si>
  <si>
    <t>Gasoline</t>
  </si>
  <si>
    <t>Fuelwood</t>
  </si>
  <si>
    <t>BIOMASS</t>
  </si>
  <si>
    <t>SOLAR</t>
  </si>
  <si>
    <t>WIND</t>
  </si>
  <si>
    <t>ELECTRICITY</t>
  </si>
  <si>
    <t>HEAT</t>
  </si>
  <si>
    <t>Imports</t>
  </si>
  <si>
    <t>Exports (-)</t>
  </si>
  <si>
    <t>Loss (-) or Gain (+)</t>
  </si>
  <si>
    <t>Electricity Generation from HFO and LFO by PUC</t>
  </si>
  <si>
    <t>Electricity Generation from LFO by Auto-producers</t>
  </si>
  <si>
    <t>Electricity Generation from Wind by PUC</t>
  </si>
  <si>
    <t>Electricity Generation from off-grid Solar PV</t>
  </si>
  <si>
    <t>Road Transports</t>
  </si>
  <si>
    <t>Industry</t>
  </si>
  <si>
    <t>Residential</t>
  </si>
  <si>
    <t>Electricity Generation from grid-connected Solar PV</t>
  </si>
  <si>
    <t>Prod. (+)                 Cons. (-)</t>
  </si>
  <si>
    <t>Primary Energy Production</t>
  </si>
  <si>
    <t>PRIMARY ENERGY PRODUCTION &amp; ENERGY SUPPLIES</t>
  </si>
  <si>
    <t>SECONDARY PRODUCTION</t>
  </si>
  <si>
    <t>DISTRIBUTION OF ENERGY</t>
  </si>
  <si>
    <t>Losses in transportation and distribution</t>
  </si>
  <si>
    <t>Electricity consumption for power stations</t>
  </si>
  <si>
    <t>Heat consumption for Fuel Oil Treatment</t>
  </si>
  <si>
    <t>SEYCHELLES</t>
  </si>
  <si>
    <t>TOTAL PRIMARY CONSUMPTION (1)</t>
  </si>
  <si>
    <t>TOTAL SECONDARY PRODUCTION (2)</t>
  </si>
  <si>
    <t>TOTAL FINAL DISTRIBUTION (1+2+Losses)</t>
  </si>
  <si>
    <t>MOGAS</t>
  </si>
  <si>
    <t>GAS OIL</t>
  </si>
  <si>
    <t>JET A1</t>
  </si>
  <si>
    <t>FUEL OIL</t>
  </si>
  <si>
    <t>AVGAS</t>
  </si>
  <si>
    <t>KEROSENE</t>
  </si>
  <si>
    <t>MSP (unleaded)</t>
  </si>
  <si>
    <t>A. Imports SEPEC</t>
  </si>
  <si>
    <t>B. Stock Change (1-2)</t>
  </si>
  <si>
    <t>C. Loss/Gain</t>
  </si>
  <si>
    <t>D. Inter Product Transfer</t>
  </si>
  <si>
    <t>E. Total Supply (A+B+C+D)</t>
  </si>
  <si>
    <t>F. Local Sales</t>
  </si>
  <si>
    <t>H. International sales</t>
  </si>
  <si>
    <t>I. Total Sales</t>
  </si>
  <si>
    <t>Inter Product Transfer</t>
  </si>
  <si>
    <t>Coversion Factor from MT to TOE</t>
  </si>
  <si>
    <t>MT</t>
  </si>
  <si>
    <t>TOE</t>
  </si>
  <si>
    <t>Kerosene</t>
  </si>
  <si>
    <t>Fuel Consumption</t>
  </si>
  <si>
    <t>Total</t>
  </si>
  <si>
    <t>LFO</t>
  </si>
  <si>
    <t>HFO</t>
  </si>
  <si>
    <t>Station Use</t>
  </si>
  <si>
    <t>Energy Sent out</t>
  </si>
  <si>
    <t>kW</t>
  </si>
  <si>
    <t>kWh</t>
  </si>
  <si>
    <t>TOTAL</t>
  </si>
  <si>
    <t>GWh</t>
  </si>
  <si>
    <t>Litre</t>
  </si>
  <si>
    <t>SFC  (L/kWh)</t>
  </si>
  <si>
    <t>kWh/L</t>
  </si>
  <si>
    <t>Praslin</t>
  </si>
  <si>
    <t>Fuel</t>
  </si>
  <si>
    <t>Performance Indicators</t>
  </si>
  <si>
    <t>Efficiency %</t>
  </si>
  <si>
    <t>Power Station</t>
  </si>
  <si>
    <t>Capacity Factor</t>
  </si>
  <si>
    <t>Capacity</t>
  </si>
  <si>
    <t>hr/yr</t>
  </si>
  <si>
    <t>SOLAR PV</t>
  </si>
  <si>
    <t>PUC</t>
  </si>
  <si>
    <t>Elec</t>
  </si>
  <si>
    <t>Hotels</t>
  </si>
  <si>
    <t>Industrials</t>
  </si>
  <si>
    <t>Construction</t>
  </si>
  <si>
    <t>Production of Solar Heat / Solar Water Heaters</t>
  </si>
  <si>
    <t>Mahe</t>
  </si>
  <si>
    <t>m2</t>
  </si>
  <si>
    <t>C</t>
  </si>
  <si>
    <t>ENERGY SECTOR OWN CONSUMPTION</t>
  </si>
  <si>
    <t>TOTAL FINAL ENERGY CONSUMPTION</t>
  </si>
  <si>
    <t>Statistical Difference</t>
  </si>
  <si>
    <t>THERMAL PLANTS</t>
  </si>
  <si>
    <t>Wind</t>
  </si>
  <si>
    <t>Solar PV</t>
  </si>
  <si>
    <t>Solar Thermal</t>
  </si>
  <si>
    <t>Electricity</t>
  </si>
  <si>
    <t>Road Transportation</t>
  </si>
  <si>
    <t>Energy Independence Rate</t>
  </si>
  <si>
    <t>Others</t>
  </si>
  <si>
    <t>Service</t>
  </si>
  <si>
    <t>SERVICE</t>
  </si>
  <si>
    <t>Street Lights</t>
  </si>
  <si>
    <t>Tourism</t>
  </si>
  <si>
    <t>Avgas</t>
  </si>
  <si>
    <t>International Marine &amp; Air Bunkers (-)</t>
  </si>
  <si>
    <t>FLH</t>
  </si>
  <si>
    <t>By Fossil Fuel</t>
  </si>
  <si>
    <t>By Renewable Sources</t>
  </si>
  <si>
    <t>Sold to Customers</t>
  </si>
  <si>
    <t>Sent to T&amp;D Network</t>
  </si>
  <si>
    <t>Station Units</t>
  </si>
  <si>
    <t>Sub-total</t>
  </si>
  <si>
    <t>Losses</t>
  </si>
  <si>
    <t>Summary of Generation by Island in GWh</t>
  </si>
  <si>
    <t>Losses (% Generation)</t>
  </si>
  <si>
    <t>FINAL ENERGY CONSUMPTION</t>
  </si>
  <si>
    <t>MOGAS (LRP)</t>
  </si>
  <si>
    <t>GASOIL</t>
  </si>
  <si>
    <t>MSP (UNLEADED)</t>
  </si>
  <si>
    <t>IMPORTS SEYPEC</t>
  </si>
  <si>
    <t>IMPORTS PPO</t>
  </si>
  <si>
    <t>1.STOCK 01/01/2017 SEYPEC</t>
  </si>
  <si>
    <t>2.STOCK 01/01/2017 PPO</t>
  </si>
  <si>
    <t>3.STOCK 31/12/2017 SEYPEC</t>
  </si>
  <si>
    <t>4.STOCK 31/12/2017 PPO</t>
  </si>
  <si>
    <t>STOCK CHANGE (1+2)-(3+4)</t>
  </si>
  <si>
    <t>(LOSS)/GAIN</t>
  </si>
  <si>
    <t>INTER PRODUCT TRANSFER</t>
  </si>
  <si>
    <t>TOTAL SUPPLY (A+B+C+D)</t>
  </si>
  <si>
    <t>LOCAL SALES</t>
  </si>
  <si>
    <t>PPO OFFTAKES</t>
  </si>
  <si>
    <t>TOTAL SALES</t>
  </si>
  <si>
    <t>Domestic</t>
  </si>
  <si>
    <t>Government</t>
  </si>
  <si>
    <t>Maritime Transportation</t>
  </si>
  <si>
    <t>kg</t>
  </si>
  <si>
    <t>Wood</t>
  </si>
  <si>
    <t>m3</t>
  </si>
  <si>
    <t>Charcoal</t>
  </si>
  <si>
    <t>Lunch</t>
  </si>
  <si>
    <t>Dinner</t>
  </si>
  <si>
    <t>Breakfast</t>
  </si>
  <si>
    <t>FUELWOOD</t>
  </si>
  <si>
    <t>In a day, a household would consume the following amount of fuelwood:</t>
  </si>
  <si>
    <t>In a year, a household consumes</t>
  </si>
  <si>
    <t xml:space="preserve"> 2.5 kg x 365 days =</t>
  </si>
  <si>
    <t>CHARCOAL</t>
  </si>
  <si>
    <t xml:space="preserve"> 1.3 kg x 365 days =</t>
  </si>
  <si>
    <t>Gas (LPG)</t>
  </si>
  <si>
    <t>LPG/Electricity</t>
  </si>
  <si>
    <t>No Cooking</t>
  </si>
  <si>
    <t>Not Stated</t>
  </si>
  <si>
    <t>Fuelwood &amp; charcoal</t>
  </si>
  <si>
    <t>Assuming that:</t>
  </si>
  <si>
    <t>1 TOE =</t>
  </si>
  <si>
    <t>GJ</t>
  </si>
  <si>
    <t>Domestic Air Transportation</t>
  </si>
  <si>
    <t>Biomass</t>
  </si>
  <si>
    <t>Solar Heat</t>
  </si>
  <si>
    <t>SECTOR</t>
  </si>
  <si>
    <t>Share</t>
  </si>
  <si>
    <t>Energy Form</t>
  </si>
  <si>
    <t>Only 0.1% of households use kerosene for cooking in 2010</t>
  </si>
  <si>
    <t>Assuming a consumption of 0.5 litre/day of kerosene for a household</t>
  </si>
  <si>
    <t>0.5 litre x 365 days =</t>
  </si>
  <si>
    <t>Ind&amp;Com</t>
  </si>
  <si>
    <t>TRANSPORTS</t>
  </si>
  <si>
    <t>RESIDENTIAL</t>
  </si>
  <si>
    <t>INDUSTRY</t>
  </si>
  <si>
    <t>Technology</t>
  </si>
  <si>
    <t>Stock Change (+ taking from stock, - feeding into stock)</t>
  </si>
  <si>
    <t xml:space="preserve">Source: </t>
  </si>
  <si>
    <t xml:space="preserve">NBS, Population and Housing Census 2010, </t>
  </si>
  <si>
    <t>6.4 Energy for Lighting and Cooking</t>
  </si>
  <si>
    <t>Based on the Censuses in 2002 and 2010, the table below shows the numbers of households using the speficied energy for cooking.</t>
  </si>
  <si>
    <t xml:space="preserve">Number of households cooking with the </t>
  </si>
  <si>
    <t>specified type of energy in 2002 vs. 2010</t>
  </si>
  <si>
    <t>NATIONAL ENERGY BALANCE FOR 2019</t>
  </si>
  <si>
    <t>Retailers (Residential)</t>
  </si>
  <si>
    <t>SEPEC SUPPLY AND SALES FOR 2019</t>
  </si>
  <si>
    <t>A. Imports SEPEC in 2019</t>
  </si>
  <si>
    <t xml:space="preserve">    1. Stock 01/01/19 SEPEC</t>
  </si>
  <si>
    <t xml:space="preserve">    2. Stock 31/12/19 SEPEC</t>
  </si>
  <si>
    <t>INTERNATIONAL SALES</t>
  </si>
  <si>
    <t>All in Metric Ton and from 01/01/19 to 31/12/19.</t>
  </si>
  <si>
    <t>the original data have been replaced by Actual Sales data from Seypec</t>
  </si>
  <si>
    <t>hence may slightly differ from the original data</t>
  </si>
  <si>
    <t>SEPEC SUPPLY AND SALES FOR 2019 (Original Data)</t>
  </si>
  <si>
    <t>Auto-Producers of Elec</t>
  </si>
  <si>
    <t>Road Transportation (incl SPTC)</t>
  </si>
  <si>
    <t>Marine Transportation</t>
  </si>
  <si>
    <t>Artisanal Fishing</t>
  </si>
  <si>
    <t>PUC Elec Generation</t>
  </si>
  <si>
    <t>Share %</t>
  </si>
  <si>
    <t>Public Services</t>
  </si>
  <si>
    <t>IDC</t>
  </si>
  <si>
    <t>Hotels &amp; IDC</t>
  </si>
  <si>
    <t>AUTO-PRODUCERS OF ELECTRICITY</t>
  </si>
  <si>
    <t>IDC (Island Development Company)</t>
  </si>
  <si>
    <t>IOT (Indian Ocean Tuna)</t>
  </si>
  <si>
    <t>CCCS (Central Common Cold Store)</t>
  </si>
  <si>
    <t>Construction (All Building Contractors)</t>
  </si>
  <si>
    <t>UCPS (United Concrete Products of Seychelles)</t>
  </si>
  <si>
    <t>LA GOGUE DAM EXTENSION PROJECT</t>
  </si>
  <si>
    <t>STC (All its divisions)</t>
  </si>
  <si>
    <t>Consumer (MAHE) - excluding those already listed above*</t>
  </si>
  <si>
    <t xml:space="preserve">ROAD TRANSPORTATION </t>
  </si>
  <si>
    <t>SPTC</t>
  </si>
  <si>
    <t>MARINE TRANSPORTATION</t>
  </si>
  <si>
    <t>All ferries for Passengers (Cat Cocos + Cat Rose + ….)</t>
  </si>
  <si>
    <t>Marine Charter Association + Gondwana</t>
  </si>
  <si>
    <t>All ferries for Cargo (Praslin Hero + Lady Genevieve,…)</t>
  </si>
  <si>
    <t>SeyParadise Offshore</t>
  </si>
  <si>
    <t>PUC elec generation</t>
  </si>
  <si>
    <t>SFA</t>
  </si>
  <si>
    <t>Retail Stations</t>
  </si>
  <si>
    <t>SLTA (Seychelles Land Transport Agency)</t>
  </si>
  <si>
    <t>Police + Army Camp + SPDF+Firebrigade</t>
  </si>
  <si>
    <t>Air Seychelles (Domestic) + IDC Air + SPDF Air + Helicopters</t>
  </si>
  <si>
    <t>Ports Authority</t>
  </si>
  <si>
    <t>Coast Guards</t>
  </si>
  <si>
    <t>Government/Public services (All org not listed in the preceding sheet)</t>
  </si>
  <si>
    <t>Airport/SCCA</t>
  </si>
  <si>
    <t>Retailer (MAHE)</t>
  </si>
  <si>
    <t>Retailer (PRASLIN)</t>
  </si>
  <si>
    <t>ARTISANAL FISHING</t>
  </si>
  <si>
    <t>TOTAL for Gasoil</t>
  </si>
  <si>
    <t>sub-total</t>
  </si>
  <si>
    <t>ROAD TRANSPORTATION</t>
  </si>
  <si>
    <t>Retailer (MAHE&amp;PRASLIN)</t>
  </si>
  <si>
    <t>TOTAL for Gasoline</t>
  </si>
  <si>
    <t>VENTILATION OF GASOIL</t>
  </si>
  <si>
    <t>VENTILATION OF GASOLINE</t>
  </si>
  <si>
    <t>SUMMARY</t>
  </si>
  <si>
    <t>VENTILATION OF LPG</t>
  </si>
  <si>
    <t>Consumer</t>
  </si>
  <si>
    <t>SEYBREW (Seychelles Breweries)</t>
  </si>
  <si>
    <t>Public services</t>
  </si>
  <si>
    <t>RESIDENTIAL SECTOR</t>
  </si>
  <si>
    <t>TOTAL for LPG</t>
  </si>
  <si>
    <t>VENTILATION OF JET A-1</t>
  </si>
  <si>
    <t>SPDF</t>
  </si>
  <si>
    <t>Air Seychelles (Domestic) + Helicopters</t>
  </si>
  <si>
    <t>AIR TRANSPORTATION</t>
  </si>
  <si>
    <t xml:space="preserve">Consumer (MAHE) </t>
  </si>
  <si>
    <t>VENTILATION OF KEROSENE</t>
  </si>
  <si>
    <t>Air Sey&amp;Helicopters</t>
  </si>
  <si>
    <t>VENTILATION OF HEAVY FUEL OIL</t>
  </si>
  <si>
    <t>ELECTRICITY GENERATION BY PUC</t>
  </si>
  <si>
    <t>SEYPEC Ventilation Rule of Thumb for LPG</t>
  </si>
  <si>
    <t>SEYPEC Ventilation Rule of Thumb for Gasoil</t>
  </si>
  <si>
    <t>Hotel Auto-producers</t>
  </si>
  <si>
    <t>…</t>
  </si>
  <si>
    <t>?? We don't know if some small quantities of gasoline</t>
  </si>
  <si>
    <t>is used in small fishermen boats</t>
  </si>
  <si>
    <t>These data are used by the Energy Balance sheet in the upper part</t>
  </si>
  <si>
    <t xml:space="preserve">Retailer (MAHE) </t>
  </si>
  <si>
    <t xml:space="preserve">Retailer (PRASLIN) </t>
  </si>
  <si>
    <t xml:space="preserve">Government/Public services </t>
  </si>
  <si>
    <t>TOTAL for Jet A-1</t>
  </si>
  <si>
    <t>TOTAL for HFO</t>
  </si>
  <si>
    <t>Renewable</t>
  </si>
  <si>
    <t>Auto-producers (LFO)</t>
  </si>
  <si>
    <t>On-grid Solar PV</t>
  </si>
  <si>
    <t>Off-grid Solar PV</t>
  </si>
  <si>
    <t>WIND FARM</t>
  </si>
  <si>
    <t>Year: 2019</t>
  </si>
  <si>
    <t>Density</t>
  </si>
  <si>
    <t>TOE/ton</t>
  </si>
  <si>
    <t>kg/L</t>
  </si>
  <si>
    <t>NCV</t>
  </si>
  <si>
    <t>GJ/kg</t>
  </si>
  <si>
    <t>ELECTRICITY STATISTICS</t>
  </si>
  <si>
    <t>1. ELECTRICITY GENERATION (PUC )</t>
  </si>
  <si>
    <t>L</t>
  </si>
  <si>
    <t>CF</t>
  </si>
  <si>
    <t>Full-Load Hours</t>
  </si>
  <si>
    <t>FLH:</t>
  </si>
  <si>
    <t>CF:</t>
  </si>
  <si>
    <t>Energy Generated</t>
  </si>
  <si>
    <t>Grid-Connected PV Plants</t>
  </si>
  <si>
    <t>Off-Grid PV Plants</t>
  </si>
  <si>
    <t>ELECTRICITY GENERATION MIX IN PUC</t>
  </si>
  <si>
    <t>Diesel- Heavy Fuel Oil</t>
  </si>
  <si>
    <t>Diesel- Light Fuel Oil</t>
  </si>
  <si>
    <t>Wind Farm</t>
  </si>
  <si>
    <t>Ile De Romainville &amp;</t>
  </si>
  <si>
    <t>Ile du Port</t>
  </si>
  <si>
    <t>Auto-Producer</t>
  </si>
  <si>
    <t>Industrial Sector</t>
  </si>
  <si>
    <t>Commercial Sector</t>
  </si>
  <si>
    <t>IDC (Island Developmt Co.)</t>
  </si>
  <si>
    <t>CCCS*</t>
  </si>
  <si>
    <t>* Central Common Cold Store</t>
  </si>
  <si>
    <r>
      <t xml:space="preserve">kWh/L </t>
    </r>
    <r>
      <rPr>
        <vertAlign val="superscript"/>
        <sz val="10"/>
        <color theme="1"/>
        <rFont val="Calibri"/>
        <family val="2"/>
        <scheme val="minor"/>
      </rPr>
      <t>(a)</t>
    </r>
  </si>
  <si>
    <t>(a) the value of 3.5 kWh/L is based on average in hotels</t>
  </si>
  <si>
    <t>Prepaid</t>
  </si>
  <si>
    <t>Industrial &amp; Commercial HV</t>
  </si>
  <si>
    <t>Industrial &amp; Commercial C1 &amp; C3</t>
  </si>
  <si>
    <r>
      <rPr>
        <b/>
        <sz val="11"/>
        <color theme="1"/>
        <rFont val="Calibri"/>
        <family val="2"/>
        <scheme val="minor"/>
      </rPr>
      <t xml:space="preserve">Industrial sector </t>
    </r>
    <r>
      <rPr>
        <sz val="11"/>
        <color theme="1"/>
        <rFont val="Calibri"/>
        <family val="2"/>
        <scheme val="minor"/>
      </rPr>
      <t>(27% of Ind&amp;Com)</t>
    </r>
  </si>
  <si>
    <r>
      <rPr>
        <b/>
        <sz val="11"/>
        <color theme="1"/>
        <rFont val="Calibri"/>
        <family val="2"/>
        <scheme val="minor"/>
      </rPr>
      <t xml:space="preserve">Private Services </t>
    </r>
    <r>
      <rPr>
        <sz val="11"/>
        <color theme="1"/>
        <rFont val="Calibri"/>
        <family val="2"/>
        <scheme val="minor"/>
      </rPr>
      <t>(73% of Ind&amp;Com)</t>
    </r>
  </si>
  <si>
    <t>Auto-Prod</t>
  </si>
  <si>
    <t xml:space="preserve">4. TOTAL ELECTRICITY CONSUMPTION BY SECTOR (FROM PUC &amp; AUTO-PRODUCERS) </t>
  </si>
  <si>
    <t>Statistical Difference in %</t>
  </si>
  <si>
    <t>Petroleum Fuel</t>
  </si>
  <si>
    <t>Biomass&amp;Heat</t>
  </si>
  <si>
    <t>Electricity Generation Mix</t>
  </si>
  <si>
    <t>PUC (HFO &amp; LFO)</t>
  </si>
  <si>
    <t>Share of Renewable in Elec Generation</t>
  </si>
  <si>
    <t>Shares of Sectors in FEC</t>
  </si>
  <si>
    <t>PRIMARY ENERGY CONSUMPTION  (PEC)</t>
  </si>
  <si>
    <t>FINAL ENERGY CONSUMPTION  (FEC)</t>
  </si>
  <si>
    <t>If Auto-producers are Not included</t>
  </si>
  <si>
    <t>If Auto-producers are Included</t>
  </si>
  <si>
    <t>YEAR:            2019</t>
  </si>
  <si>
    <t>SECTORIAL FINAL ENERGY CONSUMPTION</t>
  </si>
  <si>
    <t>On Mahe</t>
  </si>
  <si>
    <t>On Praslin</t>
  </si>
  <si>
    <t>On La Digue</t>
  </si>
  <si>
    <t>On Aldabra (SIF Research Centre)</t>
  </si>
  <si>
    <t>On Alphonse (IDC)</t>
  </si>
  <si>
    <t>On Curieuse (Environment Div)</t>
  </si>
  <si>
    <t>Annual Op. Hours</t>
  </si>
  <si>
    <t>Station Consumption</t>
  </si>
  <si>
    <t>Baie Ste Anne - Praslin</t>
  </si>
  <si>
    <t>Victoria C - Mahe</t>
  </si>
  <si>
    <t>Victoria B - Mahe</t>
  </si>
  <si>
    <t>Summary of Energy Flows by Island in GWh</t>
  </si>
  <si>
    <r>
      <t>Total (</t>
    </r>
    <r>
      <rPr>
        <b/>
        <sz val="10"/>
        <color rgb="FFFF0000"/>
        <rFont val="Calibri"/>
        <family val="2"/>
        <scheme val="minor"/>
      </rPr>
      <t>TOE</t>
    </r>
    <r>
      <rPr>
        <b/>
        <sz val="10"/>
        <color theme="1"/>
        <rFont val="Calibri"/>
        <family val="2"/>
        <scheme val="minor"/>
      </rPr>
      <t>)</t>
    </r>
  </si>
  <si>
    <t>LFO Savings due to RE on ML</t>
  </si>
  <si>
    <t>ML: million litres</t>
  </si>
  <si>
    <t>Column1</t>
  </si>
  <si>
    <t>2. ELECTRICITY SALES BY PUC</t>
  </si>
  <si>
    <t>3. ELECTRICITY GENERATION (AUTO-PRODUCERS )</t>
  </si>
  <si>
    <t>Total2</t>
  </si>
  <si>
    <t>Fuel  Density kg/L</t>
  </si>
  <si>
    <t>Source: SEYPEC</t>
  </si>
  <si>
    <t>Source: PUC Tariff review</t>
  </si>
  <si>
    <t>Conversion</t>
  </si>
  <si>
    <t>Factor</t>
  </si>
  <si>
    <t>NCV: Net Calorific Value</t>
  </si>
  <si>
    <t>Unit: TOE (Tonne of Oil Equivalent)</t>
  </si>
  <si>
    <t>In the Residential sector, the percentage of households cooking with biomass (wood or charcoal) has decreased from 1% to 0.5% between 2002 and 2010.</t>
  </si>
  <si>
    <t>Assuming that cooking a lunch or a dinner for a household requires 1 kg of fuel wood, and a breakfast requires 0.5 kg</t>
  </si>
  <si>
    <t>Assuming that cooking a lunch or a dinner for a household requires 0.5 kg of charcoal, and a breakfast requires 0.3 kg</t>
  </si>
  <si>
    <t xml:space="preserve">kg </t>
  </si>
  <si>
    <t>Year</t>
  </si>
  <si>
    <t>Population</t>
  </si>
  <si>
    <t>Households</t>
  </si>
  <si>
    <t>Average Household size</t>
  </si>
  <si>
    <t>ton</t>
  </si>
  <si>
    <t>Density of wood:</t>
  </si>
  <si>
    <t>0.5 g/cm3  or  0.5 ton/m3</t>
  </si>
  <si>
    <t>Net Calorific Value of wood: 0.233 TOE/m3</t>
  </si>
  <si>
    <t>Density of charcoal = 208 kg/m3</t>
  </si>
  <si>
    <r>
      <t xml:space="preserve">Net Calorific Value of charcoal: </t>
    </r>
    <r>
      <rPr>
        <b/>
        <sz val="10"/>
        <color theme="1"/>
        <rFont val="Calibri"/>
        <family val="2"/>
        <scheme val="minor"/>
      </rPr>
      <t>0.69 TOE/ton</t>
    </r>
  </si>
  <si>
    <t>TOE/hh.yr</t>
  </si>
  <si>
    <t>HH cooking with Wood 0.5%</t>
  </si>
  <si>
    <t>HH cooking with Charcoal 0.04%</t>
  </si>
  <si>
    <t>Density of Kerosene:</t>
  </si>
  <si>
    <t>0.784 kg/L</t>
  </si>
  <si>
    <t>L/hh.yr</t>
  </si>
  <si>
    <r>
      <t>Net Calorific Value of Kerosene: 1</t>
    </r>
    <r>
      <rPr>
        <b/>
        <sz val="10"/>
        <color theme="1"/>
        <rFont val="Calibri"/>
        <family val="2"/>
        <scheme val="minor"/>
      </rPr>
      <t>.045 TOE/ton</t>
    </r>
  </si>
  <si>
    <t>kg/hh.yr</t>
  </si>
  <si>
    <t>HH cooking with kerosene 0.1%</t>
  </si>
  <si>
    <t>Consumption of Kerosene in TOE</t>
  </si>
  <si>
    <t>Consumption of Charcoal in TOE</t>
  </si>
  <si>
    <t>Consumption of Fuelwood in TOE</t>
  </si>
  <si>
    <t>Only 0.5% of households used fuelwood for cooking in 2010</t>
  </si>
  <si>
    <t>Only 0.04% of households used charcoal for cooking in 2010</t>
  </si>
  <si>
    <t>Model for Estimation of Consumption of Biomass and Kerosene in the Residential sector</t>
  </si>
  <si>
    <t>Energy for cooking</t>
  </si>
  <si>
    <t>Estimation of Solar Heat Use in the Residential sector</t>
  </si>
  <si>
    <t>Solar collector size:</t>
  </si>
  <si>
    <t>Storage tank size:</t>
  </si>
  <si>
    <t>Average temperature of cold water from the mains:</t>
  </si>
  <si>
    <t>specific heat of water</t>
  </si>
  <si>
    <t>Q = m.Cp.(T2-T1)</t>
  </si>
  <si>
    <t xml:space="preserve">Heat required annually to assure each day the availability of this hot water </t>
  </si>
  <si>
    <t>HH: household</t>
  </si>
  <si>
    <t>SWH: solar water heater</t>
  </si>
  <si>
    <t>HH using a SWH 16.7%</t>
  </si>
  <si>
    <t>TOE/yr.swh</t>
  </si>
  <si>
    <t>kJ/day.swh</t>
  </si>
  <si>
    <t>GJ/yr.swh</t>
  </si>
  <si>
    <t>Maximum temperature of hot water reached in the evening:</t>
  </si>
  <si>
    <t>Heat required to heat this amount of water to 43 C</t>
  </si>
  <si>
    <t>Maximum amount of heat required annually for 1 solar water heater</t>
  </si>
  <si>
    <t>To take this into account, the number of full load hours for SWH is used</t>
  </si>
  <si>
    <t>hrs/yr</t>
  </si>
  <si>
    <t>The corresponding capacity factor is</t>
  </si>
  <si>
    <t>Heat actually provided by solar water heaters</t>
  </si>
  <si>
    <t>Solar Heat in TOE</t>
  </si>
  <si>
    <t>In practice, due to the fluctuations of solar radiation, for some days the temperature is lower in the range of 32-40C</t>
  </si>
  <si>
    <t>In 2010, the total number of households was 24,770, based on the sample above there would be in the whole country roughly 4141 SWH</t>
  </si>
  <si>
    <t>In 2010, in 9953 households surveyed, 1664 households were equipped with a solar water heater, which represents 16.7% of households</t>
  </si>
  <si>
    <t>From past experience this is the maximum temperature which may reach in some extremely sunny days in Seychelles after mixing well the hot water</t>
  </si>
  <si>
    <t>Cp = 4.182</t>
  </si>
  <si>
    <t>kJ/kg.K</t>
  </si>
  <si>
    <t>Breakdown of Primar Energy Cons</t>
  </si>
  <si>
    <t>Breakdown of Final Energy Consum</t>
  </si>
  <si>
    <t>Electricity from HFO &amp; LFO</t>
  </si>
  <si>
    <t>Electricity from renewable</t>
  </si>
  <si>
    <t>GDP</t>
  </si>
  <si>
    <t>Per Capita PEC in TOE</t>
  </si>
  <si>
    <t xml:space="preserve">Million SCR, 2006 market price </t>
  </si>
  <si>
    <t>Primary energy Intensity</t>
  </si>
  <si>
    <t>Structure of Primary Energy Consumption in 2019</t>
  </si>
  <si>
    <t>Structure of Final Energy Consumption in 2019</t>
  </si>
  <si>
    <t>Fuelwood &amp; Charcoal</t>
  </si>
  <si>
    <t>Airport/SCAA</t>
  </si>
  <si>
    <t>La Digue</t>
  </si>
  <si>
    <t>Fossile Fuel</t>
  </si>
  <si>
    <t>Renewable Energy</t>
  </si>
  <si>
    <t>FOSSILE FUEL SOURCES</t>
  </si>
  <si>
    <t>RENEWABLE ENERGY SOURCES</t>
  </si>
  <si>
    <t>generated with HFO</t>
  </si>
  <si>
    <t>generated with LFO</t>
  </si>
  <si>
    <t>total generated HFP+LFO</t>
  </si>
  <si>
    <t>Stations Units</t>
  </si>
  <si>
    <t>Sent Out</t>
  </si>
  <si>
    <t>generated with Wind</t>
  </si>
  <si>
    <t>generated with Solar PV</t>
  </si>
  <si>
    <t>Electricity required to heat 200L from 30 to 43 C</t>
  </si>
  <si>
    <t>kWh/day.swh</t>
  </si>
  <si>
    <t>1 kWh= 1 kW x 1h  = 1 kJ/s x 3600s = 3600 kJ</t>
  </si>
  <si>
    <t>kWh/yr</t>
  </si>
  <si>
    <t>Energy Savings</t>
  </si>
  <si>
    <t>Avoided CO2 emissions</t>
  </si>
  <si>
    <t>kg CO2/yr.swh</t>
  </si>
  <si>
    <t>Service share</t>
  </si>
  <si>
    <t>is estimated as 55% of Com &amp; Ind in 2019.</t>
  </si>
  <si>
    <t>as per data for tariff review in 2020, consumption of Tourism is assumed as of Comercial High Voltage</t>
  </si>
  <si>
    <t>MAED Projection for 2019 (reconstruction of base year)</t>
  </si>
  <si>
    <t>Fossil fuels</t>
  </si>
  <si>
    <t>Motor fuels</t>
  </si>
  <si>
    <t>TOO MUCH Motor Fuel</t>
  </si>
  <si>
    <t>OK  (also OK elec from auto-producers)</t>
  </si>
  <si>
    <t>reduce them by</t>
  </si>
</sst>
</file>

<file path=xl/styles.xml><?xml version="1.0" encoding="utf-8"?>
<styleSheet xmlns="http://schemas.openxmlformats.org/spreadsheetml/2006/main">
  <numFmts count="12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  <numFmt numFmtId="168" formatCode="_(* #,##0.0_);_(* \(#,##0.0\);_(* &quot;-&quot;??_);_(@_)"/>
    <numFmt numFmtId="169" formatCode="_(* #,##0.000_);_(* \(#,##0.000\);_(* &quot;-&quot;??_);_(@_)"/>
    <numFmt numFmtId="170" formatCode="0.000%"/>
    <numFmt numFmtId="171" formatCode="0_)"/>
    <numFmt numFmtId="172" formatCode="#,##0_ ;\-#,##0\ "/>
    <numFmt numFmtId="173" formatCode="0.000"/>
    <numFmt numFmtId="174" formatCode="#,##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Maiandra GD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 val="singleAccounting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9" fillId="0" borderId="0"/>
    <xf numFmtId="0" fontId="1" fillId="0" borderId="0"/>
  </cellStyleXfs>
  <cellXfs count="857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164" fontId="0" fillId="0" borderId="0" xfId="2" applyFont="1"/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164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0" fontId="3" fillId="0" borderId="0" xfId="0" applyFont="1" applyAlignment="1">
      <alignment horizontal="center"/>
    </xf>
    <xf numFmtId="0" fontId="0" fillId="7" borderId="0" xfId="0" applyFill="1"/>
    <xf numFmtId="0" fontId="0" fillId="8" borderId="6" xfId="0" applyFill="1" applyBorder="1"/>
    <xf numFmtId="0" fontId="0" fillId="8" borderId="0" xfId="0" applyFill="1" applyBorder="1"/>
    <xf numFmtId="0" fontId="0" fillId="0" borderId="5" xfId="0" applyBorder="1"/>
    <xf numFmtId="0" fontId="2" fillId="0" borderId="7" xfId="0" applyFont="1" applyBorder="1"/>
    <xf numFmtId="0" fontId="0" fillId="0" borderId="0" xfId="0" applyFont="1"/>
    <xf numFmtId="0" fontId="0" fillId="0" borderId="0" xfId="0" applyBorder="1"/>
    <xf numFmtId="164" fontId="2" fillId="0" borderId="0" xfId="2" applyFont="1"/>
    <xf numFmtId="0" fontId="0" fillId="0" borderId="0" xfId="0" applyAlignment="1">
      <alignment horizontal="right"/>
    </xf>
    <xf numFmtId="9" fontId="0" fillId="0" borderId="0" xfId="1" applyFont="1"/>
    <xf numFmtId="0" fontId="12" fillId="0" borderId="0" xfId="0" applyFont="1"/>
    <xf numFmtId="168" fontId="0" fillId="0" borderId="0" xfId="0" applyNumberFormat="1" applyBorder="1"/>
    <xf numFmtId="0" fontId="0" fillId="2" borderId="15" xfId="0" applyFill="1" applyBorder="1"/>
    <xf numFmtId="168" fontId="0" fillId="0" borderId="8" xfId="2" applyNumberFormat="1" applyFont="1" applyBorder="1"/>
    <xf numFmtId="0" fontId="0" fillId="2" borderId="8" xfId="0" applyFill="1" applyBorder="1"/>
    <xf numFmtId="168" fontId="0" fillId="2" borderId="8" xfId="0" applyNumberFormat="1" applyFill="1" applyBorder="1"/>
    <xf numFmtId="168" fontId="2" fillId="12" borderId="8" xfId="2" applyNumberFormat="1" applyFont="1" applyFill="1" applyBorder="1"/>
    <xf numFmtId="0" fontId="0" fillId="2" borderId="19" xfId="0" applyFill="1" applyBorder="1"/>
    <xf numFmtId="168" fontId="0" fillId="0" borderId="0" xfId="2" applyNumberFormat="1" applyFont="1" applyBorder="1"/>
    <xf numFmtId="164" fontId="2" fillId="12" borderId="0" xfId="2" applyFont="1" applyFill="1" applyBorder="1"/>
    <xf numFmtId="0" fontId="0" fillId="2" borderId="0" xfId="0" applyFill="1" applyBorder="1"/>
    <xf numFmtId="166" fontId="0" fillId="0" borderId="0" xfId="2" applyNumberFormat="1" applyFont="1" applyBorder="1"/>
    <xf numFmtId="165" fontId="0" fillId="0" borderId="0" xfId="1" applyNumberFormat="1" applyFont="1" applyBorder="1"/>
    <xf numFmtId="166" fontId="0" fillId="0" borderId="0" xfId="0" applyNumberFormat="1" applyBorder="1"/>
    <xf numFmtId="164" fontId="0" fillId="0" borderId="0" xfId="0" applyNumberFormat="1" applyBorder="1"/>
    <xf numFmtId="168" fontId="0" fillId="0" borderId="0" xfId="1" applyNumberFormat="1" applyFont="1" applyBorder="1"/>
    <xf numFmtId="168" fontId="2" fillId="12" borderId="0" xfId="2" applyNumberFormat="1" applyFont="1" applyFill="1" applyBorder="1"/>
    <xf numFmtId="164" fontId="0" fillId="11" borderId="0" xfId="0" applyNumberFormat="1" applyFill="1" applyBorder="1"/>
    <xf numFmtId="0" fontId="0" fillId="11" borderId="0" xfId="0" applyFill="1" applyBorder="1"/>
    <xf numFmtId="168" fontId="0" fillId="2" borderId="0" xfId="0" applyNumberFormat="1" applyFill="1" applyBorder="1"/>
    <xf numFmtId="168" fontId="0" fillId="0" borderId="18" xfId="0" applyNumberFormat="1" applyBorder="1"/>
    <xf numFmtId="168" fontId="0" fillId="11" borderId="0" xfId="2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10" fontId="0" fillId="0" borderId="0" xfId="1" applyNumberFormat="1" applyFont="1"/>
    <xf numFmtId="0" fontId="0" fillId="0" borderId="0" xfId="0" quotePrefix="1"/>
    <xf numFmtId="0" fontId="13" fillId="0" borderId="1" xfId="0" applyFont="1" applyBorder="1" applyAlignment="1">
      <alignment horizontal="center" vertical="center"/>
    </xf>
    <xf numFmtId="0" fontId="0" fillId="0" borderId="18" xfId="0" applyBorder="1"/>
    <xf numFmtId="0" fontId="9" fillId="0" borderId="0" xfId="0" applyFont="1" applyFill="1"/>
    <xf numFmtId="0" fontId="0" fillId="0" borderId="1" xfId="0" applyBorder="1" applyAlignment="1">
      <alignment horizontal="center"/>
    </xf>
    <xf numFmtId="0" fontId="0" fillId="11" borderId="0" xfId="0" applyFill="1"/>
    <xf numFmtId="165" fontId="0" fillId="0" borderId="1" xfId="1" applyNumberFormat="1" applyFont="1" applyBorder="1"/>
    <xf numFmtId="0" fontId="18" fillId="0" borderId="0" xfId="0" applyFont="1"/>
    <xf numFmtId="171" fontId="14" fillId="0" borderId="0" xfId="0" applyNumberFormat="1" applyFont="1" applyAlignment="1">
      <alignment vertical="center"/>
    </xf>
    <xf numFmtId="171" fontId="14" fillId="0" borderId="0" xfId="0" applyNumberFormat="1" applyFont="1" applyAlignment="1" applyProtection="1">
      <alignment horizontal="left" vertical="center"/>
    </xf>
    <xf numFmtId="164" fontId="0" fillId="0" borderId="0" xfId="2" applyFont="1" applyBorder="1"/>
    <xf numFmtId="166" fontId="2" fillId="7" borderId="0" xfId="0" applyNumberFormat="1" applyFont="1" applyFill="1"/>
    <xf numFmtId="168" fontId="15" fillId="12" borderId="1" xfId="2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165" fontId="0" fillId="11" borderId="0" xfId="1" applyNumberFormat="1" applyFont="1" applyFill="1"/>
    <xf numFmtId="0" fontId="2" fillId="11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0" xfId="0" applyFill="1"/>
    <xf numFmtId="171" fontId="14" fillId="0" borderId="0" xfId="0" applyNumberFormat="1" applyFont="1" applyBorder="1"/>
    <xf numFmtId="0" fontId="3" fillId="0" borderId="0" xfId="0" applyFont="1"/>
    <xf numFmtId="166" fontId="8" fillId="0" borderId="0" xfId="2" applyNumberFormat="1" applyFont="1"/>
    <xf numFmtId="166" fontId="0" fillId="0" borderId="1" xfId="2" applyNumberFormat="1" applyFont="1" applyBorder="1"/>
    <xf numFmtId="166" fontId="2" fillId="0" borderId="1" xfId="0" applyNumberFormat="1" applyFont="1" applyBorder="1"/>
    <xf numFmtId="10" fontId="0" fillId="0" borderId="1" xfId="1" applyNumberFormat="1" applyFont="1" applyBorder="1"/>
    <xf numFmtId="170" fontId="0" fillId="0" borderId="1" xfId="1" applyNumberFormat="1" applyFont="1" applyBorder="1"/>
    <xf numFmtId="168" fontId="0" fillId="0" borderId="0" xfId="2" applyNumberFormat="1" applyFont="1"/>
    <xf numFmtId="0" fontId="15" fillId="0" borderId="0" xfId="0" applyFont="1"/>
    <xf numFmtId="0" fontId="9" fillId="0" borderId="0" xfId="0" applyFont="1"/>
    <xf numFmtId="0" fontId="19" fillId="0" borderId="0" xfId="0" applyFont="1"/>
    <xf numFmtId="0" fontId="11" fillId="0" borderId="0" xfId="0" applyFont="1"/>
    <xf numFmtId="0" fontId="20" fillId="16" borderId="0" xfId="0" applyFont="1" applyFill="1" applyBorder="1" applyAlignment="1">
      <alignment horizontal="left" vertical="center" wrapText="1"/>
    </xf>
    <xf numFmtId="0" fontId="20" fillId="16" borderId="0" xfId="0" applyFont="1" applyFill="1" applyBorder="1" applyAlignment="1">
      <alignment horizontal="center" vertical="center" wrapText="1"/>
    </xf>
    <xf numFmtId="166" fontId="2" fillId="0" borderId="0" xfId="2" applyNumberFormat="1" applyFont="1"/>
    <xf numFmtId="0" fontId="0" fillId="0" borderId="2" xfId="0" quotePrefix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3" fillId="11" borderId="0" xfId="0" applyFont="1" applyFill="1" applyBorder="1"/>
    <xf numFmtId="170" fontId="0" fillId="0" borderId="0" xfId="1" applyNumberFormat="1" applyFont="1"/>
    <xf numFmtId="0" fontId="23" fillId="0" borderId="1" xfId="0" applyFont="1" applyBorder="1" applyAlignment="1">
      <alignment horizontal="center"/>
    </xf>
    <xf numFmtId="166" fontId="0" fillId="11" borderId="0" xfId="2" applyNumberFormat="1" applyFont="1" applyFill="1" applyBorder="1"/>
    <xf numFmtId="166" fontId="0" fillId="11" borderId="0" xfId="0" applyNumberFormat="1" applyFill="1" applyBorder="1"/>
    <xf numFmtId="0" fontId="0" fillId="19" borderId="0" xfId="0" applyFill="1"/>
    <xf numFmtId="0" fontId="24" fillId="0" borderId="0" xfId="0" applyFont="1"/>
    <xf numFmtId="0" fontId="25" fillId="0" borderId="0" xfId="0" applyFont="1"/>
    <xf numFmtId="164" fontId="22" fillId="14" borderId="0" xfId="2" applyFont="1" applyFill="1" applyBorder="1"/>
    <xf numFmtId="164" fontId="22" fillId="14" borderId="8" xfId="2" applyFont="1" applyFill="1" applyBorder="1"/>
    <xf numFmtId="164" fontId="2" fillId="14" borderId="18" xfId="2" applyFont="1" applyFill="1" applyBorder="1"/>
    <xf numFmtId="164" fontId="2" fillId="14" borderId="17" xfId="2" applyFont="1" applyFill="1" applyBorder="1"/>
    <xf numFmtId="168" fontId="12" fillId="11" borderId="0" xfId="2" applyNumberFormat="1" applyFont="1" applyFill="1" applyBorder="1"/>
    <xf numFmtId="0" fontId="0" fillId="0" borderId="14" xfId="0" applyBorder="1"/>
    <xf numFmtId="0" fontId="0" fillId="0" borderId="19" xfId="0" applyBorder="1"/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164" fontId="0" fillId="0" borderId="8" xfId="2" applyFont="1" applyBorder="1"/>
    <xf numFmtId="0" fontId="0" fillId="14" borderId="6" xfId="0" applyFill="1" applyBorder="1"/>
    <xf numFmtId="0" fontId="0" fillId="14" borderId="0" xfId="0" applyFill="1" applyBorder="1"/>
    <xf numFmtId="164" fontId="9" fillId="14" borderId="0" xfId="2" applyFont="1" applyFill="1" applyBorder="1"/>
    <xf numFmtId="164" fontId="9" fillId="0" borderId="0" xfId="2" applyFont="1" applyBorder="1"/>
    <xf numFmtId="164" fontId="9" fillId="0" borderId="8" xfId="2" applyFont="1" applyBorder="1"/>
    <xf numFmtId="164" fontId="25" fillId="0" borderId="0" xfId="2" applyFont="1" applyBorder="1"/>
    <xf numFmtId="164" fontId="26" fillId="0" borderId="0" xfId="2" applyFont="1" applyBorder="1"/>
    <xf numFmtId="164" fontId="25" fillId="0" borderId="8" xfId="2" applyFont="1" applyBorder="1"/>
    <xf numFmtId="0" fontId="0" fillId="14" borderId="18" xfId="0" applyFill="1" applyBorder="1"/>
    <xf numFmtId="0" fontId="2" fillId="0" borderId="7" xfId="0" applyFont="1" applyBorder="1" applyAlignment="1">
      <alignment horizontal="center"/>
    </xf>
    <xf numFmtId="164" fontId="0" fillId="0" borderId="5" xfId="2" applyFont="1" applyBorder="1"/>
    <xf numFmtId="164" fontId="9" fillId="14" borderId="5" xfId="2" applyFont="1" applyFill="1" applyBorder="1"/>
    <xf numFmtId="164" fontId="9" fillId="0" borderId="5" xfId="2" applyFont="1" applyBorder="1"/>
    <xf numFmtId="164" fontId="25" fillId="0" borderId="5" xfId="2" applyFont="1" applyBorder="1"/>
    <xf numFmtId="164" fontId="2" fillId="14" borderId="13" xfId="2" applyFont="1" applyFill="1" applyBorder="1"/>
    <xf numFmtId="164" fontId="26" fillId="0" borderId="5" xfId="2" applyFont="1" applyBorder="1"/>
    <xf numFmtId="164" fontId="22" fillId="14" borderId="5" xfId="2" applyFont="1" applyFill="1" applyBorder="1"/>
    <xf numFmtId="0" fontId="17" fillId="14" borderId="6" xfId="0" applyFont="1" applyFill="1" applyBorder="1"/>
    <xf numFmtId="171" fontId="1" fillId="14" borderId="8" xfId="0" applyNumberFormat="1" applyFont="1" applyFill="1" applyBorder="1" applyAlignment="1">
      <alignment vertical="center"/>
    </xf>
    <xf numFmtId="171" fontId="1" fillId="0" borderId="8" xfId="0" applyNumberFormat="1" applyFont="1" applyBorder="1" applyAlignment="1">
      <alignment vertical="center"/>
    </xf>
    <xf numFmtId="164" fontId="1" fillId="14" borderId="5" xfId="2" applyFont="1" applyFill="1" applyBorder="1"/>
    <xf numFmtId="164" fontId="1" fillId="14" borderId="0" xfId="2" applyFont="1" applyFill="1" applyBorder="1"/>
    <xf numFmtId="164" fontId="1" fillId="14" borderId="8" xfId="2" applyFont="1" applyFill="1" applyBorder="1"/>
    <xf numFmtId="164" fontId="1" fillId="0" borderId="5" xfId="2" applyFont="1" applyBorder="1"/>
    <xf numFmtId="164" fontId="1" fillId="0" borderId="0" xfId="2" applyFont="1" applyBorder="1"/>
    <xf numFmtId="164" fontId="1" fillId="0" borderId="8" xfId="2" applyFont="1" applyBorder="1"/>
    <xf numFmtId="166" fontId="16" fillId="14" borderId="5" xfId="2" applyNumberFormat="1" applyFont="1" applyFill="1" applyBorder="1" applyAlignment="1" applyProtection="1">
      <alignment vertical="center"/>
    </xf>
    <xf numFmtId="166" fontId="16" fillId="14" borderId="0" xfId="2" applyNumberFormat="1" applyFont="1" applyFill="1" applyBorder="1" applyAlignment="1">
      <alignment vertical="center"/>
    </xf>
    <xf numFmtId="166" fontId="16" fillId="14" borderId="5" xfId="2" applyNumberFormat="1" applyFont="1" applyFill="1" applyBorder="1" applyAlignment="1">
      <alignment vertical="center"/>
    </xf>
    <xf numFmtId="166" fontId="16" fillId="0" borderId="5" xfId="2" applyNumberFormat="1" applyFont="1" applyBorder="1" applyAlignment="1" applyProtection="1">
      <alignment vertical="center"/>
    </xf>
    <xf numFmtId="166" fontId="16" fillId="0" borderId="0" xfId="2" applyNumberFormat="1" applyFont="1" applyBorder="1" applyAlignment="1" applyProtection="1">
      <alignment vertical="center"/>
    </xf>
    <xf numFmtId="166" fontId="16" fillId="0" borderId="5" xfId="2" applyNumberFormat="1" applyFont="1" applyBorder="1" applyAlignment="1">
      <alignment vertical="center"/>
    </xf>
    <xf numFmtId="166" fontId="16" fillId="0" borderId="0" xfId="2" applyNumberFormat="1" applyFont="1" applyBorder="1" applyAlignment="1">
      <alignment vertical="center"/>
    </xf>
    <xf numFmtId="166" fontId="16" fillId="0" borderId="8" xfId="2" applyNumberFormat="1" applyFont="1" applyBorder="1" applyAlignment="1">
      <alignment vertical="center"/>
    </xf>
    <xf numFmtId="0" fontId="2" fillId="14" borderId="6" xfId="0" applyFont="1" applyFill="1" applyBorder="1"/>
    <xf numFmtId="0" fontId="2" fillId="14" borderId="0" xfId="0" applyFont="1" applyFill="1" applyBorder="1"/>
    <xf numFmtId="164" fontId="11" fillId="0" borderId="0" xfId="2" applyFont="1" applyBorder="1"/>
    <xf numFmtId="164" fontId="11" fillId="0" borderId="8" xfId="2" applyFont="1" applyBorder="1"/>
    <xf numFmtId="164" fontId="11" fillId="0" borderId="5" xfId="2" applyFont="1" applyBorder="1"/>
    <xf numFmtId="0" fontId="2" fillId="14" borderId="16" xfId="0" applyFont="1" applyFill="1" applyBorder="1"/>
    <xf numFmtId="0" fontId="8" fillId="5" borderId="4" xfId="0" applyFont="1" applyFill="1" applyBorder="1"/>
    <xf numFmtId="0" fontId="22" fillId="5" borderId="2" xfId="0" applyFont="1" applyFill="1" applyBorder="1"/>
    <xf numFmtId="164" fontId="11" fillId="8" borderId="5" xfId="2" applyFont="1" applyFill="1" applyBorder="1"/>
    <xf numFmtId="164" fontId="11" fillId="8" borderId="0" xfId="2" applyFont="1" applyFill="1" applyBorder="1"/>
    <xf numFmtId="164" fontId="11" fillId="8" borderId="8" xfId="2" applyFont="1" applyFill="1" applyBorder="1"/>
    <xf numFmtId="0" fontId="2" fillId="8" borderId="6" xfId="0" applyFont="1" applyFill="1" applyBorder="1"/>
    <xf numFmtId="0" fontId="2" fillId="8" borderId="0" xfId="0" applyFont="1" applyFill="1" applyBorder="1"/>
    <xf numFmtId="164" fontId="2" fillId="8" borderId="5" xfId="2" applyFont="1" applyFill="1" applyBorder="1"/>
    <xf numFmtId="164" fontId="2" fillId="8" borderId="0" xfId="2" applyFont="1" applyFill="1" applyBorder="1"/>
    <xf numFmtId="164" fontId="2" fillId="8" borderId="8" xfId="2" applyFont="1" applyFill="1" applyBorder="1"/>
    <xf numFmtId="164" fontId="0" fillId="8" borderId="5" xfId="2" applyFont="1" applyFill="1" applyBorder="1"/>
    <xf numFmtId="164" fontId="0" fillId="8" borderId="0" xfId="2" applyFont="1" applyFill="1" applyBorder="1"/>
    <xf numFmtId="164" fontId="0" fillId="8" borderId="8" xfId="2" applyFont="1" applyFill="1" applyBorder="1"/>
    <xf numFmtId="0" fontId="2" fillId="8" borderId="16" xfId="0" applyFont="1" applyFill="1" applyBorder="1"/>
    <xf numFmtId="0" fontId="2" fillId="8" borderId="18" xfId="0" applyFont="1" applyFill="1" applyBorder="1"/>
    <xf numFmtId="164" fontId="2" fillId="8" borderId="13" xfId="2" applyFont="1" applyFill="1" applyBorder="1"/>
    <xf numFmtId="164" fontId="2" fillId="8" borderId="18" xfId="2" applyFont="1" applyFill="1" applyBorder="1"/>
    <xf numFmtId="164" fontId="2" fillId="8" borderId="17" xfId="2" applyFont="1" applyFill="1" applyBorder="1"/>
    <xf numFmtId="0" fontId="27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6" fillId="0" borderId="0" xfId="0" applyFont="1"/>
    <xf numFmtId="171" fontId="14" fillId="0" borderId="15" xfId="0" applyNumberFormat="1" applyFont="1" applyBorder="1" applyAlignment="1">
      <alignment vertical="center"/>
    </xf>
    <xf numFmtId="171" fontId="14" fillId="0" borderId="17" xfId="0" applyNumberFormat="1" applyFont="1" applyBorder="1" applyAlignment="1">
      <alignment vertical="center"/>
    </xf>
    <xf numFmtId="171" fontId="14" fillId="0" borderId="5" xfId="0" applyNumberFormat="1" applyFont="1" applyBorder="1"/>
    <xf numFmtId="171" fontId="14" fillId="0" borderId="2" xfId="0" applyNumberFormat="1" applyFont="1" applyBorder="1" applyAlignment="1">
      <alignment vertical="center"/>
    </xf>
    <xf numFmtId="171" fontId="14" fillId="0" borderId="4" xfId="0" applyNumberFormat="1" applyFont="1" applyBorder="1" applyAlignment="1">
      <alignment vertical="center"/>
    </xf>
    <xf numFmtId="171" fontId="0" fillId="0" borderId="8" xfId="0" applyNumberFormat="1" applyBorder="1"/>
    <xf numFmtId="171" fontId="14" fillId="0" borderId="2" xfId="0" applyNumberFormat="1" applyFont="1" applyBorder="1" applyAlignment="1" applyProtection="1">
      <alignment horizontal="left" vertical="center"/>
    </xf>
    <xf numFmtId="171" fontId="14" fillId="0" borderId="14" xfId="0" applyNumberFormat="1" applyFont="1" applyBorder="1" applyAlignment="1">
      <alignment vertical="center"/>
    </xf>
    <xf numFmtId="171" fontId="14" fillId="0" borderId="6" xfId="0" applyNumberFormat="1" applyFont="1" applyBorder="1"/>
    <xf numFmtId="171" fontId="14" fillId="0" borderId="8" xfId="0" applyNumberFormat="1" applyFont="1" applyBorder="1"/>
    <xf numFmtId="171" fontId="14" fillId="0" borderId="6" xfId="0" applyNumberFormat="1" applyFont="1" applyBorder="1" applyAlignment="1">
      <alignment vertical="center"/>
    </xf>
    <xf numFmtId="171" fontId="14" fillId="0" borderId="8" xfId="0" applyNumberFormat="1" applyFont="1" applyBorder="1" applyAlignment="1">
      <alignment vertical="center"/>
    </xf>
    <xf numFmtId="171" fontId="14" fillId="0" borderId="16" xfId="0" applyNumberFormat="1" applyFont="1" applyBorder="1" applyAlignment="1">
      <alignment vertical="center"/>
    </xf>
    <xf numFmtId="171" fontId="16" fillId="0" borderId="1" xfId="0" applyNumberFormat="1" applyFont="1" applyBorder="1" applyAlignment="1" applyProtection="1">
      <alignment horizontal="center" vertical="center"/>
    </xf>
    <xf numFmtId="171" fontId="16" fillId="0" borderId="3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 applyProtection="1">
      <alignment horizontal="left" vertical="center"/>
    </xf>
    <xf numFmtId="171" fontId="16" fillId="0" borderId="4" xfId="0" applyNumberFormat="1" applyFont="1" applyBorder="1" applyAlignment="1" applyProtection="1">
      <alignment horizontal="center" vertical="center"/>
    </xf>
    <xf numFmtId="166" fontId="16" fillId="0" borderId="1" xfId="2" applyNumberFormat="1" applyFont="1" applyBorder="1" applyAlignment="1" applyProtection="1">
      <alignment vertical="center"/>
    </xf>
    <xf numFmtId="166" fontId="16" fillId="0" borderId="3" xfId="2" applyNumberFormat="1" applyFont="1" applyBorder="1" applyAlignment="1" applyProtection="1">
      <alignment vertical="center"/>
    </xf>
    <xf numFmtId="166" fontId="16" fillId="0" borderId="4" xfId="2" applyNumberFormat="1" applyFont="1" applyBorder="1" applyAlignment="1" applyProtection="1">
      <alignment vertical="center"/>
    </xf>
    <xf numFmtId="171" fontId="16" fillId="0" borderId="5" xfId="0" applyNumberFormat="1" applyFont="1" applyBorder="1" applyAlignment="1">
      <alignment vertical="center"/>
    </xf>
    <xf numFmtId="171" fontId="16" fillId="0" borderId="0" xfId="0" applyNumberFormat="1" applyFont="1" applyBorder="1" applyAlignment="1">
      <alignment vertical="center"/>
    </xf>
    <xf numFmtId="164" fontId="16" fillId="0" borderId="1" xfId="2" applyFont="1" applyBorder="1" applyAlignment="1">
      <alignment vertical="center"/>
    </xf>
    <xf numFmtId="164" fontId="16" fillId="0" borderId="3" xfId="2" applyFont="1" applyBorder="1" applyAlignment="1">
      <alignment vertical="center"/>
    </xf>
    <xf numFmtId="164" fontId="16" fillId="0" borderId="4" xfId="2" applyFont="1" applyBorder="1" applyAlignment="1">
      <alignment vertical="center"/>
    </xf>
    <xf numFmtId="166" fontId="11" fillId="0" borderId="0" xfId="2" applyNumberFormat="1" applyFont="1"/>
    <xf numFmtId="9" fontId="11" fillId="0" borderId="0" xfId="1" applyFont="1"/>
    <xf numFmtId="0" fontId="0" fillId="13" borderId="0" xfId="0" applyFill="1"/>
    <xf numFmtId="0" fontId="23" fillId="13" borderId="0" xfId="0" applyFont="1" applyFill="1"/>
    <xf numFmtId="0" fontId="11" fillId="13" borderId="0" xfId="0" applyFont="1" applyFill="1"/>
    <xf numFmtId="166" fontId="11" fillId="13" borderId="0" xfId="2" applyNumberFormat="1" applyFont="1" applyFill="1"/>
    <xf numFmtId="166" fontId="11" fillId="13" borderId="18" xfId="2" applyNumberFormat="1" applyFont="1" applyFill="1" applyBorder="1"/>
    <xf numFmtId="166" fontId="23" fillId="13" borderId="0" xfId="2" applyNumberFormat="1" applyFont="1" applyFill="1"/>
    <xf numFmtId="166" fontId="23" fillId="13" borderId="20" xfId="0" applyNumberFormat="1" applyFont="1" applyFill="1" applyBorder="1"/>
    <xf numFmtId="0" fontId="23" fillId="13" borderId="0" xfId="0" applyFont="1" applyFill="1" applyAlignment="1">
      <alignment horizontal="center"/>
    </xf>
    <xf numFmtId="0" fontId="0" fillId="20" borderId="0" xfId="0" applyFill="1"/>
    <xf numFmtId="0" fontId="23" fillId="20" borderId="0" xfId="0" applyFont="1" applyFill="1"/>
    <xf numFmtId="0" fontId="11" fillId="20" borderId="0" xfId="0" applyFont="1" applyFill="1"/>
    <xf numFmtId="166" fontId="11" fillId="20" borderId="0" xfId="2" applyNumberFormat="1" applyFont="1" applyFill="1"/>
    <xf numFmtId="166" fontId="11" fillId="20" borderId="18" xfId="2" applyNumberFormat="1" applyFont="1" applyFill="1" applyBorder="1"/>
    <xf numFmtId="166" fontId="23" fillId="20" borderId="0" xfId="2" applyNumberFormat="1" applyFont="1" applyFill="1"/>
    <xf numFmtId="166" fontId="23" fillId="20" borderId="20" xfId="0" applyNumberFormat="1" applyFont="1" applyFill="1" applyBorder="1"/>
    <xf numFmtId="0" fontId="23" fillId="20" borderId="0" xfId="0" applyFont="1" applyFill="1" applyAlignment="1">
      <alignment horizontal="center"/>
    </xf>
    <xf numFmtId="0" fontId="23" fillId="7" borderId="0" xfId="0" applyFont="1" applyFill="1"/>
    <xf numFmtId="0" fontId="11" fillId="7" borderId="0" xfId="0" applyFont="1" applyFill="1"/>
    <xf numFmtId="166" fontId="11" fillId="7" borderId="0" xfId="2" applyNumberFormat="1" applyFont="1" applyFill="1"/>
    <xf numFmtId="166" fontId="11" fillId="7" borderId="18" xfId="2" applyNumberFormat="1" applyFont="1" applyFill="1" applyBorder="1"/>
    <xf numFmtId="0" fontId="11" fillId="7" borderId="0" xfId="0" applyFont="1" applyFill="1" applyAlignment="1">
      <alignment horizontal="right"/>
    </xf>
    <xf numFmtId="166" fontId="23" fillId="7" borderId="0" xfId="0" applyNumberFormat="1" applyFont="1" applyFill="1"/>
    <xf numFmtId="166" fontId="23" fillId="7" borderId="0" xfId="2" applyNumberFormat="1" applyFont="1" applyFill="1"/>
    <xf numFmtId="0" fontId="23" fillId="7" borderId="0" xfId="0" applyFont="1" applyFill="1" applyAlignment="1">
      <alignment horizontal="right"/>
    </xf>
    <xf numFmtId="166" fontId="23" fillId="7" borderId="20" xfId="0" applyNumberFormat="1" applyFont="1" applyFill="1" applyBorder="1"/>
    <xf numFmtId="0" fontId="23" fillId="7" borderId="0" xfId="0" applyFont="1" applyFill="1" applyAlignment="1">
      <alignment horizontal="center"/>
    </xf>
    <xf numFmtId="164" fontId="11" fillId="20" borderId="0" xfId="2" applyFont="1" applyFill="1"/>
    <xf numFmtId="0" fontId="30" fillId="5" borderId="1" xfId="0" applyFont="1" applyFill="1" applyBorder="1" applyAlignment="1">
      <alignment horizontal="center"/>
    </xf>
    <xf numFmtId="0" fontId="23" fillId="21" borderId="0" xfId="0" applyFont="1" applyFill="1"/>
    <xf numFmtId="0" fontId="11" fillId="21" borderId="0" xfId="0" applyFont="1" applyFill="1"/>
    <xf numFmtId="0" fontId="11" fillId="21" borderId="0" xfId="0" applyFont="1" applyFill="1" applyAlignment="1">
      <alignment horizontal="center"/>
    </xf>
    <xf numFmtId="166" fontId="11" fillId="21" borderId="0" xfId="2" applyNumberFormat="1" applyFont="1" applyFill="1"/>
    <xf numFmtId="9" fontId="11" fillId="21" borderId="0" xfId="1" applyFont="1" applyFill="1"/>
    <xf numFmtId="0" fontId="11" fillId="21" borderId="18" xfId="0" applyFont="1" applyFill="1" applyBorder="1"/>
    <xf numFmtId="166" fontId="11" fillId="21" borderId="18" xfId="2" applyNumberFormat="1" applyFont="1" applyFill="1" applyBorder="1"/>
    <xf numFmtId="165" fontId="11" fillId="21" borderId="18" xfId="1" applyNumberFormat="1" applyFont="1" applyFill="1" applyBorder="1"/>
    <xf numFmtId="166" fontId="23" fillId="21" borderId="0" xfId="0" applyNumberFormat="1" applyFont="1" applyFill="1"/>
    <xf numFmtId="9" fontId="23" fillId="21" borderId="0" xfId="1" applyFont="1" applyFill="1"/>
    <xf numFmtId="0" fontId="23" fillId="22" borderId="0" xfId="0" applyFont="1" applyFill="1"/>
    <xf numFmtId="0" fontId="11" fillId="22" borderId="0" xfId="0" applyFont="1" applyFill="1"/>
    <xf numFmtId="0" fontId="11" fillId="22" borderId="0" xfId="0" applyFont="1" applyFill="1" applyAlignment="1">
      <alignment horizontal="center"/>
    </xf>
    <xf numFmtId="166" fontId="11" fillId="22" borderId="0" xfId="2" applyNumberFormat="1" applyFont="1" applyFill="1"/>
    <xf numFmtId="9" fontId="11" fillId="22" borderId="0" xfId="1" applyFont="1" applyFill="1"/>
    <xf numFmtId="0" fontId="11" fillId="22" borderId="18" xfId="0" applyFont="1" applyFill="1" applyBorder="1"/>
    <xf numFmtId="166" fontId="11" fillId="22" borderId="18" xfId="2" applyNumberFormat="1" applyFont="1" applyFill="1" applyBorder="1"/>
    <xf numFmtId="9" fontId="11" fillId="22" borderId="18" xfId="1" applyFont="1" applyFill="1" applyBorder="1"/>
    <xf numFmtId="166" fontId="23" fillId="22" borderId="0" xfId="0" applyNumberFormat="1" applyFont="1" applyFill="1"/>
    <xf numFmtId="9" fontId="23" fillId="22" borderId="0" xfId="1" applyFont="1" applyFill="1"/>
    <xf numFmtId="0" fontId="23" fillId="12" borderId="0" xfId="0" applyFont="1" applyFill="1"/>
    <xf numFmtId="0" fontId="23" fillId="12" borderId="0" xfId="0" applyFont="1" applyFill="1" applyAlignment="1">
      <alignment horizontal="center"/>
    </xf>
    <xf numFmtId="0" fontId="11" fillId="12" borderId="0" xfId="0" applyFont="1" applyFill="1"/>
    <xf numFmtId="166" fontId="11" fillId="12" borderId="0" xfId="2" applyNumberFormat="1" applyFont="1" applyFill="1"/>
    <xf numFmtId="9" fontId="11" fillId="12" borderId="0" xfId="1" applyFont="1" applyFill="1"/>
    <xf numFmtId="0" fontId="11" fillId="12" borderId="18" xfId="0" applyFont="1" applyFill="1" applyBorder="1"/>
    <xf numFmtId="166" fontId="11" fillId="12" borderId="0" xfId="2" applyNumberFormat="1" applyFont="1" applyFill="1" applyBorder="1"/>
    <xf numFmtId="9" fontId="11" fillId="12" borderId="18" xfId="1" applyFont="1" applyFill="1" applyBorder="1"/>
    <xf numFmtId="166" fontId="11" fillId="12" borderId="18" xfId="2" applyNumberFormat="1" applyFont="1" applyFill="1" applyBorder="1"/>
    <xf numFmtId="0" fontId="11" fillId="12" borderId="0" xfId="0" applyFont="1" applyFill="1" applyAlignment="1">
      <alignment horizontal="right"/>
    </xf>
    <xf numFmtId="166" fontId="23" fillId="12" borderId="20" xfId="0" applyNumberFormat="1" applyFont="1" applyFill="1" applyBorder="1"/>
    <xf numFmtId="166" fontId="23" fillId="12" borderId="0" xfId="0" applyNumberFormat="1" applyFont="1" applyFill="1"/>
    <xf numFmtId="0" fontId="0" fillId="15" borderId="0" xfId="0" applyFill="1"/>
    <xf numFmtId="0" fontId="23" fillId="15" borderId="0" xfId="0" applyFont="1" applyFill="1" applyAlignment="1">
      <alignment horizontal="center"/>
    </xf>
    <xf numFmtId="0" fontId="23" fillId="15" borderId="0" xfId="0" applyFont="1" applyFill="1"/>
    <xf numFmtId="0" fontId="11" fillId="15" borderId="0" xfId="0" applyFont="1" applyFill="1"/>
    <xf numFmtId="166" fontId="11" fillId="15" borderId="0" xfId="2" applyNumberFormat="1" applyFont="1" applyFill="1"/>
    <xf numFmtId="0" fontId="11" fillId="15" borderId="0" xfId="0" applyFont="1" applyFill="1" applyAlignment="1">
      <alignment horizontal="center"/>
    </xf>
    <xf numFmtId="9" fontId="11" fillId="15" borderId="0" xfId="1" applyFont="1" applyFill="1"/>
    <xf numFmtId="166" fontId="23" fillId="15" borderId="0" xfId="0" applyNumberFormat="1" applyFont="1" applyFill="1"/>
    <xf numFmtId="9" fontId="23" fillId="15" borderId="0" xfId="1" applyFont="1" applyFill="1"/>
    <xf numFmtId="0" fontId="0" fillId="23" borderId="0" xfId="0" applyFill="1"/>
    <xf numFmtId="0" fontId="23" fillId="23" borderId="0" xfId="0" applyFont="1" applyFill="1"/>
    <xf numFmtId="0" fontId="11" fillId="23" borderId="0" xfId="0" applyFont="1" applyFill="1"/>
    <xf numFmtId="166" fontId="11" fillId="23" borderId="0" xfId="2" applyNumberFormat="1" applyFont="1" applyFill="1"/>
    <xf numFmtId="166" fontId="11" fillId="23" borderId="18" xfId="2" applyNumberFormat="1" applyFont="1" applyFill="1" applyBorder="1"/>
    <xf numFmtId="166" fontId="23" fillId="23" borderId="0" xfId="0" applyNumberFormat="1" applyFont="1" applyFill="1"/>
    <xf numFmtId="0" fontId="23" fillId="3" borderId="0" xfId="0" applyFont="1" applyFill="1"/>
    <xf numFmtId="0" fontId="11" fillId="3" borderId="0" xfId="0" applyFont="1" applyFill="1"/>
    <xf numFmtId="166" fontId="11" fillId="3" borderId="0" xfId="2" applyNumberFormat="1" applyFont="1" applyFill="1"/>
    <xf numFmtId="166" fontId="11" fillId="3" borderId="18" xfId="2" applyNumberFormat="1" applyFont="1" applyFill="1" applyBorder="1"/>
    <xf numFmtId="166" fontId="11" fillId="3" borderId="0" xfId="0" applyNumberFormat="1" applyFont="1" applyFill="1"/>
    <xf numFmtId="166" fontId="23" fillId="3" borderId="0" xfId="0" applyNumberFormat="1" applyFont="1" applyFill="1"/>
    <xf numFmtId="166" fontId="23" fillId="23" borderId="0" xfId="2" applyNumberFormat="1" applyFont="1" applyFill="1"/>
    <xf numFmtId="0" fontId="11" fillId="23" borderId="0" xfId="0" applyFont="1" applyFill="1" applyAlignment="1">
      <alignment horizontal="center"/>
    </xf>
    <xf numFmtId="9" fontId="11" fillId="23" borderId="0" xfId="1" applyFont="1" applyFill="1"/>
    <xf numFmtId="0" fontId="11" fillId="23" borderId="18" xfId="0" applyFont="1" applyFill="1" applyBorder="1"/>
    <xf numFmtId="9" fontId="11" fillId="23" borderId="18" xfId="1" applyFont="1" applyFill="1" applyBorder="1"/>
    <xf numFmtId="9" fontId="23" fillId="23" borderId="0" xfId="1" applyFont="1" applyFill="1"/>
    <xf numFmtId="0" fontId="23" fillId="19" borderId="0" xfId="0" applyFont="1" applyFill="1"/>
    <xf numFmtId="0" fontId="11" fillId="19" borderId="0" xfId="0" applyFont="1" applyFill="1"/>
    <xf numFmtId="9" fontId="11" fillId="19" borderId="0" xfId="1" applyFont="1" applyFill="1"/>
    <xf numFmtId="0" fontId="11" fillId="19" borderId="18" xfId="0" applyFont="1" applyFill="1" applyBorder="1"/>
    <xf numFmtId="0" fontId="23" fillId="19" borderId="18" xfId="0" applyFont="1" applyFill="1" applyBorder="1"/>
    <xf numFmtId="9" fontId="23" fillId="19" borderId="0" xfId="1" applyFont="1" applyFill="1"/>
    <xf numFmtId="9" fontId="23" fillId="19" borderId="18" xfId="1" applyFont="1" applyFill="1" applyBorder="1"/>
    <xf numFmtId="0" fontId="31" fillId="25" borderId="0" xfId="0" applyFont="1" applyFill="1" applyAlignment="1"/>
    <xf numFmtId="0" fontId="19" fillId="25" borderId="0" xfId="0" applyFont="1" applyFill="1" applyAlignment="1"/>
    <xf numFmtId="0" fontId="23" fillId="25" borderId="0" xfId="0" applyFont="1" applyFill="1"/>
    <xf numFmtId="9" fontId="23" fillId="25" borderId="0" xfId="1" applyFont="1" applyFill="1"/>
    <xf numFmtId="9" fontId="23" fillId="25" borderId="18" xfId="1" applyFont="1" applyFill="1" applyBorder="1"/>
    <xf numFmtId="0" fontId="11" fillId="25" borderId="0" xfId="0" applyFont="1" applyFill="1"/>
    <xf numFmtId="9" fontId="11" fillId="25" borderId="0" xfId="1" applyFont="1" applyFill="1"/>
    <xf numFmtId="0" fontId="23" fillId="25" borderId="18" xfId="0" quotePrefix="1" applyFont="1" applyFill="1" applyBorder="1"/>
    <xf numFmtId="0" fontId="11" fillId="24" borderId="19" xfId="0" applyFont="1" applyFill="1" applyBorder="1"/>
    <xf numFmtId="0" fontId="11" fillId="24" borderId="15" xfId="0" applyFont="1" applyFill="1" applyBorder="1"/>
    <xf numFmtId="0" fontId="11" fillId="24" borderId="0" xfId="0" applyFont="1" applyFill="1" applyBorder="1"/>
    <xf numFmtId="0" fontId="11" fillId="24" borderId="8" xfId="0" applyFont="1" applyFill="1" applyBorder="1"/>
    <xf numFmtId="0" fontId="11" fillId="24" borderId="18" xfId="0" applyFont="1" applyFill="1" applyBorder="1"/>
    <xf numFmtId="0" fontId="11" fillId="24" borderId="17" xfId="0" applyFont="1" applyFill="1" applyBorder="1"/>
    <xf numFmtId="0" fontId="11" fillId="10" borderId="14" xfId="0" applyFont="1" applyFill="1" applyBorder="1"/>
    <xf numFmtId="0" fontId="11" fillId="10" borderId="19" xfId="0" applyFont="1" applyFill="1" applyBorder="1"/>
    <xf numFmtId="0" fontId="0" fillId="10" borderId="19" xfId="0" applyFill="1" applyBorder="1"/>
    <xf numFmtId="0" fontId="0" fillId="10" borderId="15" xfId="0" applyFill="1" applyBorder="1"/>
    <xf numFmtId="0" fontId="11" fillId="10" borderId="16" xfId="0" applyFont="1" applyFill="1" applyBorder="1"/>
    <xf numFmtId="0" fontId="11" fillId="10" borderId="18" xfId="0" applyFont="1" applyFill="1" applyBorder="1"/>
    <xf numFmtId="0" fontId="0" fillId="10" borderId="18" xfId="0" applyFill="1" applyBorder="1"/>
    <xf numFmtId="0" fontId="0" fillId="10" borderId="17" xfId="0" applyFill="1" applyBorder="1"/>
    <xf numFmtId="166" fontId="11" fillId="15" borderId="0" xfId="2" applyNumberFormat="1" applyFont="1" applyFill="1" applyBorder="1"/>
    <xf numFmtId="166" fontId="0" fillId="15" borderId="20" xfId="0" applyNumberFormat="1" applyFill="1" applyBorder="1"/>
    <xf numFmtId="0" fontId="23" fillId="23" borderId="0" xfId="0" applyFont="1" applyFill="1" applyAlignment="1">
      <alignment horizontal="center"/>
    </xf>
    <xf numFmtId="166" fontId="2" fillId="23" borderId="20" xfId="2" applyNumberFormat="1" applyFont="1" applyFill="1" applyBorder="1"/>
    <xf numFmtId="168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168" fontId="9" fillId="0" borderId="0" xfId="2" applyNumberFormat="1" applyFont="1" applyFill="1" applyBorder="1" applyAlignment="1">
      <alignment horizontal="center"/>
    </xf>
    <xf numFmtId="168" fontId="2" fillId="0" borderId="8" xfId="2" applyNumberFormat="1" applyFont="1" applyBorder="1"/>
    <xf numFmtId="168" fontId="2" fillId="11" borderId="8" xfId="2" applyNumberFormat="1" applyFont="1" applyFill="1" applyBorder="1"/>
    <xf numFmtId="10" fontId="3" fillId="0" borderId="1" xfId="1" applyNumberFormat="1" applyFont="1" applyBorder="1"/>
    <xf numFmtId="166" fontId="2" fillId="0" borderId="0" xfId="0" applyNumberFormat="1" applyFont="1" applyBorder="1"/>
    <xf numFmtId="0" fontId="19" fillId="20" borderId="14" xfId="0" applyFont="1" applyFill="1" applyBorder="1"/>
    <xf numFmtId="0" fontId="0" fillId="20" borderId="19" xfId="0" applyFill="1" applyBorder="1"/>
    <xf numFmtId="0" fontId="0" fillId="20" borderId="15" xfId="0" applyFill="1" applyBorder="1"/>
    <xf numFmtId="0" fontId="0" fillId="20" borderId="6" xfId="0" applyFill="1" applyBorder="1"/>
    <xf numFmtId="0" fontId="0" fillId="20" borderId="0" xfId="0" applyFill="1" applyBorder="1"/>
    <xf numFmtId="0" fontId="0" fillId="20" borderId="16" xfId="0" applyFill="1" applyBorder="1"/>
    <xf numFmtId="0" fontId="0" fillId="20" borderId="18" xfId="0" applyFill="1" applyBorder="1"/>
    <xf numFmtId="9" fontId="0" fillId="20" borderId="17" xfId="1" applyNumberFormat="1" applyFont="1" applyFill="1" applyBorder="1"/>
    <xf numFmtId="0" fontId="19" fillId="24" borderId="14" xfId="0" applyFont="1" applyFill="1" applyBorder="1"/>
    <xf numFmtId="0" fontId="0" fillId="24" borderId="19" xfId="0" applyFill="1" applyBorder="1"/>
    <xf numFmtId="0" fontId="0" fillId="24" borderId="15" xfId="0" applyFill="1" applyBorder="1"/>
    <xf numFmtId="0" fontId="0" fillId="24" borderId="0" xfId="0" applyFill="1" applyBorder="1"/>
    <xf numFmtId="0" fontId="0" fillId="24" borderId="16" xfId="0" applyFill="1" applyBorder="1"/>
    <xf numFmtId="0" fontId="0" fillId="24" borderId="18" xfId="0" applyFill="1" applyBorder="1"/>
    <xf numFmtId="9" fontId="0" fillId="24" borderId="17" xfId="0" applyNumberFormat="1" applyFill="1" applyBorder="1"/>
    <xf numFmtId="0" fontId="32" fillId="0" borderId="0" xfId="0" applyFont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 applyAlignment="1">
      <alignment horizontal="center"/>
    </xf>
    <xf numFmtId="0" fontId="11" fillId="9" borderId="15" xfId="0" applyFont="1" applyFill="1" applyBorder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/>
    <xf numFmtId="166" fontId="11" fillId="0" borderId="0" xfId="0" applyNumberFormat="1" applyFont="1"/>
    <xf numFmtId="166" fontId="23" fillId="0" borderId="0" xfId="0" applyNumberFormat="1" applyFont="1"/>
    <xf numFmtId="0" fontId="23" fillId="0" borderId="1" xfId="0" applyFont="1" applyBorder="1"/>
    <xf numFmtId="0" fontId="11" fillId="11" borderId="1" xfId="0" applyFont="1" applyFill="1" applyBorder="1"/>
    <xf numFmtId="165" fontId="11" fillId="11" borderId="1" xfId="1" applyNumberFormat="1" applyFont="1" applyFill="1" applyBorder="1"/>
    <xf numFmtId="165" fontId="23" fillId="11" borderId="1" xfId="1" applyNumberFormat="1" applyFont="1" applyFill="1" applyBorder="1"/>
    <xf numFmtId="3" fontId="34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164" fontId="11" fillId="0" borderId="1" xfId="2" applyFont="1" applyBorder="1" applyAlignment="1">
      <alignment horizontal="left"/>
    </xf>
    <xf numFmtId="164" fontId="11" fillId="0" borderId="1" xfId="2" applyFont="1" applyBorder="1"/>
    <xf numFmtId="164" fontId="11" fillId="0" borderId="1" xfId="0" applyNumberFormat="1" applyFont="1" applyBorder="1"/>
    <xf numFmtId="3" fontId="34" fillId="0" borderId="0" xfId="0" applyNumberFormat="1" applyFont="1" applyBorder="1" applyAlignment="1">
      <alignment horizontal="left" wrapText="1"/>
    </xf>
    <xf numFmtId="164" fontId="11" fillId="0" borderId="0" xfId="0" applyNumberFormat="1" applyFont="1"/>
    <xf numFmtId="164" fontId="11" fillId="0" borderId="1" xfId="2" applyFont="1" applyBorder="1" applyAlignment="1">
      <alignment horizontal="center"/>
    </xf>
    <xf numFmtId="165" fontId="11" fillId="0" borderId="1" xfId="1" applyNumberFormat="1" applyFont="1" applyBorder="1"/>
    <xf numFmtId="3" fontId="35" fillId="0" borderId="1" xfId="0" applyNumberFormat="1" applyFont="1" applyBorder="1" applyAlignment="1">
      <alignment horizontal="left" wrapText="1"/>
    </xf>
    <xf numFmtId="3" fontId="35" fillId="0" borderId="13" xfId="0" applyNumberFormat="1" applyFont="1" applyBorder="1" applyAlignment="1">
      <alignment horizontal="left" wrapText="1"/>
    </xf>
    <xf numFmtId="0" fontId="11" fillId="11" borderId="0" xfId="0" applyFont="1" applyFill="1" applyBorder="1"/>
    <xf numFmtId="0" fontId="3" fillId="11" borderId="0" xfId="0" applyFont="1" applyFill="1"/>
    <xf numFmtId="0" fontId="11" fillId="0" borderId="0" xfId="0" applyFont="1" applyAlignment="1">
      <alignment horizontal="right"/>
    </xf>
    <xf numFmtId="168" fontId="11" fillId="11" borderId="1" xfId="2" applyNumberFormat="1" applyFont="1" applyFill="1" applyBorder="1"/>
    <xf numFmtId="168" fontId="23" fillId="0" borderId="1" xfId="2" applyNumberFormat="1" applyFont="1" applyBorder="1"/>
    <xf numFmtId="168" fontId="11" fillId="0" borderId="1" xfId="2" applyNumberFormat="1" applyFont="1" applyBorder="1" applyAlignment="1">
      <alignment horizontal="left"/>
    </xf>
    <xf numFmtId="168" fontId="11" fillId="0" borderId="1" xfId="2" applyNumberFormat="1" applyFont="1" applyBorder="1"/>
    <xf numFmtId="0" fontId="23" fillId="11" borderId="0" xfId="0" applyFont="1" applyFill="1" applyBorder="1" applyAlignment="1"/>
    <xf numFmtId="0" fontId="23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0" xfId="0" quotePrefix="1" applyFont="1" applyFill="1" applyBorder="1"/>
    <xf numFmtId="0" fontId="11" fillId="0" borderId="7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11" fillId="0" borderId="0" xfId="0" applyFont="1" applyBorder="1"/>
    <xf numFmtId="0" fontId="0" fillId="0" borderId="2" xfId="0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7" xfId="0" applyFont="1" applyBorder="1"/>
    <xf numFmtId="0" fontId="23" fillId="0" borderId="4" xfId="0" applyFont="1" applyBorder="1" applyAlignment="1">
      <alignment horizontal="center"/>
    </xf>
    <xf numFmtId="0" fontId="11" fillId="0" borderId="2" xfId="0" applyFont="1" applyFill="1" applyBorder="1"/>
    <xf numFmtId="0" fontId="11" fillId="0" borderId="4" xfId="0" applyFont="1" applyBorder="1" applyAlignment="1">
      <alignment horizontal="center"/>
    </xf>
    <xf numFmtId="0" fontId="25" fillId="0" borderId="0" xfId="0" applyFont="1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2" fillId="6" borderId="14" xfId="0" applyFont="1" applyFill="1" applyBorder="1"/>
    <xf numFmtId="168" fontId="0" fillId="6" borderId="19" xfId="2" applyNumberFormat="1" applyFont="1" applyFill="1" applyBorder="1"/>
    <xf numFmtId="164" fontId="0" fillId="6" borderId="19" xfId="0" applyNumberFormat="1" applyFill="1" applyBorder="1"/>
    <xf numFmtId="168" fontId="2" fillId="6" borderId="15" xfId="0" applyNumberFormat="1" applyFont="1" applyFill="1" applyBorder="1"/>
    <xf numFmtId="0" fontId="2" fillId="0" borderId="6" xfId="0" applyFont="1" applyBorder="1"/>
    <xf numFmtId="168" fontId="2" fillId="0" borderId="8" xfId="0" applyNumberFormat="1" applyFont="1" applyBorder="1"/>
    <xf numFmtId="0" fontId="2" fillId="6" borderId="16" xfId="0" applyFont="1" applyFill="1" applyBorder="1"/>
    <xf numFmtId="168" fontId="0" fillId="6" borderId="18" xfId="2" applyNumberFormat="1" applyFont="1" applyFill="1" applyBorder="1"/>
    <xf numFmtId="164" fontId="0" fillId="6" borderId="18" xfId="0" applyNumberFormat="1" applyFill="1" applyBorder="1"/>
    <xf numFmtId="168" fontId="2" fillId="6" borderId="17" xfId="0" applyNumberFormat="1" applyFont="1" applyFill="1" applyBorder="1"/>
    <xf numFmtId="168" fontId="23" fillId="0" borderId="1" xfId="0" applyNumberFormat="1" applyFont="1" applyBorder="1"/>
    <xf numFmtId="9" fontId="0" fillId="0" borderId="3" xfId="1" applyFont="1" applyBorder="1"/>
    <xf numFmtId="9" fontId="0" fillId="0" borderId="4" xfId="1" applyFont="1" applyBorder="1"/>
    <xf numFmtId="168" fontId="0" fillId="0" borderId="6" xfId="0" applyNumberFormat="1" applyFont="1" applyBorder="1"/>
    <xf numFmtId="166" fontId="0" fillId="0" borderId="6" xfId="2" applyNumberFormat="1" applyFont="1" applyBorder="1"/>
    <xf numFmtId="0" fontId="0" fillId="0" borderId="6" xfId="0" applyFont="1" applyBorder="1"/>
    <xf numFmtId="168" fontId="2" fillId="12" borderId="6" xfId="2" applyNumberFormat="1" applyFont="1" applyFill="1" applyBorder="1"/>
    <xf numFmtId="168" fontId="0" fillId="0" borderId="16" xfId="0" applyNumberFormat="1" applyBorder="1"/>
    <xf numFmtId="168" fontId="0" fillId="0" borderId="17" xfId="0" applyNumberFormat="1" applyBorder="1"/>
    <xf numFmtId="9" fontId="0" fillId="0" borderId="2" xfId="1" applyFont="1" applyBorder="1"/>
    <xf numFmtId="9" fontId="0" fillId="0" borderId="0" xfId="1" applyFont="1" applyBorder="1"/>
    <xf numFmtId="164" fontId="41" fillId="9" borderId="14" xfId="0" applyNumberFormat="1" applyFont="1" applyFill="1" applyBorder="1"/>
    <xf numFmtId="10" fontId="2" fillId="9" borderId="19" xfId="1" applyNumberFormat="1" applyFont="1" applyFill="1" applyBorder="1"/>
    <xf numFmtId="164" fontId="0" fillId="9" borderId="6" xfId="0" applyNumberFormat="1" applyFill="1" applyBorder="1"/>
    <xf numFmtId="10" fontId="2" fillId="9" borderId="0" xfId="1" applyNumberFormat="1" applyFont="1" applyFill="1" applyBorder="1"/>
    <xf numFmtId="165" fontId="0" fillId="9" borderId="8" xfId="1" applyNumberFormat="1" applyFont="1" applyFill="1" applyBorder="1"/>
    <xf numFmtId="0" fontId="0" fillId="9" borderId="0" xfId="0" applyFill="1" applyBorder="1"/>
    <xf numFmtId="0" fontId="0" fillId="9" borderId="16" xfId="0" applyFill="1" applyBorder="1"/>
    <xf numFmtId="0" fontId="0" fillId="9" borderId="18" xfId="0" applyFill="1" applyBorder="1"/>
    <xf numFmtId="166" fontId="0" fillId="9" borderId="18" xfId="2" applyNumberFormat="1" applyFont="1" applyFill="1" applyBorder="1"/>
    <xf numFmtId="9" fontId="0" fillId="9" borderId="19" xfId="1" applyFont="1" applyFill="1" applyBorder="1" applyAlignment="1">
      <alignment horizontal="center"/>
    </xf>
    <xf numFmtId="168" fontId="9" fillId="0" borderId="0" xfId="2" applyNumberFormat="1" applyFont="1" applyBorder="1"/>
    <xf numFmtId="9" fontId="9" fillId="0" borderId="3" xfId="1" applyFont="1" applyBorder="1"/>
    <xf numFmtId="165" fontId="2" fillId="20" borderId="8" xfId="1" applyNumberFormat="1" applyFont="1" applyFill="1" applyBorder="1"/>
    <xf numFmtId="10" fontId="2" fillId="20" borderId="8" xfId="1" applyNumberFormat="1" applyFont="1" applyFill="1" applyBorder="1"/>
    <xf numFmtId="10" fontId="2" fillId="20" borderId="17" xfId="1" applyNumberFormat="1" applyFont="1" applyFill="1" applyBorder="1"/>
    <xf numFmtId="9" fontId="2" fillId="24" borderId="8" xfId="1" applyNumberFormat="1" applyFont="1" applyFill="1" applyBorder="1"/>
    <xf numFmtId="9" fontId="2" fillId="24" borderId="17" xfId="1" applyNumberFormat="1" applyFont="1" applyFill="1" applyBorder="1"/>
    <xf numFmtId="166" fontId="0" fillId="9" borderId="0" xfId="1" applyNumberFormat="1" applyFont="1" applyFill="1" applyBorder="1"/>
    <xf numFmtId="166" fontId="0" fillId="9" borderId="18" xfId="0" applyNumberFormat="1" applyFill="1" applyBorder="1"/>
    <xf numFmtId="165" fontId="0" fillId="9" borderId="17" xfId="1" applyNumberFormat="1" applyFont="1" applyFill="1" applyBorder="1"/>
    <xf numFmtId="9" fontId="0" fillId="9" borderId="17" xfId="1" applyFont="1" applyFill="1" applyBorder="1"/>
    <xf numFmtId="166" fontId="0" fillId="9" borderId="18" xfId="1" applyNumberFormat="1" applyFont="1" applyFill="1" applyBorder="1"/>
    <xf numFmtId="166" fontId="2" fillId="9" borderId="18" xfId="2" applyNumberFormat="1" applyFont="1" applyFill="1" applyBorder="1"/>
    <xf numFmtId="9" fontId="11" fillId="9" borderId="19" xfId="1" applyFont="1" applyFill="1" applyBorder="1" applyAlignment="1">
      <alignment horizontal="center"/>
    </xf>
    <xf numFmtId="165" fontId="2" fillId="9" borderId="8" xfId="1" applyNumberFormat="1" applyFont="1" applyFill="1" applyBorder="1"/>
    <xf numFmtId="165" fontId="2" fillId="9" borderId="17" xfId="1" applyNumberFormat="1" applyFont="1" applyFill="1" applyBorder="1"/>
    <xf numFmtId="0" fontId="0" fillId="20" borderId="6" xfId="0" applyFont="1" applyFill="1" applyBorder="1"/>
    <xf numFmtId="0" fontId="6" fillId="24" borderId="6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center" wrapText="1"/>
    </xf>
    <xf numFmtId="166" fontId="2" fillId="11" borderId="1" xfId="0" applyNumberFormat="1" applyFont="1" applyFill="1" applyBorder="1"/>
    <xf numFmtId="165" fontId="2" fillId="11" borderId="1" xfId="1" applyNumberFormat="1" applyFont="1" applyFill="1" applyBorder="1"/>
    <xf numFmtId="166" fontId="0" fillId="11" borderId="1" xfId="2" applyNumberFormat="1" applyFont="1" applyFill="1" applyBorder="1"/>
    <xf numFmtId="166" fontId="2" fillId="11" borderId="1" xfId="2" applyNumberFormat="1" applyFont="1" applyFill="1" applyBorder="1"/>
    <xf numFmtId="166" fontId="1" fillId="11" borderId="1" xfId="2" applyNumberFormat="1" applyFont="1" applyFill="1" applyBorder="1"/>
    <xf numFmtId="165" fontId="1" fillId="11" borderId="1" xfId="1" applyNumberFormat="1" applyFont="1" applyFill="1" applyBorder="1"/>
    <xf numFmtId="10" fontId="1" fillId="11" borderId="1" xfId="1" applyNumberFormat="1" applyFont="1" applyFill="1" applyBorder="1"/>
    <xf numFmtId="170" fontId="1" fillId="11" borderId="1" xfId="1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6" fontId="17" fillId="11" borderId="1" xfId="2" applyNumberFormat="1" applyFont="1" applyFill="1" applyBorder="1"/>
    <xf numFmtId="165" fontId="17" fillId="11" borderId="1" xfId="1" applyNumberFormat="1" applyFont="1" applyFill="1" applyBorder="1"/>
    <xf numFmtId="0" fontId="3" fillId="11" borderId="1" xfId="0" applyFont="1" applyFill="1" applyBorder="1"/>
    <xf numFmtId="9" fontId="2" fillId="11" borderId="1" xfId="1" applyFont="1" applyFill="1" applyBorder="1"/>
    <xf numFmtId="9" fontId="1" fillId="11" borderId="1" xfId="1" applyFont="1" applyFill="1" applyBorder="1"/>
    <xf numFmtId="0" fontId="42" fillId="0" borderId="0" xfId="0" applyFont="1" applyBorder="1"/>
    <xf numFmtId="172" fontId="42" fillId="0" borderId="0" xfId="2" applyNumberFormat="1" applyFont="1" applyBorder="1" applyAlignment="1">
      <alignment horizontal="center" vertical="center"/>
    </xf>
    <xf numFmtId="166" fontId="25" fillId="0" borderId="0" xfId="2" applyNumberFormat="1" applyFont="1" applyAlignment="1">
      <alignment horizontal="center"/>
    </xf>
    <xf numFmtId="0" fontId="11" fillId="0" borderId="0" xfId="0" applyFont="1" applyBorder="1" applyAlignment="1">
      <alignment horizontal="left"/>
    </xf>
    <xf numFmtId="0" fontId="33" fillId="0" borderId="0" xfId="0" applyFont="1" applyBorder="1"/>
    <xf numFmtId="0" fontId="11" fillId="0" borderId="1" xfId="0" applyFont="1" applyBorder="1"/>
    <xf numFmtId="168" fontId="0" fillId="0" borderId="19" xfId="0" applyNumberFormat="1" applyBorder="1"/>
    <xf numFmtId="168" fontId="0" fillId="0" borderId="15" xfId="0" applyNumberFormat="1" applyBorder="1"/>
    <xf numFmtId="0" fontId="11" fillId="27" borderId="14" xfId="0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0" fontId="11" fillId="27" borderId="15" xfId="0" applyFont="1" applyFill="1" applyBorder="1" applyAlignment="1">
      <alignment horizontal="center"/>
    </xf>
    <xf numFmtId="3" fontId="16" fillId="27" borderId="6" xfId="0" applyNumberFormat="1" applyFont="1" applyFill="1" applyBorder="1" applyAlignment="1">
      <alignment vertical="center"/>
    </xf>
    <xf numFmtId="164" fontId="11" fillId="27" borderId="0" xfId="0" applyNumberFormat="1" applyFont="1" applyFill="1" applyBorder="1"/>
    <xf numFmtId="164" fontId="11" fillId="27" borderId="8" xfId="0" applyNumberFormat="1" applyFont="1" applyFill="1" applyBorder="1"/>
    <xf numFmtId="3" fontId="16" fillId="27" borderId="16" xfId="0" applyNumberFormat="1" applyFont="1" applyFill="1" applyBorder="1" applyAlignment="1">
      <alignment horizontal="right" vertical="center"/>
    </xf>
    <xf numFmtId="164" fontId="11" fillId="27" borderId="18" xfId="0" applyNumberFormat="1" applyFont="1" applyFill="1" applyBorder="1"/>
    <xf numFmtId="164" fontId="11" fillId="27" borderId="17" xfId="0" applyNumberFormat="1" applyFont="1" applyFill="1" applyBorder="1"/>
    <xf numFmtId="166" fontId="11" fillId="27" borderId="6" xfId="2" applyNumberFormat="1" applyFont="1" applyFill="1" applyBorder="1"/>
    <xf numFmtId="0" fontId="11" fillId="27" borderId="0" xfId="0" applyFont="1" applyFill="1" applyBorder="1"/>
    <xf numFmtId="164" fontId="23" fillId="27" borderId="8" xfId="0" applyNumberFormat="1" applyFont="1" applyFill="1" applyBorder="1"/>
    <xf numFmtId="168" fontId="11" fillId="27" borderId="0" xfId="0" applyNumberFormat="1" applyFont="1" applyFill="1" applyBorder="1"/>
    <xf numFmtId="168" fontId="11" fillId="27" borderId="8" xfId="0" applyNumberFormat="1" applyFont="1" applyFill="1" applyBorder="1"/>
    <xf numFmtId="3" fontId="16" fillId="27" borderId="16" xfId="0" applyNumberFormat="1" applyFont="1" applyFill="1" applyBorder="1"/>
    <xf numFmtId="168" fontId="11" fillId="27" borderId="18" xfId="0" applyNumberFormat="1" applyFont="1" applyFill="1" applyBorder="1"/>
    <xf numFmtId="168" fontId="11" fillId="27" borderId="17" xfId="0" applyNumberFormat="1" applyFont="1" applyFill="1" applyBorder="1"/>
    <xf numFmtId="168" fontId="23" fillId="27" borderId="8" xfId="0" applyNumberFormat="1" applyFont="1" applyFill="1" applyBorder="1"/>
    <xf numFmtId="166" fontId="11" fillId="27" borderId="0" xfId="2" applyNumberFormat="1" applyFont="1" applyFill="1" applyBorder="1"/>
    <xf numFmtId="0" fontId="11" fillId="27" borderId="9" xfId="0" applyFont="1" applyFill="1" applyBorder="1"/>
    <xf numFmtId="0" fontId="11" fillId="27" borderId="10" xfId="0" applyFont="1" applyFill="1" applyBorder="1"/>
    <xf numFmtId="168" fontId="23" fillId="27" borderId="11" xfId="0" applyNumberFormat="1" applyFont="1" applyFill="1" applyBorder="1"/>
    <xf numFmtId="0" fontId="23" fillId="27" borderId="2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0" fontId="11" fillId="27" borderId="6" xfId="0" applyFont="1" applyFill="1" applyBorder="1" applyAlignment="1">
      <alignment horizontal="center"/>
    </xf>
    <xf numFmtId="0" fontId="11" fillId="27" borderId="8" xfId="0" applyFont="1" applyFill="1" applyBorder="1" applyAlignment="1">
      <alignment horizontal="center"/>
    </xf>
    <xf numFmtId="0" fontId="11" fillId="27" borderId="16" xfId="0" applyFont="1" applyFill="1" applyBorder="1" applyAlignment="1">
      <alignment horizontal="center"/>
    </xf>
    <xf numFmtId="0" fontId="11" fillId="27" borderId="17" xfId="0" applyFont="1" applyFill="1" applyBorder="1" applyAlignment="1">
      <alignment horizontal="center"/>
    </xf>
    <xf numFmtId="166" fontId="11" fillId="27" borderId="6" xfId="2" applyNumberFormat="1" applyFont="1" applyFill="1" applyBorder="1" applyAlignment="1">
      <alignment horizontal="center"/>
    </xf>
    <xf numFmtId="166" fontId="11" fillId="27" borderId="16" xfId="2" applyNumberFormat="1" applyFont="1" applyFill="1" applyBorder="1" applyAlignment="1">
      <alignment horizontal="center"/>
    </xf>
    <xf numFmtId="0" fontId="11" fillId="27" borderId="6" xfId="0" applyFont="1" applyFill="1" applyBorder="1"/>
    <xf numFmtId="0" fontId="11" fillId="27" borderId="8" xfId="0" applyFont="1" applyFill="1" applyBorder="1"/>
    <xf numFmtId="0" fontId="11" fillId="27" borderId="16" xfId="0" applyFont="1" applyFill="1" applyBorder="1"/>
    <xf numFmtId="164" fontId="11" fillId="27" borderId="16" xfId="2" applyFont="1" applyFill="1" applyBorder="1"/>
    <xf numFmtId="166" fontId="11" fillId="27" borderId="17" xfId="0" applyNumberFormat="1" applyFont="1" applyFill="1" applyBorder="1" applyAlignment="1">
      <alignment horizontal="center"/>
    </xf>
    <xf numFmtId="164" fontId="11" fillId="4" borderId="8" xfId="0" applyNumberFormat="1" applyFont="1" applyFill="1" applyBorder="1"/>
    <xf numFmtId="168" fontId="11" fillId="4" borderId="8" xfId="0" applyNumberFormat="1" applyFont="1" applyFill="1" applyBorder="1"/>
    <xf numFmtId="168" fontId="11" fillId="4" borderId="17" xfId="0" applyNumberFormat="1" applyFont="1" applyFill="1" applyBorder="1"/>
    <xf numFmtId="166" fontId="23" fillId="4" borderId="9" xfId="0" applyNumberFormat="1" applyFont="1" applyFill="1" applyBorder="1"/>
    <xf numFmtId="168" fontId="23" fillId="4" borderId="10" xfId="0" applyNumberFormat="1" applyFont="1" applyFill="1" applyBorder="1"/>
    <xf numFmtId="168" fontId="23" fillId="4" borderId="11" xfId="0" applyNumberFormat="1" applyFont="1" applyFill="1" applyBorder="1"/>
    <xf numFmtId="0" fontId="11" fillId="15" borderId="14" xfId="0" applyFont="1" applyFill="1" applyBorder="1" applyAlignment="1">
      <alignment horizontal="center"/>
    </xf>
    <xf numFmtId="0" fontId="11" fillId="15" borderId="19" xfId="0" applyFont="1" applyFill="1" applyBorder="1" applyAlignment="1">
      <alignment horizontal="center"/>
    </xf>
    <xf numFmtId="0" fontId="11" fillId="15" borderId="15" xfId="0" applyFont="1" applyFill="1" applyBorder="1" applyAlignment="1">
      <alignment horizontal="center"/>
    </xf>
    <xf numFmtId="3" fontId="16" fillId="15" borderId="6" xfId="0" applyNumberFormat="1" applyFont="1" applyFill="1" applyBorder="1" applyAlignment="1">
      <alignment horizontal="right" vertical="center"/>
    </xf>
    <xf numFmtId="164" fontId="11" fillId="15" borderId="0" xfId="2" applyNumberFormat="1" applyFont="1" applyFill="1" applyBorder="1"/>
    <xf numFmtId="164" fontId="11" fillId="15" borderId="8" xfId="0" applyNumberFormat="1" applyFont="1" applyFill="1" applyBorder="1"/>
    <xf numFmtId="3" fontId="16" fillId="15" borderId="16" xfId="0" applyNumberFormat="1" applyFont="1" applyFill="1" applyBorder="1" applyAlignment="1">
      <alignment vertical="center"/>
    </xf>
    <xf numFmtId="164" fontId="11" fillId="15" borderId="18" xfId="2" applyNumberFormat="1" applyFont="1" applyFill="1" applyBorder="1"/>
    <xf numFmtId="164" fontId="11" fillId="15" borderId="17" xfId="0" applyNumberFormat="1" applyFont="1" applyFill="1" applyBorder="1"/>
    <xf numFmtId="166" fontId="23" fillId="15" borderId="6" xfId="0" applyNumberFormat="1" applyFont="1" applyFill="1" applyBorder="1"/>
    <xf numFmtId="164" fontId="23" fillId="15" borderId="0" xfId="0" applyNumberFormat="1" applyFont="1" applyFill="1" applyBorder="1"/>
    <xf numFmtId="164" fontId="23" fillId="15" borderId="8" xfId="0" applyNumberFormat="1" applyFont="1" applyFill="1" applyBorder="1"/>
    <xf numFmtId="3" fontId="16" fillId="15" borderId="6" xfId="0" applyNumberFormat="1" applyFont="1" applyFill="1" applyBorder="1" applyAlignment="1">
      <alignment vertical="center"/>
    </xf>
    <xf numFmtId="168" fontId="11" fillId="15" borderId="0" xfId="2" applyNumberFormat="1" applyFont="1" applyFill="1" applyBorder="1"/>
    <xf numFmtId="168" fontId="11" fillId="15" borderId="8" xfId="0" applyNumberFormat="1" applyFont="1" applyFill="1" applyBorder="1"/>
    <xf numFmtId="168" fontId="11" fillId="15" borderId="18" xfId="2" applyNumberFormat="1" applyFont="1" applyFill="1" applyBorder="1"/>
    <xf numFmtId="168" fontId="11" fillId="15" borderId="17" xfId="0" applyNumberFormat="1" applyFont="1" applyFill="1" applyBorder="1"/>
    <xf numFmtId="168" fontId="23" fillId="15" borderId="0" xfId="0" applyNumberFormat="1" applyFont="1" applyFill="1" applyBorder="1"/>
    <xf numFmtId="168" fontId="23" fillId="15" borderId="8" xfId="0" applyNumberFormat="1" applyFont="1" applyFill="1" applyBorder="1"/>
    <xf numFmtId="166" fontId="23" fillId="15" borderId="9" xfId="0" applyNumberFormat="1" applyFont="1" applyFill="1" applyBorder="1"/>
    <xf numFmtId="168" fontId="23" fillId="15" borderId="10" xfId="0" applyNumberFormat="1" applyFont="1" applyFill="1" applyBorder="1"/>
    <xf numFmtId="168" fontId="23" fillId="15" borderId="11" xfId="0" applyNumberFormat="1" applyFont="1" applyFill="1" applyBorder="1"/>
    <xf numFmtId="166" fontId="11" fillId="15" borderId="16" xfId="2" applyNumberFormat="1" applyFont="1" applyFill="1" applyBorder="1"/>
    <xf numFmtId="166" fontId="11" fillId="15" borderId="6" xfId="2" applyNumberFormat="1" applyFont="1" applyFill="1" applyBorder="1"/>
    <xf numFmtId="0" fontId="11" fillId="15" borderId="6" xfId="0" applyFont="1" applyFill="1" applyBorder="1"/>
    <xf numFmtId="169" fontId="11" fillId="15" borderId="0" xfId="0" applyNumberFormat="1" applyFont="1" applyFill="1" applyBorder="1"/>
    <xf numFmtId="169" fontId="11" fillId="15" borderId="18" xfId="0" applyNumberFormat="1" applyFont="1" applyFill="1" applyBorder="1"/>
    <xf numFmtId="166" fontId="23" fillId="15" borderId="16" xfId="0" applyNumberFormat="1" applyFont="1" applyFill="1" applyBorder="1"/>
    <xf numFmtId="169" fontId="23" fillId="15" borderId="16" xfId="2" applyNumberFormat="1" applyFont="1" applyFill="1" applyBorder="1"/>
    <xf numFmtId="164" fontId="23" fillId="15" borderId="13" xfId="2" applyFont="1" applyFill="1" applyBorder="1"/>
    <xf numFmtId="166" fontId="11" fillId="15" borderId="6" xfId="0" applyNumberFormat="1" applyFont="1" applyFill="1" applyBorder="1" applyAlignment="1">
      <alignment horizontal="center"/>
    </xf>
    <xf numFmtId="164" fontId="11" fillId="15" borderId="0" xfId="0" applyNumberFormat="1" applyFont="1" applyFill="1" applyBorder="1" applyAlignment="1">
      <alignment horizontal="center"/>
    </xf>
    <xf numFmtId="166" fontId="11" fillId="15" borderId="0" xfId="0" applyNumberFormat="1" applyFont="1" applyFill="1" applyBorder="1" applyAlignment="1">
      <alignment horizontal="center"/>
    </xf>
    <xf numFmtId="166" fontId="11" fillId="15" borderId="16" xfId="0" applyNumberFormat="1" applyFont="1" applyFill="1" applyBorder="1" applyAlignment="1">
      <alignment horizontal="center"/>
    </xf>
    <xf numFmtId="164" fontId="11" fillId="15" borderId="18" xfId="0" applyNumberFormat="1" applyFont="1" applyFill="1" applyBorder="1" applyAlignment="1">
      <alignment horizontal="center"/>
    </xf>
    <xf numFmtId="166" fontId="11" fillId="15" borderId="18" xfId="0" applyNumberFormat="1" applyFont="1" applyFill="1" applyBorder="1" applyAlignment="1">
      <alignment horizontal="center"/>
    </xf>
    <xf numFmtId="3" fontId="37" fillId="15" borderId="16" xfId="0" applyNumberFormat="1" applyFont="1" applyFill="1" applyBorder="1" applyAlignment="1">
      <alignment horizontal="right" vertical="center"/>
    </xf>
    <xf numFmtId="0" fontId="11" fillId="24" borderId="0" xfId="0" applyFont="1" applyFill="1" applyBorder="1" applyAlignment="1">
      <alignment horizontal="center"/>
    </xf>
    <xf numFmtId="167" fontId="11" fillId="24" borderId="0" xfId="2" applyNumberFormat="1" applyFont="1" applyFill="1" applyBorder="1"/>
    <xf numFmtId="164" fontId="11" fillId="24" borderId="0" xfId="2" applyFont="1" applyFill="1" applyBorder="1"/>
    <xf numFmtId="165" fontId="11" fillId="24" borderId="0" xfId="1" applyNumberFormat="1" applyFont="1" applyFill="1" applyBorder="1"/>
    <xf numFmtId="167" fontId="11" fillId="24" borderId="18" xfId="2" applyNumberFormat="1" applyFont="1" applyFill="1" applyBorder="1"/>
    <xf numFmtId="164" fontId="11" fillId="24" borderId="18" xfId="2" applyFont="1" applyFill="1" applyBorder="1"/>
    <xf numFmtId="165" fontId="11" fillId="24" borderId="18" xfId="1" applyNumberFormat="1" applyFont="1" applyFill="1" applyBorder="1"/>
    <xf numFmtId="0" fontId="11" fillId="24" borderId="10" xfId="0" applyFont="1" applyFill="1" applyBorder="1"/>
    <xf numFmtId="165" fontId="23" fillId="24" borderId="10" xfId="1" applyNumberFormat="1" applyFont="1" applyFill="1" applyBorder="1"/>
    <xf numFmtId="0" fontId="11" fillId="24" borderId="14" xfId="0" applyFont="1" applyFill="1" applyBorder="1" applyAlignment="1">
      <alignment horizontal="center"/>
    </xf>
    <xf numFmtId="0" fontId="11" fillId="24" borderId="19" xfId="0" applyFont="1" applyFill="1" applyBorder="1" applyAlignment="1">
      <alignment horizontal="center"/>
    </xf>
    <xf numFmtId="165" fontId="11" fillId="24" borderId="16" xfId="1" applyNumberFormat="1" applyFont="1" applyFill="1" applyBorder="1" applyAlignment="1">
      <alignment horizontal="center"/>
    </xf>
    <xf numFmtId="168" fontId="11" fillId="24" borderId="18" xfId="0" applyNumberFormat="1" applyFont="1" applyFill="1" applyBorder="1" applyAlignment="1">
      <alignment horizontal="center"/>
    </xf>
    <xf numFmtId="165" fontId="11" fillId="24" borderId="0" xfId="1" applyNumberFormat="1" applyFont="1" applyFill="1" applyBorder="1" applyAlignment="1">
      <alignment horizontal="center"/>
    </xf>
    <xf numFmtId="168" fontId="11" fillId="24" borderId="0" xfId="0" applyNumberFormat="1" applyFont="1" applyFill="1" applyBorder="1" applyAlignment="1"/>
    <xf numFmtId="165" fontId="23" fillId="24" borderId="0" xfId="1" applyNumberFormat="1" applyFont="1" applyFill="1" applyBorder="1" applyAlignment="1">
      <alignment horizontal="center"/>
    </xf>
    <xf numFmtId="168" fontId="23" fillId="24" borderId="0" xfId="0" applyNumberFormat="1" applyFont="1" applyFill="1" applyBorder="1" applyAlignment="1"/>
    <xf numFmtId="0" fontId="23" fillId="24" borderId="8" xfId="0" applyFont="1" applyFill="1" applyBorder="1" applyAlignment="1">
      <alignment horizontal="center"/>
    </xf>
    <xf numFmtId="168" fontId="11" fillId="24" borderId="0" xfId="0" applyNumberFormat="1" applyFont="1" applyFill="1" applyBorder="1"/>
    <xf numFmtId="0" fontId="11" fillId="24" borderId="15" xfId="0" applyFont="1" applyFill="1" applyBorder="1" applyAlignment="1">
      <alignment horizontal="center"/>
    </xf>
    <xf numFmtId="167" fontId="11" fillId="24" borderId="6" xfId="2" applyNumberFormat="1" applyFont="1" applyFill="1" applyBorder="1" applyAlignment="1">
      <alignment horizontal="center"/>
    </xf>
    <xf numFmtId="165" fontId="11" fillId="24" borderId="8" xfId="1" applyNumberFormat="1" applyFont="1" applyFill="1" applyBorder="1" applyAlignment="1">
      <alignment horizontal="center"/>
    </xf>
    <xf numFmtId="167" fontId="11" fillId="24" borderId="16" xfId="2" applyNumberFormat="1" applyFont="1" applyFill="1" applyBorder="1" applyAlignment="1">
      <alignment horizontal="center"/>
    </xf>
    <xf numFmtId="0" fontId="11" fillId="24" borderId="18" xfId="0" applyFont="1" applyFill="1" applyBorder="1" applyAlignment="1">
      <alignment horizontal="center"/>
    </xf>
    <xf numFmtId="165" fontId="11" fillId="24" borderId="17" xfId="1" applyNumberFormat="1" applyFont="1" applyFill="1" applyBorder="1" applyAlignment="1">
      <alignment horizontal="center"/>
    </xf>
    <xf numFmtId="167" fontId="11" fillId="24" borderId="16" xfId="2" applyNumberFormat="1" applyFont="1" applyFill="1" applyBorder="1"/>
    <xf numFmtId="165" fontId="11" fillId="24" borderId="17" xfId="1" applyNumberFormat="1" applyFont="1" applyFill="1" applyBorder="1"/>
    <xf numFmtId="0" fontId="11" fillId="26" borderId="6" xfId="0" applyFont="1" applyFill="1" applyBorder="1" applyAlignment="1">
      <alignment horizontal="center"/>
    </xf>
    <xf numFmtId="0" fontId="11" fillId="26" borderId="0" xfId="0" applyFont="1" applyFill="1" applyBorder="1" applyAlignment="1">
      <alignment horizontal="center"/>
    </xf>
    <xf numFmtId="0" fontId="11" fillId="26" borderId="8" xfId="0" applyFont="1" applyFill="1" applyBorder="1" applyAlignment="1">
      <alignment horizontal="center"/>
    </xf>
    <xf numFmtId="0" fontId="11" fillId="26" borderId="6" xfId="0" applyFont="1" applyFill="1" applyBorder="1"/>
    <xf numFmtId="0" fontId="11" fillId="26" borderId="0" xfId="0" applyFont="1" applyFill="1" applyBorder="1"/>
    <xf numFmtId="0" fontId="11" fillId="26" borderId="8" xfId="0" applyFont="1" applyFill="1" applyBorder="1"/>
    <xf numFmtId="0" fontId="11" fillId="26" borderId="16" xfId="0" applyFont="1" applyFill="1" applyBorder="1"/>
    <xf numFmtId="0" fontId="11" fillId="26" borderId="18" xfId="0" applyFont="1" applyFill="1" applyBorder="1"/>
    <xf numFmtId="0" fontId="11" fillId="26" borderId="17" xfId="0" applyFont="1" applyFill="1" applyBorder="1"/>
    <xf numFmtId="166" fontId="11" fillId="26" borderId="6" xfId="2" applyNumberFormat="1" applyFont="1" applyFill="1" applyBorder="1"/>
    <xf numFmtId="164" fontId="11" fillId="26" borderId="0" xfId="0" applyNumberFormat="1" applyFont="1" applyFill="1" applyBorder="1"/>
    <xf numFmtId="164" fontId="11" fillId="26" borderId="8" xfId="0" applyNumberFormat="1" applyFont="1" applyFill="1" applyBorder="1"/>
    <xf numFmtId="168" fontId="11" fillId="26" borderId="0" xfId="0" applyNumberFormat="1" applyFont="1" applyFill="1" applyBorder="1"/>
    <xf numFmtId="168" fontId="11" fillId="26" borderId="8" xfId="0" applyNumberFormat="1" applyFont="1" applyFill="1" applyBorder="1"/>
    <xf numFmtId="166" fontId="23" fillId="26" borderId="9" xfId="0" applyNumberFormat="1" applyFont="1" applyFill="1" applyBorder="1"/>
    <xf numFmtId="168" fontId="23" fillId="26" borderId="10" xfId="0" applyNumberFormat="1" applyFont="1" applyFill="1" applyBorder="1"/>
    <xf numFmtId="168" fontId="23" fillId="26" borderId="11" xfId="0" applyNumberFormat="1" applyFont="1" applyFill="1" applyBorder="1"/>
    <xf numFmtId="0" fontId="11" fillId="26" borderId="14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1" fillId="26" borderId="15" xfId="0" applyFont="1" applyFill="1" applyBorder="1" applyAlignment="1">
      <alignment horizontal="center"/>
    </xf>
    <xf numFmtId="3" fontId="9" fillId="26" borderId="16" xfId="0" applyNumberFormat="1" applyFont="1" applyFill="1" applyBorder="1" applyAlignment="1">
      <alignment horizontal="center" vertical="center"/>
    </xf>
    <xf numFmtId="164" fontId="11" fillId="26" borderId="18" xfId="0" applyNumberFormat="1" applyFont="1" applyFill="1" applyBorder="1"/>
    <xf numFmtId="164" fontId="11" fillId="26" borderId="17" xfId="0" applyNumberFormat="1" applyFont="1" applyFill="1" applyBorder="1"/>
    <xf numFmtId="0" fontId="11" fillId="26" borderId="16" xfId="0" applyFont="1" applyFill="1" applyBorder="1" applyAlignment="1">
      <alignment horizontal="center"/>
    </xf>
    <xf numFmtId="166" fontId="11" fillId="26" borderId="6" xfId="0" applyNumberFormat="1" applyFont="1" applyFill="1" applyBorder="1" applyAlignment="1">
      <alignment horizontal="center"/>
    </xf>
    <xf numFmtId="164" fontId="11" fillId="26" borderId="0" xfId="0" applyNumberFormat="1" applyFont="1" applyFill="1" applyBorder="1" applyAlignment="1">
      <alignment horizontal="center"/>
    </xf>
    <xf numFmtId="164" fontId="11" fillId="26" borderId="8" xfId="0" applyNumberFormat="1" applyFont="1" applyFill="1" applyBorder="1" applyAlignment="1">
      <alignment horizontal="center"/>
    </xf>
    <xf numFmtId="166" fontId="23" fillId="26" borderId="1" xfId="2" applyNumberFormat="1" applyFont="1" applyFill="1" applyBorder="1"/>
    <xf numFmtId="166" fontId="11" fillId="27" borderId="0" xfId="2" applyNumberFormat="1" applyFont="1" applyFill="1" applyBorder="1" applyAlignment="1">
      <alignment horizontal="center"/>
    </xf>
    <xf numFmtId="168" fontId="11" fillId="27" borderId="0" xfId="2" applyNumberFormat="1" applyFont="1" applyFill="1" applyBorder="1" applyAlignment="1">
      <alignment horizontal="center"/>
    </xf>
    <xf numFmtId="168" fontId="11" fillId="27" borderId="8" xfId="0" applyNumberFormat="1" applyFont="1" applyFill="1" applyBorder="1" applyAlignment="1">
      <alignment horizontal="center"/>
    </xf>
    <xf numFmtId="166" fontId="11" fillId="27" borderId="18" xfId="2" applyNumberFormat="1" applyFont="1" applyFill="1" applyBorder="1" applyAlignment="1">
      <alignment horizontal="center"/>
    </xf>
    <xf numFmtId="168" fontId="11" fillId="27" borderId="18" xfId="2" applyNumberFormat="1" applyFont="1" applyFill="1" applyBorder="1" applyAlignment="1">
      <alignment horizontal="center"/>
    </xf>
    <xf numFmtId="168" fontId="11" fillId="27" borderId="17" xfId="0" applyNumberFormat="1" applyFont="1" applyFill="1" applyBorder="1" applyAlignment="1">
      <alignment horizontal="center"/>
    </xf>
    <xf numFmtId="3" fontId="37" fillId="27" borderId="18" xfId="0" applyNumberFormat="1" applyFont="1" applyFill="1" applyBorder="1" applyAlignment="1">
      <alignment vertical="center"/>
    </xf>
    <xf numFmtId="166" fontId="9" fillId="0" borderId="0" xfId="0" applyNumberFormat="1" applyFont="1"/>
    <xf numFmtId="9" fontId="9" fillId="0" borderId="0" xfId="1" applyFont="1"/>
    <xf numFmtId="10" fontId="9" fillId="0" borderId="0" xfId="1" applyNumberFormat="1" applyFont="1"/>
    <xf numFmtId="164" fontId="11" fillId="0" borderId="1" xfId="2" applyNumberFormat="1" applyFont="1" applyBorder="1" applyAlignment="1">
      <alignment horizontal="left"/>
    </xf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6" xfId="0" applyFont="1" applyFill="1" applyBorder="1"/>
    <xf numFmtId="0" fontId="11" fillId="4" borderId="0" xfId="0" applyFont="1" applyFill="1" applyBorder="1"/>
    <xf numFmtId="0" fontId="11" fillId="4" borderId="8" xfId="0" applyFont="1" applyFill="1" applyBorder="1"/>
    <xf numFmtId="0" fontId="11" fillId="4" borderId="16" xfId="0" applyFont="1" applyFill="1" applyBorder="1"/>
    <xf numFmtId="0" fontId="11" fillId="4" borderId="18" xfId="0" applyFont="1" applyFill="1" applyBorder="1"/>
    <xf numFmtId="0" fontId="11" fillId="4" borderId="17" xfId="0" applyFont="1" applyFill="1" applyBorder="1"/>
    <xf numFmtId="166" fontId="11" fillId="4" borderId="6" xfId="0" applyNumberFormat="1" applyFont="1" applyFill="1" applyBorder="1"/>
    <xf numFmtId="164" fontId="11" fillId="4" borderId="0" xfId="0" applyNumberFormat="1" applyFont="1" applyFill="1" applyBorder="1"/>
    <xf numFmtId="168" fontId="11" fillId="4" borderId="0" xfId="0" applyNumberFormat="1" applyFont="1" applyFill="1" applyBorder="1"/>
    <xf numFmtId="166" fontId="11" fillId="4" borderId="16" xfId="0" applyNumberFormat="1" applyFont="1" applyFill="1" applyBorder="1"/>
    <xf numFmtId="166" fontId="11" fillId="4" borderId="0" xfId="0" applyNumberFormat="1" applyFont="1" applyFill="1" applyBorder="1"/>
    <xf numFmtId="166" fontId="23" fillId="4" borderId="2" xfId="0" applyNumberFormat="1" applyFont="1" applyFill="1" applyBorder="1"/>
    <xf numFmtId="168" fontId="23" fillId="4" borderId="4" xfId="0" applyNumberFormat="1" applyFont="1" applyFill="1" applyBorder="1"/>
    <xf numFmtId="166" fontId="11" fillId="4" borderId="6" xfId="0" applyNumberFormat="1" applyFont="1" applyFill="1" applyBorder="1" applyAlignment="1">
      <alignment horizontal="center"/>
    </xf>
    <xf numFmtId="164" fontId="11" fillId="4" borderId="0" xfId="0" applyNumberFormat="1" applyFont="1" applyFill="1" applyBorder="1" applyAlignment="1">
      <alignment horizontal="center"/>
    </xf>
    <xf numFmtId="164" fontId="11" fillId="4" borderId="8" xfId="0" applyNumberFormat="1" applyFont="1" applyFill="1" applyBorder="1" applyAlignment="1">
      <alignment horizontal="center"/>
    </xf>
    <xf numFmtId="166" fontId="23" fillId="4" borderId="1" xfId="2" applyNumberFormat="1" applyFont="1" applyFill="1" applyBorder="1"/>
    <xf numFmtId="0" fontId="11" fillId="28" borderId="7" xfId="0" applyFont="1" applyFill="1" applyBorder="1" applyAlignment="1">
      <alignment horizontal="left"/>
    </xf>
    <xf numFmtId="0" fontId="11" fillId="28" borderId="15" xfId="0" applyFont="1" applyFill="1" applyBorder="1"/>
    <xf numFmtId="0" fontId="11" fillId="28" borderId="1" xfId="0" applyFont="1" applyFill="1" applyBorder="1" applyAlignment="1">
      <alignment horizontal="center"/>
    </xf>
    <xf numFmtId="0" fontId="11" fillId="28" borderId="1" xfId="0" applyFont="1" applyFill="1" applyBorder="1"/>
    <xf numFmtId="173" fontId="11" fillId="28" borderId="1" xfId="0" applyNumberFormat="1" applyFont="1" applyFill="1" applyBorder="1"/>
    <xf numFmtId="0" fontId="39" fillId="28" borderId="14" xfId="3" applyFont="1" applyFill="1" applyBorder="1"/>
    <xf numFmtId="0" fontId="0" fillId="28" borderId="19" xfId="0" applyFill="1" applyBorder="1"/>
    <xf numFmtId="166" fontId="11" fillId="28" borderId="15" xfId="2" applyNumberFormat="1" applyFont="1" applyFill="1" applyBorder="1"/>
    <xf numFmtId="0" fontId="39" fillId="28" borderId="6" xfId="3" applyFont="1" applyFill="1" applyBorder="1"/>
    <xf numFmtId="0" fontId="0" fillId="28" borderId="0" xfId="0" applyFill="1" applyBorder="1"/>
    <xf numFmtId="166" fontId="11" fillId="28" borderId="8" xfId="2" applyNumberFormat="1" applyFont="1" applyFill="1" applyBorder="1"/>
    <xf numFmtId="0" fontId="39" fillId="28" borderId="16" xfId="3" applyFont="1" applyFill="1" applyBorder="1"/>
    <xf numFmtId="0" fontId="0" fillId="28" borderId="18" xfId="0" applyFill="1" applyBorder="1"/>
    <xf numFmtId="166" fontId="11" fillId="28" borderId="17" xfId="2" applyNumberFormat="1" applyFont="1" applyFill="1" applyBorder="1"/>
    <xf numFmtId="0" fontId="40" fillId="28" borderId="16" xfId="3" applyFont="1" applyFill="1" applyBorder="1" applyAlignment="1">
      <alignment horizontal="right"/>
    </xf>
    <xf numFmtId="166" fontId="2" fillId="28" borderId="17" xfId="0" applyNumberFormat="1" applyFont="1" applyFill="1" applyBorder="1"/>
    <xf numFmtId="166" fontId="2" fillId="28" borderId="1" xfId="0" applyNumberFormat="1" applyFont="1" applyFill="1" applyBorder="1"/>
    <xf numFmtId="0" fontId="0" fillId="28" borderId="14" xfId="0" applyFill="1" applyBorder="1"/>
    <xf numFmtId="0" fontId="18" fillId="28" borderId="19" xfId="0" applyFont="1" applyFill="1" applyBorder="1" applyAlignment="1">
      <alignment horizontal="center"/>
    </xf>
    <xf numFmtId="0" fontId="18" fillId="28" borderId="15" xfId="0" applyFont="1" applyFill="1" applyBorder="1" applyAlignment="1">
      <alignment horizontal="center"/>
    </xf>
    <xf numFmtId="0" fontId="2" fillId="28" borderId="6" xfId="0" applyFont="1" applyFill="1" applyBorder="1"/>
    <xf numFmtId="166" fontId="0" fillId="28" borderId="0" xfId="0" applyNumberFormat="1" applyFill="1" applyBorder="1"/>
    <xf numFmtId="164" fontId="0" fillId="28" borderId="8" xfId="0" applyNumberFormat="1" applyFill="1" applyBorder="1"/>
    <xf numFmtId="0" fontId="0" fillId="28" borderId="6" xfId="0" applyFill="1" applyBorder="1"/>
    <xf numFmtId="0" fontId="0" fillId="28" borderId="8" xfId="0" applyFill="1" applyBorder="1"/>
    <xf numFmtId="0" fontId="0" fillId="28" borderId="17" xfId="0" applyFill="1" applyBorder="1"/>
    <xf numFmtId="0" fontId="0" fillId="28" borderId="16" xfId="0" applyFill="1" applyBorder="1"/>
    <xf numFmtId="166" fontId="0" fillId="28" borderId="18" xfId="0" applyNumberFormat="1" applyFill="1" applyBorder="1"/>
    <xf numFmtId="164" fontId="0" fillId="28" borderId="17" xfId="0" applyNumberFormat="1" applyFill="1" applyBorder="1"/>
    <xf numFmtId="166" fontId="0" fillId="28" borderId="15" xfId="0" applyNumberFormat="1" applyFill="1" applyBorder="1"/>
    <xf numFmtId="0" fontId="0" fillId="28" borderId="4" xfId="0" applyFill="1" applyBorder="1"/>
    <xf numFmtId="166" fontId="0" fillId="28" borderId="17" xfId="0" applyNumberFormat="1" applyFill="1" applyBorder="1"/>
    <xf numFmtId="166" fontId="2" fillId="28" borderId="8" xfId="0" applyNumberFormat="1" applyFont="1" applyFill="1" applyBorder="1"/>
    <xf numFmtId="0" fontId="7" fillId="18" borderId="2" xfId="0" applyFont="1" applyFill="1" applyBorder="1" applyAlignment="1"/>
    <xf numFmtId="0" fontId="19" fillId="0" borderId="14" xfId="0" applyFont="1" applyBorder="1" applyAlignment="1">
      <alignment horizontal="left"/>
    </xf>
    <xf numFmtId="0" fontId="0" fillId="0" borderId="15" xfId="0" applyBorder="1"/>
    <xf numFmtId="0" fontId="0" fillId="0" borderId="17" xfId="0" applyBorder="1"/>
    <xf numFmtId="166" fontId="11" fillId="0" borderId="6" xfId="2" applyNumberFormat="1" applyFont="1" applyBorder="1"/>
    <xf numFmtId="0" fontId="11" fillId="0" borderId="6" xfId="0" applyFont="1" applyBorder="1"/>
    <xf numFmtId="0" fontId="11" fillId="0" borderId="19" xfId="0" applyFont="1" applyBorder="1"/>
    <xf numFmtId="0" fontId="16" fillId="0" borderId="0" xfId="0" applyFont="1"/>
    <xf numFmtId="0" fontId="16" fillId="0" borderId="18" xfId="0" applyFont="1" applyBorder="1"/>
    <xf numFmtId="0" fontId="16" fillId="0" borderId="6" xfId="0" applyFont="1" applyBorder="1"/>
    <xf numFmtId="0" fontId="16" fillId="0" borderId="0" xfId="0" applyFont="1" applyBorder="1"/>
    <xf numFmtId="0" fontId="16" fillId="0" borderId="0" xfId="0" quotePrefix="1" applyFont="1" applyBorder="1"/>
    <xf numFmtId="166" fontId="16" fillId="0" borderId="0" xfId="2" applyNumberFormat="1" applyFont="1" applyBorder="1"/>
    <xf numFmtId="0" fontId="11" fillId="0" borderId="16" xfId="0" applyFont="1" applyBorder="1"/>
    <xf numFmtId="0" fontId="11" fillId="0" borderId="18" xfId="0" applyFont="1" applyBorder="1"/>
    <xf numFmtId="1" fontId="16" fillId="0" borderId="0" xfId="0" applyNumberFormat="1" applyFont="1" applyBorder="1"/>
    <xf numFmtId="0" fontId="11" fillId="0" borderId="8" xfId="0" applyFont="1" applyBorder="1"/>
    <xf numFmtId="0" fontId="16" fillId="0" borderId="8" xfId="0" applyFont="1" applyBorder="1"/>
    <xf numFmtId="0" fontId="8" fillId="3" borderId="5" xfId="0" applyFont="1" applyFill="1" applyBorder="1" applyAlignment="1">
      <alignment horizontal="center"/>
    </xf>
    <xf numFmtId="3" fontId="16" fillId="15" borderId="5" xfId="0" applyNumberFormat="1" applyFont="1" applyFill="1" applyBorder="1" applyAlignment="1">
      <alignment horizontal="center"/>
    </xf>
    <xf numFmtId="174" fontId="37" fillId="15" borderId="5" xfId="0" applyNumberFormat="1" applyFont="1" applyFill="1" applyBorder="1" applyAlignment="1">
      <alignment horizontal="center"/>
    </xf>
    <xf numFmtId="0" fontId="23" fillId="15" borderId="1" xfId="0" applyFont="1" applyFill="1" applyBorder="1" applyAlignment="1">
      <alignment horizontal="center" vertical="center" wrapText="1"/>
    </xf>
    <xf numFmtId="3" fontId="44" fillId="15" borderId="5" xfId="0" applyNumberFormat="1" applyFont="1" applyFill="1" applyBorder="1" applyAlignment="1">
      <alignment horizontal="center"/>
    </xf>
    <xf numFmtId="3" fontId="37" fillId="15" borderId="5" xfId="0" applyNumberFormat="1" applyFont="1" applyFill="1" applyBorder="1" applyAlignment="1">
      <alignment horizontal="center"/>
    </xf>
    <xf numFmtId="3" fontId="45" fillId="15" borderId="5" xfId="0" applyNumberFormat="1" applyFont="1" applyFill="1" applyBorder="1" applyAlignment="1">
      <alignment horizontal="center"/>
    </xf>
    <xf numFmtId="174" fontId="16" fillId="15" borderId="5" xfId="0" applyNumberFormat="1" applyFont="1" applyFill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6" xfId="0" applyFont="1" applyBorder="1"/>
    <xf numFmtId="164" fontId="16" fillId="0" borderId="18" xfId="0" applyNumberFormat="1" applyFont="1" applyBorder="1"/>
    <xf numFmtId="0" fontId="21" fillId="0" borderId="0" xfId="0" applyFont="1" applyBorder="1"/>
    <xf numFmtId="0" fontId="23" fillId="0" borderId="0" xfId="0" applyFont="1" applyBorder="1"/>
    <xf numFmtId="0" fontId="37" fillId="0" borderId="4" xfId="0" applyFont="1" applyBorder="1"/>
    <xf numFmtId="166" fontId="16" fillId="0" borderId="18" xfId="2" applyNumberFormat="1" applyFont="1" applyBorder="1"/>
    <xf numFmtId="1" fontId="0" fillId="22" borderId="7" xfId="0" applyNumberFormat="1" applyFill="1" applyBorder="1" applyAlignment="1">
      <alignment horizontal="center"/>
    </xf>
    <xf numFmtId="1" fontId="0" fillId="22" borderId="5" xfId="0" applyNumberFormat="1" applyFill="1" applyBorder="1" applyAlignment="1">
      <alignment horizontal="center"/>
    </xf>
    <xf numFmtId="168" fontId="0" fillId="22" borderId="7" xfId="0" applyNumberFormat="1" applyFill="1" applyBorder="1" applyAlignment="1">
      <alignment horizontal="center"/>
    </xf>
    <xf numFmtId="168" fontId="0" fillId="22" borderId="5" xfId="0" applyNumberFormat="1" applyFill="1" applyBorder="1" applyAlignment="1">
      <alignment horizontal="center"/>
    </xf>
    <xf numFmtId="166" fontId="0" fillId="14" borderId="7" xfId="2" applyNumberFormat="1" applyFont="1" applyFill="1" applyBorder="1"/>
    <xf numFmtId="166" fontId="0" fillId="14" borderId="5" xfId="2" applyNumberFormat="1" applyFont="1" applyFill="1" applyBorder="1"/>
    <xf numFmtId="168" fontId="0" fillId="14" borderId="7" xfId="2" applyNumberFormat="1" applyFont="1" applyFill="1" applyBorder="1"/>
    <xf numFmtId="168" fontId="0" fillId="14" borderId="5" xfId="2" applyNumberFormat="1" applyFont="1" applyFill="1" applyBorder="1"/>
    <xf numFmtId="0" fontId="18" fillId="22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23" fillId="0" borderId="4" xfId="0" applyFont="1" applyBorder="1"/>
    <xf numFmtId="0" fontId="18" fillId="8" borderId="1" xfId="0" applyFont="1" applyFill="1" applyBorder="1" applyAlignment="1">
      <alignment horizontal="center" vertical="center" wrapText="1"/>
    </xf>
    <xf numFmtId="1" fontId="0" fillId="8" borderId="7" xfId="0" applyNumberFormat="1" applyFill="1" applyBorder="1"/>
    <xf numFmtId="164" fontId="0" fillId="8" borderId="7" xfId="0" applyNumberFormat="1" applyFill="1" applyBorder="1"/>
    <xf numFmtId="1" fontId="0" fillId="8" borderId="5" xfId="0" applyNumberFormat="1" applyFill="1" applyBorder="1"/>
    <xf numFmtId="164" fontId="0" fillId="8" borderId="5" xfId="0" applyNumberFormat="1" applyFill="1" applyBorder="1"/>
    <xf numFmtId="164" fontId="37" fillId="5" borderId="2" xfId="2" applyFont="1" applyFill="1" applyBorder="1"/>
    <xf numFmtId="164" fontId="23" fillId="5" borderId="2" xfId="2" applyFont="1" applyFill="1" applyBorder="1"/>
    <xf numFmtId="166" fontId="11" fillId="6" borderId="6" xfId="2" applyNumberFormat="1" applyFont="1" applyFill="1" applyBorder="1"/>
    <xf numFmtId="165" fontId="11" fillId="6" borderId="8" xfId="1" applyNumberFormat="1" applyFont="1" applyFill="1" applyBorder="1"/>
    <xf numFmtId="166" fontId="11" fillId="18" borderId="6" xfId="2" applyNumberFormat="1" applyFont="1" applyFill="1" applyBorder="1"/>
    <xf numFmtId="165" fontId="11" fillId="18" borderId="8" xfId="1" applyNumberFormat="1" applyFont="1" applyFill="1" applyBorder="1"/>
    <xf numFmtId="166" fontId="11" fillId="6" borderId="16" xfId="2" applyNumberFormat="1" applyFont="1" applyFill="1" applyBorder="1"/>
    <xf numFmtId="165" fontId="11" fillId="6" borderId="17" xfId="1" applyNumberFormat="1" applyFont="1" applyFill="1" applyBorder="1"/>
    <xf numFmtId="166" fontId="23" fillId="6" borderId="16" xfId="2" applyNumberFormat="1" applyFont="1" applyFill="1" applyBorder="1"/>
    <xf numFmtId="165" fontId="23" fillId="6" borderId="17" xfId="1" applyNumberFormat="1" applyFont="1" applyFill="1" applyBorder="1"/>
    <xf numFmtId="166" fontId="11" fillId="17" borderId="6" xfId="2" applyNumberFormat="1" applyFont="1" applyFill="1" applyBorder="1"/>
    <xf numFmtId="165" fontId="11" fillId="17" borderId="8" xfId="1" applyNumberFormat="1" applyFont="1" applyFill="1" applyBorder="1"/>
    <xf numFmtId="166" fontId="23" fillId="18" borderId="6" xfId="2" applyNumberFormat="1" applyFont="1" applyFill="1" applyBorder="1"/>
    <xf numFmtId="10" fontId="11" fillId="18" borderId="8" xfId="1" applyNumberFormat="1" applyFont="1" applyFill="1" applyBorder="1"/>
    <xf numFmtId="166" fontId="11" fillId="17" borderId="16" xfId="2" applyNumberFormat="1" applyFont="1" applyFill="1" applyBorder="1"/>
    <xf numFmtId="165" fontId="11" fillId="17" borderId="17" xfId="1" applyNumberFormat="1" applyFont="1" applyFill="1" applyBorder="1"/>
    <xf numFmtId="166" fontId="23" fillId="17" borderId="16" xfId="2" applyNumberFormat="1" applyFont="1" applyFill="1" applyBorder="1"/>
    <xf numFmtId="165" fontId="23" fillId="17" borderId="17" xfId="1" applyNumberFormat="1" applyFont="1" applyFill="1" applyBorder="1"/>
    <xf numFmtId="0" fontId="11" fillId="18" borderId="5" xfId="0" applyFont="1" applyFill="1" applyBorder="1"/>
    <xf numFmtId="0" fontId="11" fillId="0" borderId="13" xfId="0" applyFont="1" applyBorder="1"/>
    <xf numFmtId="0" fontId="23" fillId="0" borderId="13" xfId="0" applyFont="1" applyBorder="1"/>
    <xf numFmtId="0" fontId="18" fillId="0" borderId="1" xfId="0" applyFont="1" applyBorder="1"/>
    <xf numFmtId="0" fontId="31" fillId="0" borderId="0" xfId="0" applyFont="1"/>
    <xf numFmtId="0" fontId="46" fillId="0" borderId="0" xfId="0" applyFont="1"/>
    <xf numFmtId="164" fontId="11" fillId="0" borderId="0" xfId="2" applyFont="1"/>
    <xf numFmtId="164" fontId="23" fillId="5" borderId="0" xfId="0" applyNumberFormat="1" applyFont="1" applyFill="1"/>
    <xf numFmtId="0" fontId="11" fillId="5" borderId="0" xfId="0" applyFont="1" applyFill="1"/>
    <xf numFmtId="0" fontId="11" fillId="0" borderId="0" xfId="0" quotePrefix="1" applyFont="1"/>
    <xf numFmtId="168" fontId="0" fillId="9" borderId="0" xfId="0" applyNumberFormat="1" applyFill="1" applyBorder="1"/>
    <xf numFmtId="0" fontId="18" fillId="29" borderId="1" xfId="0" applyFont="1" applyFill="1" applyBorder="1" applyAlignment="1">
      <alignment horizontal="center" vertical="center" wrapText="1"/>
    </xf>
    <xf numFmtId="166" fontId="0" fillId="29" borderId="7" xfId="2" applyNumberFormat="1" applyFont="1" applyFill="1" applyBorder="1"/>
    <xf numFmtId="166" fontId="0" fillId="29" borderId="5" xfId="2" applyNumberFormat="1" applyFont="1" applyFill="1" applyBorder="1"/>
    <xf numFmtId="10" fontId="0" fillId="9" borderId="17" xfId="1" applyNumberFormat="1" applyFont="1" applyFill="1" applyBorder="1"/>
    <xf numFmtId="10" fontId="0" fillId="9" borderId="8" xfId="1" applyNumberFormat="1" applyFont="1" applyFill="1" applyBorder="1"/>
    <xf numFmtId="0" fontId="6" fillId="27" borderId="14" xfId="0" applyFont="1" applyFill="1" applyBorder="1"/>
    <xf numFmtId="0" fontId="0" fillId="27" borderId="19" xfId="0" applyFill="1" applyBorder="1"/>
    <xf numFmtId="164" fontId="2" fillId="27" borderId="15" xfId="0" applyNumberFormat="1" applyFont="1" applyFill="1" applyBorder="1"/>
    <xf numFmtId="0" fontId="6" fillId="27" borderId="6" xfId="0" applyFont="1" applyFill="1" applyBorder="1"/>
    <xf numFmtId="0" fontId="0" fillId="27" borderId="0" xfId="0" applyFill="1" applyBorder="1"/>
    <xf numFmtId="166" fontId="0" fillId="27" borderId="8" xfId="2" applyNumberFormat="1" applyFont="1" applyFill="1" applyBorder="1"/>
    <xf numFmtId="0" fontId="0" fillId="27" borderId="16" xfId="0" applyFill="1" applyBorder="1"/>
    <xf numFmtId="0" fontId="0" fillId="27" borderId="18" xfId="0" applyFill="1" applyBorder="1"/>
    <xf numFmtId="164" fontId="0" fillId="27" borderId="17" xfId="2" applyFont="1" applyFill="1" applyBorder="1"/>
    <xf numFmtId="0" fontId="0" fillId="2" borderId="14" xfId="0" applyFill="1" applyBorder="1"/>
    <xf numFmtId="164" fontId="0" fillId="0" borderId="6" xfId="0" applyNumberFormat="1" applyBorder="1"/>
    <xf numFmtId="168" fontId="0" fillId="0" borderId="6" xfId="2" applyNumberFormat="1" applyFont="1" applyBorder="1"/>
    <xf numFmtId="168" fontId="0" fillId="11" borderId="6" xfId="2" applyNumberFormat="1" applyFont="1" applyFill="1" applyBorder="1"/>
    <xf numFmtId="164" fontId="0" fillId="0" borderId="6" xfId="2" applyFont="1" applyBorder="1"/>
    <xf numFmtId="0" fontId="0" fillId="2" borderId="6" xfId="0" applyFill="1" applyBorder="1"/>
    <xf numFmtId="164" fontId="2" fillId="12" borderId="6" xfId="2" applyFont="1" applyFill="1" applyBorder="1"/>
    <xf numFmtId="168" fontId="0" fillId="2" borderId="6" xfId="0" applyNumberFormat="1" applyFill="1" applyBorder="1"/>
    <xf numFmtId="0" fontId="47" fillId="0" borderId="19" xfId="0" applyFont="1" applyBorder="1" applyAlignment="1">
      <alignment vertical="center"/>
    </xf>
    <xf numFmtId="0" fontId="3" fillId="2" borderId="7" xfId="0" applyFont="1" applyFill="1" applyBorder="1"/>
    <xf numFmtId="0" fontId="2" fillId="4" borderId="5" xfId="0" applyFont="1" applyFill="1" applyBorder="1"/>
    <xf numFmtId="0" fontId="6" fillId="12" borderId="5" xfId="0" applyFont="1" applyFill="1" applyBorder="1"/>
    <xf numFmtId="0" fontId="6" fillId="4" borderId="5" xfId="0" applyFont="1" applyFill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12" borderId="5" xfId="0" applyFont="1" applyFill="1" applyBorder="1"/>
    <xf numFmtId="0" fontId="6" fillId="4" borderId="13" xfId="0" applyFont="1" applyFill="1" applyBorder="1"/>
    <xf numFmtId="0" fontId="6" fillId="4" borderId="1" xfId="0" applyFont="1" applyFill="1" applyBorder="1"/>
    <xf numFmtId="0" fontId="47" fillId="0" borderId="0" xfId="0" applyFont="1"/>
    <xf numFmtId="168" fontId="0" fillId="0" borderId="0" xfId="0" applyNumberFormat="1"/>
    <xf numFmtId="0" fontId="23" fillId="27" borderId="2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164" fontId="11" fillId="27" borderId="14" xfId="2" applyFont="1" applyFill="1" applyBorder="1"/>
    <xf numFmtId="166" fontId="11" fillId="15" borderId="14" xfId="0" applyNumberFormat="1" applyFont="1" applyFill="1" applyBorder="1"/>
    <xf numFmtId="169" fontId="11" fillId="15" borderId="19" xfId="2" applyNumberFormat="1" applyFont="1" applyFill="1" applyBorder="1"/>
    <xf numFmtId="164" fontId="11" fillId="15" borderId="15" xfId="2" applyNumberFormat="1" applyFont="1" applyFill="1" applyBorder="1"/>
    <xf numFmtId="166" fontId="23" fillId="27" borderId="16" xfId="2" applyNumberFormat="1" applyFont="1" applyFill="1" applyBorder="1" applyAlignment="1">
      <alignment horizontal="center"/>
    </xf>
    <xf numFmtId="168" fontId="23" fillId="15" borderId="18" xfId="2" applyNumberFormat="1" applyFont="1" applyFill="1" applyBorder="1"/>
    <xf numFmtId="168" fontId="23" fillId="15" borderId="17" xfId="0" applyNumberFormat="1" applyFont="1" applyFill="1" applyBorder="1"/>
    <xf numFmtId="164" fontId="25" fillId="0" borderId="0" xfId="0" applyNumberFormat="1" applyFont="1"/>
    <xf numFmtId="166" fontId="25" fillId="0" borderId="0" xfId="0" applyNumberFormat="1" applyFont="1"/>
    <xf numFmtId="0" fontId="23" fillId="0" borderId="6" xfId="0" applyFont="1" applyBorder="1" applyAlignment="1">
      <alignment horizontal="center"/>
    </xf>
    <xf numFmtId="166" fontId="11" fillId="15" borderId="21" xfId="2" applyNumberFormat="1" applyFont="1" applyFill="1" applyBorder="1"/>
    <xf numFmtId="168" fontId="11" fillId="15" borderId="22" xfId="2" applyNumberFormat="1" applyFont="1" applyFill="1" applyBorder="1"/>
    <xf numFmtId="168" fontId="11" fillId="15" borderId="23" xfId="0" applyNumberFormat="1" applyFont="1" applyFill="1" applyBorder="1"/>
    <xf numFmtId="166" fontId="25" fillId="0" borderId="0" xfId="2" applyNumberFormat="1" applyFont="1"/>
    <xf numFmtId="3" fontId="0" fillId="0" borderId="0" xfId="0" applyNumberFormat="1"/>
    <xf numFmtId="167" fontId="0" fillId="0" borderId="0" xfId="2" applyNumberFormat="1" applyFont="1"/>
    <xf numFmtId="10" fontId="0" fillId="0" borderId="0" xfId="1" applyNumberFormat="1" applyFont="1" applyBorder="1"/>
    <xf numFmtId="170" fontId="0" fillId="0" borderId="0" xfId="1" applyNumberFormat="1" applyFont="1" applyBorder="1"/>
    <xf numFmtId="168" fontId="11" fillId="5" borderId="18" xfId="2" applyNumberFormat="1" applyFont="1" applyFill="1" applyBorder="1"/>
    <xf numFmtId="168" fontId="23" fillId="29" borderId="3" xfId="0" applyNumberFormat="1" applyFont="1" applyFill="1" applyBorder="1"/>
    <xf numFmtId="168" fontId="11" fillId="29" borderId="18" xfId="0" applyNumberFormat="1" applyFont="1" applyFill="1" applyBorder="1"/>
    <xf numFmtId="164" fontId="11" fillId="0" borderId="16" xfId="0" applyNumberFormat="1" applyFont="1" applyBorder="1"/>
    <xf numFmtId="164" fontId="11" fillId="0" borderId="18" xfId="0" applyNumberFormat="1" applyFont="1" applyBorder="1"/>
    <xf numFmtId="168" fontId="11" fillId="0" borderId="0" xfId="0" applyNumberFormat="1" applyFont="1"/>
    <xf numFmtId="0" fontId="2" fillId="4" borderId="5" xfId="0" applyFont="1" applyFill="1" applyBorder="1" applyAlignment="1">
      <alignment horizontal="center" vertical="center" wrapText="1"/>
    </xf>
    <xf numFmtId="9" fontId="0" fillId="5" borderId="3" xfId="1" applyFont="1" applyFill="1" applyBorder="1"/>
    <xf numFmtId="166" fontId="0" fillId="0" borderId="14" xfId="0" applyNumberFormat="1" applyBorder="1"/>
    <xf numFmtId="166" fontId="2" fillId="0" borderId="0" xfId="0" applyNumberFormat="1" applyFont="1"/>
    <xf numFmtId="168" fontId="11" fillId="0" borderId="0" xfId="2" applyNumberFormat="1" applyFont="1"/>
    <xf numFmtId="43" fontId="0" fillId="0" borderId="0" xfId="0" applyNumberFormat="1"/>
    <xf numFmtId="0" fontId="7" fillId="18" borderId="2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19" fillId="19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3" fillId="23" borderId="2" xfId="0" applyFont="1" applyFill="1" applyBorder="1" applyAlignment="1">
      <alignment horizontal="center"/>
    </xf>
    <xf numFmtId="0" fontId="23" fillId="23" borderId="3" xfId="0" applyFont="1" applyFill="1" applyBorder="1" applyAlignment="1">
      <alignment horizontal="center"/>
    </xf>
    <xf numFmtId="0" fontId="23" fillId="23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0" fontId="23" fillId="26" borderId="2" xfId="0" applyFont="1" applyFill="1" applyBorder="1" applyAlignment="1">
      <alignment horizontal="center"/>
    </xf>
    <xf numFmtId="0" fontId="23" fillId="26" borderId="3" xfId="0" applyFont="1" applyFill="1" applyBorder="1" applyAlignment="1">
      <alignment horizontal="center"/>
    </xf>
    <xf numFmtId="0" fontId="23" fillId="26" borderId="4" xfId="0" applyFont="1" applyFill="1" applyBorder="1" applyAlignment="1">
      <alignment horizontal="center"/>
    </xf>
    <xf numFmtId="0" fontId="0" fillId="28" borderId="6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0" fontId="0" fillId="28" borderId="8" xfId="0" applyFill="1" applyBorder="1" applyAlignment="1">
      <alignment horizontal="center"/>
    </xf>
    <xf numFmtId="0" fontId="36" fillId="0" borderId="0" xfId="0" applyNumberFormat="1" applyFont="1" applyBorder="1" applyAlignment="1">
      <alignment horizontal="center" vertical="center"/>
    </xf>
    <xf numFmtId="0" fontId="2" fillId="28" borderId="6" xfId="0" applyFont="1" applyFill="1" applyBorder="1" applyAlignment="1">
      <alignment horizontal="center"/>
    </xf>
    <xf numFmtId="0" fontId="2" fillId="28" borderId="0" xfId="0" applyFont="1" applyFill="1" applyBorder="1" applyAlignment="1">
      <alignment horizontal="center"/>
    </xf>
    <xf numFmtId="0" fontId="2" fillId="28" borderId="14" xfId="0" applyFont="1" applyFill="1" applyBorder="1" applyAlignment="1">
      <alignment horizontal="center"/>
    </xf>
    <xf numFmtId="0" fontId="2" fillId="28" borderId="19" xfId="0" applyFont="1" applyFill="1" applyBorder="1" applyAlignment="1">
      <alignment horizontal="center"/>
    </xf>
    <xf numFmtId="0" fontId="23" fillId="24" borderId="3" xfId="0" applyFont="1" applyFill="1" applyBorder="1" applyAlignment="1">
      <alignment horizontal="center"/>
    </xf>
    <xf numFmtId="0" fontId="23" fillId="27" borderId="2" xfId="0" applyFont="1" applyFill="1" applyBorder="1" applyAlignment="1">
      <alignment horizontal="center"/>
    </xf>
    <xf numFmtId="0" fontId="23" fillId="27" borderId="3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0" fontId="23" fillId="15" borderId="2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/>
    </xf>
    <xf numFmtId="0" fontId="23" fillId="15" borderId="4" xfId="0" applyFont="1" applyFill="1" applyBorder="1" applyAlignment="1">
      <alignment horizontal="center"/>
    </xf>
    <xf numFmtId="0" fontId="23" fillId="24" borderId="19" xfId="0" applyFont="1" applyFill="1" applyBorder="1" applyAlignment="1">
      <alignment horizontal="center"/>
    </xf>
    <xf numFmtId="0" fontId="23" fillId="24" borderId="1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</cellXfs>
  <cellStyles count="5">
    <cellStyle name="Comma" xfId="2" builtinId="3"/>
    <cellStyle name="Normal" xfId="0" builtinId="0"/>
    <cellStyle name="Normal 2 2" xfId="3"/>
    <cellStyle name="Normal 5" xfId="4"/>
    <cellStyle name="Percent" xfId="1" builtinId="5"/>
  </cellStyles>
  <dxfs count="1"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FFFFCC"/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2019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325"/>
          <c:h val="0.67800941227319556"/>
        </c:manualLayout>
      </c:layout>
      <c:pie3DChart>
        <c:varyColors val="1"/>
        <c:ser>
          <c:idx val="0"/>
          <c:order val="0"/>
          <c:tx>
            <c:strRef>
              <c:f>'Energy Balance-2019'!$A$97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17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364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077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Balance-2019'!$A$101:$A$107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Balance-2019'!$B$101:$B$107</c:f>
              <c:numCache>
                <c:formatCode>_(* #,##0_);_(* \(#,##0\);_(* "-"??_);_(@_)</c:formatCode>
                <c:ptCount val="7"/>
                <c:pt idx="0">
                  <c:v>36960.353619306785</c:v>
                </c:pt>
                <c:pt idx="1">
                  <c:v>4809.8288540650001</c:v>
                </c:pt>
                <c:pt idx="2">
                  <c:v>3688.1308387010495</c:v>
                </c:pt>
                <c:pt idx="3">
                  <c:v>27401.559093716198</c:v>
                </c:pt>
                <c:pt idx="4">
                  <c:v>15622.472857696293</c:v>
                </c:pt>
                <c:pt idx="5">
                  <c:v>13547.869037033604</c:v>
                </c:pt>
                <c:pt idx="6">
                  <c:v>1705.2401249999996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4.0315871995442933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Balance-2019'!$A$42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Balance-2019'!$A$45:$A$55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Balance-2019'!$B$45:$B$55</c:f>
              <c:numCache>
                <c:formatCode>_(* #,##0_);_(* \(#,##0\);_(* "-"??_);_(@_)</c:formatCode>
                <c:ptCount val="11"/>
                <c:pt idx="0">
                  <c:v>82383.262012305742</c:v>
                </c:pt>
                <c:pt idx="1">
                  <c:v>59036.830703537882</c:v>
                </c:pt>
                <c:pt idx="2">
                  <c:v>27136.49864354762</c:v>
                </c:pt>
                <c:pt idx="3">
                  <c:v>5192.7825708930004</c:v>
                </c:pt>
                <c:pt idx="4">
                  <c:v>4399.9580084734607</c:v>
                </c:pt>
                <c:pt idx="5">
                  <c:v>318.96454</c:v>
                </c:pt>
                <c:pt idx="6">
                  <c:v>435.51586800000001</c:v>
                </c:pt>
                <c:pt idx="7">
                  <c:v>74.367754392501737</c:v>
                </c:pt>
                <c:pt idx="8">
                  <c:v>18.098714480000002</c:v>
                </c:pt>
                <c:pt idx="9">
                  <c:v>58.054059550789468</c:v>
                </c:pt>
                <c:pt idx="10">
                  <c:v>8.071480799999998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Balance-2019'!$A$69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delete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Balance-2019'!$A$72:$A$81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Balance-2019'!$B$72:$B$81</c:f>
              <c:numCache>
                <c:formatCode>_(* #,##0_);_(* \(#,##0\);_(* "-"??_);_(@_)</c:formatCode>
                <c:ptCount val="10"/>
                <c:pt idx="0">
                  <c:v>41401.93430554081</c:v>
                </c:pt>
                <c:pt idx="1">
                  <c:v>25229.109743522589</c:v>
                </c:pt>
                <c:pt idx="2">
                  <c:v>23567.334054454197</c:v>
                </c:pt>
                <c:pt idx="3">
                  <c:v>5766.7840929239992</c:v>
                </c:pt>
                <c:pt idx="4">
                  <c:v>3917.5991999999992</c:v>
                </c:pt>
                <c:pt idx="5">
                  <c:v>3680.2812331010496</c:v>
                </c:pt>
                <c:pt idx="6">
                  <c:v>74.367754392501737</c:v>
                </c:pt>
                <c:pt idx="7">
                  <c:v>32.140376433</c:v>
                </c:pt>
                <c:pt idx="8">
                  <c:v>58.054059550789468</c:v>
                </c:pt>
                <c:pt idx="9">
                  <c:v>7.8496056000000003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Structure of Primary Energy Consumption in 2019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'Energy Balance-2019'!$A$42</c:f>
              <c:strCache>
                <c:ptCount val="1"/>
                <c:pt idx="0">
                  <c:v>PRIMARY ENERGY CONSUMPTION  (PEC)</c:v>
                </c:pt>
              </c:strCache>
            </c:strRef>
          </c:tx>
          <c:dLbls>
            <c:dLbl>
              <c:idx val="0"/>
              <c:layout>
                <c:manualLayout>
                  <c:x val="-0.16577856719952636"/>
                  <c:y val="6.7146282973621366E-2"/>
                </c:manualLayout>
              </c:layout>
              <c:showVal val="1"/>
              <c:showCatName val="1"/>
              <c:showPercent val="1"/>
            </c:dLbl>
            <c:dLbl>
              <c:idx val="1"/>
              <c:layout>
                <c:manualLayout>
                  <c:x val="-0.13735938425103641"/>
                  <c:y val="-5.7553956834532606E-2"/>
                </c:manualLayout>
              </c:layout>
              <c:showVal val="1"/>
              <c:showCatName val="1"/>
              <c:showPercent val="1"/>
            </c:dLbl>
            <c:dLbl>
              <c:idx val="2"/>
              <c:layout>
                <c:manualLayout>
                  <c:x val="0.11367673179396109"/>
                  <c:y val="-9.5923261390887568E-2"/>
                </c:manualLayout>
              </c:layout>
              <c:showVal val="1"/>
              <c:showCatName val="1"/>
              <c:showPercent val="1"/>
            </c:dLbl>
            <c:dLbl>
              <c:idx val="3"/>
              <c:layout>
                <c:manualLayout>
                  <c:x val="0.13262266728204267"/>
                  <c:y val="-4.1567250136898423E-2"/>
                </c:manualLayout>
              </c:layout>
              <c:showVal val="1"/>
              <c:showCatName val="1"/>
              <c:showPercent val="1"/>
            </c:dLbl>
            <c:dLbl>
              <c:idx val="4"/>
              <c:layout>
                <c:manualLayout>
                  <c:x val="0.13735938425103641"/>
                  <c:y val="-1.9184652278177523E-2"/>
                </c:manualLayout>
              </c:layout>
              <c:showVal val="1"/>
              <c:showCatName val="1"/>
              <c:showPercent val="1"/>
            </c:dLbl>
            <c:dLbl>
              <c:idx val="5"/>
              <c:layout>
                <c:manualLayout>
                  <c:x val="0.16577856719952636"/>
                  <c:y val="6.39488409272581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Wind,  319 , 0.2%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6"/>
              <c:layout>
                <c:manualLayout>
                  <c:x val="0.13262266728204267"/>
                  <c:y val="7.0343725019984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PV,  436 , 0.2%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0.12314979277679119"/>
                  <c:y val="0.13749000799360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Fuelwood,  58 , 0.03%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0"/>
              <c:layout>
                <c:manualLayout>
                  <c:x val="3.3155713439905275E-2"/>
                  <c:y val="0.26858513189448563"/>
                </c:manualLayout>
              </c:layout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'Energy Balance-2019'!$A$45:$A$55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Balance-2019'!$B$45:$B$55</c:f>
              <c:numCache>
                <c:formatCode>_(* #,##0_);_(* \(#,##0\);_(* "-"??_);_(@_)</c:formatCode>
                <c:ptCount val="11"/>
                <c:pt idx="0">
                  <c:v>82383.262012305742</c:v>
                </c:pt>
                <c:pt idx="1">
                  <c:v>59036.830703537882</c:v>
                </c:pt>
                <c:pt idx="2">
                  <c:v>27136.49864354762</c:v>
                </c:pt>
                <c:pt idx="3">
                  <c:v>5192.7825708930004</c:v>
                </c:pt>
                <c:pt idx="4">
                  <c:v>4399.9580084734607</c:v>
                </c:pt>
                <c:pt idx="5">
                  <c:v>318.96454</c:v>
                </c:pt>
                <c:pt idx="6">
                  <c:v>435.51586800000001</c:v>
                </c:pt>
                <c:pt idx="7">
                  <c:v>74.367754392501737</c:v>
                </c:pt>
                <c:pt idx="8">
                  <c:v>18.098714480000002</c:v>
                </c:pt>
                <c:pt idx="9">
                  <c:v>58.054059550789468</c:v>
                </c:pt>
                <c:pt idx="10">
                  <c:v>8.071480799999998</c:v>
                </c:pt>
              </c:numCache>
            </c:numRef>
          </c:val>
        </c:ser>
        <c:firstSliceAng val="100"/>
        <c:holeSize val="74"/>
      </c:doughnutChart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Pr>
        <a:bodyPr/>
        <a:lstStyle/>
        <a:p>
          <a:pPr>
            <a:defRPr sz="10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2390904090544453"/>
          <c:y val="0.29334125687119134"/>
          <c:w val="0.55218191818911611"/>
          <c:h val="0.67095290447184663"/>
        </c:manualLayout>
      </c:layout>
      <c:pieChart>
        <c:varyColors val="1"/>
        <c:ser>
          <c:idx val="0"/>
          <c:order val="0"/>
          <c:tx>
            <c:strRef>
              <c:f>'Electricity Stat-2019'!$A$32</c:f>
              <c:strCache>
                <c:ptCount val="1"/>
                <c:pt idx="0">
                  <c:v>ELECTRICITY GENERATION MIX IN PUC</c:v>
                </c:pt>
              </c:strCache>
            </c:strRef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00B0F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CatName val="1"/>
            <c:showPercent val="1"/>
            <c:showLeaderLines val="1"/>
          </c:dLbls>
          <c:cat>
            <c:strRef>
              <c:f>'Electricity Stat-2019'!$A$35:$A$38</c:f>
              <c:strCache>
                <c:ptCount val="4"/>
                <c:pt idx="0">
                  <c:v>Diesel- Heavy Fuel Oil</c:v>
                </c:pt>
                <c:pt idx="1">
                  <c:v>Diesel- Light Fuel Oil</c:v>
                </c:pt>
                <c:pt idx="2">
                  <c:v>Wind Farm</c:v>
                </c:pt>
                <c:pt idx="3">
                  <c:v>Solar PV</c:v>
                </c:pt>
              </c:strCache>
            </c:strRef>
          </c:cat>
          <c:val>
            <c:numRef>
              <c:f>'Electricity Stat-2019'!$B$35:$B$38</c:f>
              <c:numCache>
                <c:formatCode>_(* #,##0.0_);_(* \(#,##0.0\);_(* "-"??_);_(@_)</c:formatCode>
                <c:ptCount val="4"/>
                <c:pt idx="0">
                  <c:v>384.21595200000002</c:v>
                </c:pt>
                <c:pt idx="1">
                  <c:v>53.608497999999997</c:v>
                </c:pt>
                <c:pt idx="2">
                  <c:v>3.7088899999999998</c:v>
                </c:pt>
                <c:pt idx="3">
                  <c:v>5.1150950000000002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4.0315871995442933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Balance-2019'!$A$42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Balance-2019'!$A$45:$A$55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Balance-2019'!$B$45:$B$55</c:f>
              <c:numCache>
                <c:formatCode>_(* #,##0_);_(* \(#,##0\);_(* "-"??_);_(@_)</c:formatCode>
                <c:ptCount val="11"/>
                <c:pt idx="0">
                  <c:v>82383.262012305742</c:v>
                </c:pt>
                <c:pt idx="1">
                  <c:v>59036.830703537882</c:v>
                </c:pt>
                <c:pt idx="2">
                  <c:v>27136.49864354762</c:v>
                </c:pt>
                <c:pt idx="3">
                  <c:v>5192.7825708930004</c:v>
                </c:pt>
                <c:pt idx="4">
                  <c:v>4399.9580084734607</c:v>
                </c:pt>
                <c:pt idx="5">
                  <c:v>318.96454</c:v>
                </c:pt>
                <c:pt idx="6">
                  <c:v>435.51586800000001</c:v>
                </c:pt>
                <c:pt idx="7">
                  <c:v>74.367754392501737</c:v>
                </c:pt>
                <c:pt idx="8">
                  <c:v>18.098714480000002</c:v>
                </c:pt>
                <c:pt idx="9">
                  <c:v>58.054059550789468</c:v>
                </c:pt>
                <c:pt idx="10">
                  <c:v>8.071480799999998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Balance-2019'!$A$69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delete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Balance-2019'!$A$72:$A$81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Balance-2019'!$B$72:$B$81</c:f>
              <c:numCache>
                <c:formatCode>_(* #,##0_);_(* \(#,##0\);_(* "-"??_);_(@_)</c:formatCode>
                <c:ptCount val="10"/>
                <c:pt idx="0">
                  <c:v>41401.93430554081</c:v>
                </c:pt>
                <c:pt idx="1">
                  <c:v>25229.109743522589</c:v>
                </c:pt>
                <c:pt idx="2">
                  <c:v>23567.334054454197</c:v>
                </c:pt>
                <c:pt idx="3">
                  <c:v>5766.7840929239992</c:v>
                </c:pt>
                <c:pt idx="4">
                  <c:v>3917.5991999999992</c:v>
                </c:pt>
                <c:pt idx="5">
                  <c:v>3680.2812331010496</c:v>
                </c:pt>
                <c:pt idx="6">
                  <c:v>74.367754392501737</c:v>
                </c:pt>
                <c:pt idx="7">
                  <c:v>32.140376433</c:v>
                </c:pt>
                <c:pt idx="8">
                  <c:v>58.054059550789468</c:v>
                </c:pt>
                <c:pt idx="9">
                  <c:v>7.8496056000000003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2019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359"/>
          <c:h val="0.67800941227319655"/>
        </c:manualLayout>
      </c:layout>
      <c:pie3DChart>
        <c:varyColors val="1"/>
        <c:ser>
          <c:idx val="0"/>
          <c:order val="0"/>
          <c:tx>
            <c:strRef>
              <c:f>'Energy Balance-2019'!$A$97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25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375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08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Balance-2019'!$A$101:$A$107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Balance-2019'!$B$101:$B$107</c:f>
              <c:numCache>
                <c:formatCode>_(* #,##0_);_(* \(#,##0\);_(* "-"??_);_(@_)</c:formatCode>
                <c:ptCount val="7"/>
                <c:pt idx="0">
                  <c:v>36960.353619306785</c:v>
                </c:pt>
                <c:pt idx="1">
                  <c:v>4809.8288540650001</c:v>
                </c:pt>
                <c:pt idx="2">
                  <c:v>3688.1308387010495</c:v>
                </c:pt>
                <c:pt idx="3">
                  <c:v>27401.559093716198</c:v>
                </c:pt>
                <c:pt idx="4">
                  <c:v>15622.472857696293</c:v>
                </c:pt>
                <c:pt idx="5">
                  <c:v>13547.869037033604</c:v>
                </c:pt>
                <c:pt idx="6">
                  <c:v>1705.2401249999996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83344</xdr:colOff>
      <xdr:row>23</xdr:row>
      <xdr:rowOff>83343</xdr:rowOff>
    </xdr:from>
    <xdr:to>
      <xdr:col>21</xdr:col>
      <xdr:colOff>21433</xdr:colOff>
      <xdr:row>25</xdr:row>
      <xdr:rowOff>11906</xdr:rowOff>
    </xdr:to>
    <xdr:sp macro="" textlink="">
      <xdr:nvSpPr>
        <xdr:cNvPr id="7" name="Right Brace 6"/>
        <xdr:cNvSpPr/>
      </xdr:nvSpPr>
      <xdr:spPr>
        <a:xfrm>
          <a:off x="18538032" y="6250781"/>
          <a:ext cx="676276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17971</xdr:colOff>
      <xdr:row>98</xdr:row>
      <xdr:rowOff>26958</xdr:rowOff>
    </xdr:from>
    <xdr:to>
      <xdr:col>12</xdr:col>
      <xdr:colOff>80873</xdr:colOff>
      <xdr:row>119</xdr:row>
      <xdr:rowOff>17972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266430</xdr:colOff>
      <xdr:row>43</xdr:row>
      <xdr:rowOff>93633</xdr:rowOff>
    </xdr:from>
    <xdr:to>
      <xdr:col>14</xdr:col>
      <xdr:colOff>258255</xdr:colOff>
      <xdr:row>63</xdr:row>
      <xdr:rowOff>105538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17971</xdr:colOff>
      <xdr:row>69</xdr:row>
      <xdr:rowOff>35943</xdr:rowOff>
    </xdr:from>
    <xdr:to>
      <xdr:col>13</xdr:col>
      <xdr:colOff>17971</xdr:colOff>
      <xdr:row>87</xdr:row>
      <xdr:rowOff>44929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145255</xdr:colOff>
      <xdr:row>44</xdr:row>
      <xdr:rowOff>42861</xdr:rowOff>
    </xdr:from>
    <xdr:to>
      <xdr:col>21</xdr:col>
      <xdr:colOff>357187</xdr:colOff>
      <xdr:row>64</xdr:row>
      <xdr:rowOff>166686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83344</xdr:colOff>
      <xdr:row>131</xdr:row>
      <xdr:rowOff>107157</xdr:rowOff>
    </xdr:from>
    <xdr:to>
      <xdr:col>7</xdr:col>
      <xdr:colOff>178594</xdr:colOff>
      <xdr:row>131</xdr:row>
      <xdr:rowOff>107157</xdr:rowOff>
    </xdr:to>
    <xdr:cxnSp macro="">
      <xdr:nvCxnSpPr>
        <xdr:cNvPr id="12" name="Straight Arrow Connector 11"/>
        <xdr:cNvCxnSpPr/>
      </xdr:nvCxnSpPr>
      <xdr:spPr>
        <a:xfrm flipH="1">
          <a:off x="7358063" y="28313063"/>
          <a:ext cx="821531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119063</xdr:colOff>
      <xdr:row>132</xdr:row>
      <xdr:rowOff>107157</xdr:rowOff>
    </xdr:from>
    <xdr:to>
      <xdr:col>7</xdr:col>
      <xdr:colOff>214313</xdr:colOff>
      <xdr:row>132</xdr:row>
      <xdr:rowOff>107157</xdr:rowOff>
    </xdr:to>
    <xdr:cxnSp macro="">
      <xdr:nvCxnSpPr>
        <xdr:cNvPr id="13" name="Straight Arrow Connector 12"/>
        <xdr:cNvCxnSpPr/>
      </xdr:nvCxnSpPr>
      <xdr:spPr>
        <a:xfrm flipH="1">
          <a:off x="7393782" y="28503563"/>
          <a:ext cx="821531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0.36412</cdr:x>
      <cdr:y>0.40528</cdr:y>
    </cdr:from>
    <cdr:to>
      <cdr:x>0.62522</cdr:x>
      <cdr:y>0.77938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2626" y="1609726"/>
          <a:ext cx="1400175" cy="1485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Fossile Fuel </a:t>
          </a:r>
        </a:p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178,176 Toe</a:t>
          </a:r>
        </a:p>
        <a:p xmlns:a="http://schemas.openxmlformats.org/drawingml/2006/main">
          <a:pPr algn="ctr"/>
          <a:r>
            <a:rPr lang="en-US" sz="1400" b="1">
              <a:solidFill>
                <a:schemeClr val="accent2"/>
              </a:solidFill>
            </a:rPr>
            <a:t>99.5%</a:t>
          </a:r>
        </a:p>
        <a:p xmlns:a="http://schemas.openxmlformats.org/drawingml/2006/main">
          <a:endParaRPr lang="en-US" sz="1100"/>
        </a:p>
        <a:p xmlns:a="http://schemas.openxmlformats.org/drawingml/2006/main">
          <a:pPr algn="ctr"/>
          <a:endParaRPr lang="en-US" sz="1100" b="1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Renewable Energy</a:t>
          </a: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887 Toe</a:t>
          </a:r>
        </a:p>
        <a:p xmlns:a="http://schemas.openxmlformats.org/drawingml/2006/main">
          <a:pPr algn="ctr"/>
          <a:r>
            <a:rPr lang="en-US" sz="1400" b="1">
              <a:solidFill>
                <a:srgbClr val="00B050"/>
              </a:solidFill>
            </a:rPr>
            <a:t>0.5%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666749</xdr:colOff>
      <xdr:row>12</xdr:row>
      <xdr:rowOff>142876</xdr:rowOff>
    </xdr:from>
    <xdr:to>
      <xdr:col>10</xdr:col>
      <xdr:colOff>628650</xdr:colOff>
      <xdr:row>15</xdr:row>
      <xdr:rowOff>180976</xdr:rowOff>
    </xdr:to>
    <xdr:sp macro="" textlink="">
      <xdr:nvSpPr>
        <xdr:cNvPr id="4" name="Right Brace 3"/>
        <xdr:cNvSpPr/>
      </xdr:nvSpPr>
      <xdr:spPr>
        <a:xfrm>
          <a:off x="8401049" y="2514601"/>
          <a:ext cx="676276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23</xdr:row>
      <xdr:rowOff>190499</xdr:rowOff>
    </xdr:from>
    <xdr:to>
      <xdr:col>10</xdr:col>
      <xdr:colOff>676276</xdr:colOff>
      <xdr:row>29</xdr:row>
      <xdr:rowOff>180974</xdr:rowOff>
    </xdr:to>
    <xdr:sp macro="" textlink="">
      <xdr:nvSpPr>
        <xdr:cNvPr id="5" name="Right Brace 4"/>
        <xdr:cNvSpPr/>
      </xdr:nvSpPr>
      <xdr:spPr>
        <a:xfrm>
          <a:off x="8448675" y="4667249"/>
          <a:ext cx="676276" cy="11334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33</xdr:row>
      <xdr:rowOff>38099</xdr:rowOff>
    </xdr:from>
    <xdr:to>
      <xdr:col>11</xdr:col>
      <xdr:colOff>19049</xdr:colOff>
      <xdr:row>48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857250</xdr:colOff>
      <xdr:row>61</xdr:row>
      <xdr:rowOff>66675</xdr:rowOff>
    </xdr:from>
    <xdr:to>
      <xdr:col>3</xdr:col>
      <xdr:colOff>238125</xdr:colOff>
      <xdr:row>64</xdr:row>
      <xdr:rowOff>38100</xdr:rowOff>
    </xdr:to>
    <xdr:sp macro="" textlink="">
      <xdr:nvSpPr>
        <xdr:cNvPr id="6" name="Right Brace 5"/>
        <xdr:cNvSpPr/>
      </xdr:nvSpPr>
      <xdr:spPr>
        <a:xfrm>
          <a:off x="2857500" y="15106650"/>
          <a:ext cx="247650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809625</xdr:colOff>
      <xdr:row>59</xdr:row>
      <xdr:rowOff>66675</xdr:rowOff>
    </xdr:from>
    <xdr:to>
      <xdr:col>3</xdr:col>
      <xdr:colOff>190500</xdr:colOff>
      <xdr:row>61</xdr:row>
      <xdr:rowOff>0</xdr:rowOff>
    </xdr:to>
    <xdr:sp macro="" textlink="">
      <xdr:nvSpPr>
        <xdr:cNvPr id="8" name="Right Brace 7"/>
        <xdr:cNvSpPr/>
      </xdr:nvSpPr>
      <xdr:spPr>
        <a:xfrm>
          <a:off x="2809875" y="14725650"/>
          <a:ext cx="247650" cy="3143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257175</xdr:colOff>
      <xdr:row>60</xdr:row>
      <xdr:rowOff>76200</xdr:rowOff>
    </xdr:from>
    <xdr:to>
      <xdr:col>3</xdr:col>
      <xdr:colOff>847725</xdr:colOff>
      <xdr:row>60</xdr:row>
      <xdr:rowOff>95250</xdr:rowOff>
    </xdr:to>
    <xdr:cxnSp macro="">
      <xdr:nvCxnSpPr>
        <xdr:cNvPr id="10" name="Straight Arrow Connector 9"/>
        <xdr:cNvCxnSpPr/>
      </xdr:nvCxnSpPr>
      <xdr:spPr>
        <a:xfrm>
          <a:off x="3124200" y="14925675"/>
          <a:ext cx="5905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62</xdr:row>
      <xdr:rowOff>133351</xdr:rowOff>
    </xdr:from>
    <xdr:to>
      <xdr:col>3</xdr:col>
      <xdr:colOff>847725</xdr:colOff>
      <xdr:row>62</xdr:row>
      <xdr:rowOff>161925</xdr:rowOff>
    </xdr:to>
    <xdr:cxnSp macro="">
      <xdr:nvCxnSpPr>
        <xdr:cNvPr id="11" name="Straight Arrow Connector 10"/>
        <xdr:cNvCxnSpPr/>
      </xdr:nvCxnSpPr>
      <xdr:spPr>
        <a:xfrm flipV="1">
          <a:off x="3143250" y="15363826"/>
          <a:ext cx="571500" cy="28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59</xdr:row>
      <xdr:rowOff>104775</xdr:rowOff>
    </xdr:from>
    <xdr:to>
      <xdr:col>7</xdr:col>
      <xdr:colOff>200025</xdr:colOff>
      <xdr:row>60</xdr:row>
      <xdr:rowOff>95251</xdr:rowOff>
    </xdr:to>
    <xdr:cxnSp macro="">
      <xdr:nvCxnSpPr>
        <xdr:cNvPr id="18" name="Straight Arrow Connector 17"/>
        <xdr:cNvCxnSpPr/>
      </xdr:nvCxnSpPr>
      <xdr:spPr>
        <a:xfrm flipV="1">
          <a:off x="5248275" y="14763750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60</xdr:row>
      <xdr:rowOff>152400</xdr:rowOff>
    </xdr:from>
    <xdr:to>
      <xdr:col>7</xdr:col>
      <xdr:colOff>190500</xdr:colOff>
      <xdr:row>61</xdr:row>
      <xdr:rowOff>114300</xdr:rowOff>
    </xdr:to>
    <xdr:cxnSp macro="">
      <xdr:nvCxnSpPr>
        <xdr:cNvPr id="22" name="Straight Arrow Connector 21"/>
        <xdr:cNvCxnSpPr/>
      </xdr:nvCxnSpPr>
      <xdr:spPr>
        <a:xfrm>
          <a:off x="5257800" y="15001875"/>
          <a:ext cx="6572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61</xdr:row>
      <xdr:rowOff>9525</xdr:rowOff>
    </xdr:from>
    <xdr:to>
      <xdr:col>12</xdr:col>
      <xdr:colOff>304800</xdr:colOff>
      <xdr:row>63</xdr:row>
      <xdr:rowOff>171450</xdr:rowOff>
    </xdr:to>
    <xdr:sp macro="" textlink="">
      <xdr:nvSpPr>
        <xdr:cNvPr id="25" name="Right Brace 24"/>
        <xdr:cNvSpPr/>
      </xdr:nvSpPr>
      <xdr:spPr>
        <a:xfrm>
          <a:off x="9229725" y="15049500"/>
          <a:ext cx="247650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9525</xdr:colOff>
      <xdr:row>57</xdr:row>
      <xdr:rowOff>114300</xdr:rowOff>
    </xdr:from>
    <xdr:to>
      <xdr:col>7</xdr:col>
      <xdr:colOff>209550</xdr:colOff>
      <xdr:row>58</xdr:row>
      <xdr:rowOff>104776</xdr:rowOff>
    </xdr:to>
    <xdr:cxnSp macro="">
      <xdr:nvCxnSpPr>
        <xdr:cNvPr id="28" name="Straight Arrow Connector 27"/>
        <xdr:cNvCxnSpPr/>
      </xdr:nvCxnSpPr>
      <xdr:spPr>
        <a:xfrm flipV="1">
          <a:off x="5257800" y="14392275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63</xdr:row>
      <xdr:rowOff>114300</xdr:rowOff>
    </xdr:from>
    <xdr:to>
      <xdr:col>7</xdr:col>
      <xdr:colOff>190500</xdr:colOff>
      <xdr:row>63</xdr:row>
      <xdr:rowOff>123825</xdr:rowOff>
    </xdr:to>
    <xdr:cxnSp macro="">
      <xdr:nvCxnSpPr>
        <xdr:cNvPr id="29" name="Straight Arrow Connector 28"/>
        <xdr:cNvCxnSpPr/>
      </xdr:nvCxnSpPr>
      <xdr:spPr>
        <a:xfrm flipV="1">
          <a:off x="5295900" y="15535275"/>
          <a:ext cx="619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123825</xdr:rowOff>
    </xdr:from>
    <xdr:to>
      <xdr:col>11</xdr:col>
      <xdr:colOff>239475</xdr:colOff>
      <xdr:row>24</xdr:row>
      <xdr:rowOff>30955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419100</xdr:colOff>
      <xdr:row>47</xdr:row>
      <xdr:rowOff>56611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50</xdr:row>
      <xdr:rowOff>180975</xdr:rowOff>
    </xdr:from>
    <xdr:to>
      <xdr:col>9</xdr:col>
      <xdr:colOff>567727</xdr:colOff>
      <xdr:row>72</xdr:row>
      <xdr:rowOff>67214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1</xdr:row>
      <xdr:rowOff>47625</xdr:rowOff>
    </xdr:from>
    <xdr:to>
      <xdr:col>20</xdr:col>
      <xdr:colOff>315168</xdr:colOff>
      <xdr:row>47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49" y="238125"/>
          <a:ext cx="12335719" cy="883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A84:E89" totalsRowShown="0" tableBorderDxfId="0">
  <autoFilter ref="A84:E89"/>
  <tableColumns count="5">
    <tableColumn id="1" name="Column1"/>
    <tableColumn id="3" name="PUC"/>
    <tableColumn id="4" name="Auto-Prod"/>
    <tableColumn id="5" name="Total"/>
    <tableColumn id="6" name="Total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P17" sqref="P17"/>
    </sheetView>
  </sheetViews>
  <sheetFormatPr defaultRowHeight="15"/>
  <cols>
    <col min="1" max="1" width="51.28515625" customWidth="1"/>
    <col min="2" max="2" width="13.85546875" customWidth="1"/>
    <col min="3" max="3" width="11.7109375" customWidth="1"/>
    <col min="4" max="5" width="11.140625" customWidth="1"/>
    <col min="6" max="6" width="10" customWidth="1"/>
    <col min="7" max="7" width="10.85546875" customWidth="1"/>
    <col min="8" max="8" width="10.140625" bestFit="1" customWidth="1"/>
    <col min="9" max="9" width="13.85546875" customWidth="1"/>
    <col min="10" max="10" width="8.42578125" customWidth="1"/>
    <col min="11" max="11" width="8.28515625" customWidth="1"/>
    <col min="12" max="12" width="8.85546875" customWidth="1"/>
    <col min="13" max="13" width="16.7109375" customWidth="1"/>
    <col min="14" max="14" width="8.5703125" customWidth="1"/>
    <col min="15" max="15" width="16.140625" customWidth="1"/>
    <col min="16" max="16" width="12.28515625" bestFit="1" customWidth="1"/>
    <col min="17" max="17" width="11.5703125" bestFit="1" customWidth="1"/>
    <col min="18" max="18" width="20.140625" customWidth="1"/>
    <col min="19" max="19" width="13" bestFit="1" customWidth="1"/>
    <col min="21" max="21" width="11.140625" bestFit="1" customWidth="1"/>
    <col min="23" max="23" width="4.140625" customWidth="1"/>
    <col min="24" max="24" width="28.140625" customWidth="1"/>
    <col min="25" max="25" width="11.28515625" bestFit="1" customWidth="1"/>
    <col min="30" max="30" width="13.42578125" customWidth="1"/>
    <col min="31" max="31" width="12.28515625" bestFit="1" customWidth="1"/>
    <col min="34" max="34" width="12.140625" bestFit="1" customWidth="1"/>
    <col min="35" max="36" width="11.28515625" bestFit="1" customWidth="1"/>
    <col min="38" max="38" width="18.28515625" customWidth="1"/>
    <col min="39" max="39" width="11.28515625" bestFit="1" customWidth="1"/>
  </cols>
  <sheetData>
    <row r="1" spans="1:20" ht="46.5" customHeight="1">
      <c r="A1" s="446" t="s">
        <v>31</v>
      </c>
      <c r="B1" s="802"/>
      <c r="C1" s="98"/>
      <c r="D1" s="98"/>
      <c r="E1" s="98"/>
      <c r="F1" s="762" t="s">
        <v>175</v>
      </c>
      <c r="G1" s="98"/>
      <c r="H1" s="98"/>
      <c r="I1" s="98"/>
      <c r="J1" s="98"/>
      <c r="K1" s="98"/>
      <c r="L1" s="98"/>
      <c r="M1" s="98"/>
      <c r="N1" s="98"/>
      <c r="O1" s="663"/>
    </row>
    <row r="2" spans="1:20" ht="21">
      <c r="A2" s="447" t="s">
        <v>312</v>
      </c>
      <c r="B2" s="806" t="s">
        <v>0</v>
      </c>
      <c r="C2" s="807"/>
      <c r="D2" s="807"/>
      <c r="E2" s="807"/>
      <c r="F2" s="807"/>
      <c r="G2" s="807"/>
      <c r="H2" s="808"/>
      <c r="I2" s="661" t="s">
        <v>7</v>
      </c>
      <c r="J2" s="806" t="s">
        <v>8</v>
      </c>
      <c r="K2" s="808"/>
      <c r="L2" s="448" t="s">
        <v>9</v>
      </c>
      <c r="M2" s="448" t="s">
        <v>10</v>
      </c>
      <c r="N2" s="448" t="s">
        <v>11</v>
      </c>
      <c r="O2" s="809" t="s">
        <v>63</v>
      </c>
    </row>
    <row r="3" spans="1:20" ht="60">
      <c r="A3" s="48" t="s">
        <v>339</v>
      </c>
      <c r="B3" s="45" t="s">
        <v>5</v>
      </c>
      <c r="C3" s="45" t="s">
        <v>1</v>
      </c>
      <c r="D3" s="45" t="s">
        <v>2</v>
      </c>
      <c r="E3" s="45" t="s">
        <v>3</v>
      </c>
      <c r="F3" s="45" t="s">
        <v>4</v>
      </c>
      <c r="G3" s="45" t="s">
        <v>54</v>
      </c>
      <c r="H3" s="45" t="s">
        <v>101</v>
      </c>
      <c r="I3" s="45" t="s">
        <v>150</v>
      </c>
      <c r="J3" s="45" t="s">
        <v>91</v>
      </c>
      <c r="K3" s="45" t="s">
        <v>92</v>
      </c>
      <c r="L3" s="60" t="s">
        <v>90</v>
      </c>
      <c r="M3" s="45" t="s">
        <v>23</v>
      </c>
      <c r="N3" s="4" t="s">
        <v>23</v>
      </c>
      <c r="O3" s="810"/>
    </row>
    <row r="4" spans="1:20" ht="18">
      <c r="A4" s="763" t="s">
        <v>25</v>
      </c>
      <c r="B4" s="754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25"/>
      <c r="Q4" s="406" t="s">
        <v>397</v>
      </c>
      <c r="R4" s="407"/>
      <c r="S4" s="429" t="s">
        <v>53</v>
      </c>
      <c r="T4" s="342" t="s">
        <v>158</v>
      </c>
    </row>
    <row r="5" spans="1:20" ht="20.100000000000001" customHeight="1">
      <c r="A5" s="764" t="s">
        <v>24</v>
      </c>
      <c r="B5" s="101"/>
      <c r="C5" s="19"/>
      <c r="D5" s="19"/>
      <c r="E5" s="19"/>
      <c r="F5" s="19"/>
      <c r="G5" s="19"/>
      <c r="H5" s="19"/>
      <c r="I5" s="37">
        <f>'Biomass, SWH &amp; Kero'!F40+'Biomass, SWH &amp; Kero'!H40</f>
        <v>58.054059550789468</v>
      </c>
      <c r="J5" s="31">
        <f>'Electricity Stat-2019'!H25+'Electricity Stat-2019'!H30</f>
        <v>435.51586800000001</v>
      </c>
      <c r="K5" s="24">
        <f>'Biomass, SWH &amp; Kero'!L40</f>
        <v>74.367754392501737</v>
      </c>
      <c r="L5" s="24">
        <f>'Electricity Stat-2019'!H18</f>
        <v>318.96454</v>
      </c>
      <c r="M5" s="19"/>
      <c r="N5" s="37"/>
      <c r="O5" s="316">
        <f>SUM(B5:N5)</f>
        <v>886.90222194329112</v>
      </c>
      <c r="Q5" s="408" t="s">
        <v>302</v>
      </c>
      <c r="R5" s="409"/>
      <c r="S5" s="423">
        <f>SUM(B12:H12)</f>
        <v>178175.50213403767</v>
      </c>
      <c r="T5" s="430">
        <f>S5/$S$7</f>
        <v>0.9950469657484321</v>
      </c>
    </row>
    <row r="6" spans="1:20" ht="20.100000000000001" customHeight="1">
      <c r="A6" s="764" t="s">
        <v>12</v>
      </c>
      <c r="B6" s="755">
        <f>'Petroleum Stat-2019'!I25</f>
        <v>25784.625533487822</v>
      </c>
      <c r="C6" s="24">
        <f>'Petroleum Stat-2019'!D25</f>
        <v>230908.60838948254</v>
      </c>
      <c r="D6" s="37">
        <f>'Petroleum Stat-2019'!F25</f>
        <v>91826.683596354473</v>
      </c>
      <c r="E6" s="37">
        <f>'Petroleum Stat-2019'!E25</f>
        <v>53679.200243575848</v>
      </c>
      <c r="F6" s="37">
        <f>'Petroleum Stat-2019'!H25</f>
        <v>7360.0651600000001</v>
      </c>
      <c r="G6" s="19"/>
      <c r="H6" s="37">
        <f>'Petroleum Stat-2019'!G25</f>
        <v>12.3264</v>
      </c>
      <c r="I6" s="19"/>
      <c r="J6" s="19"/>
      <c r="K6" s="19"/>
      <c r="L6" s="19"/>
      <c r="M6" s="19"/>
      <c r="N6" s="19"/>
      <c r="O6" s="317">
        <f t="shared" ref="O6:O12" si="0">SUM(B6:N6)</f>
        <v>409571.50932290067</v>
      </c>
      <c r="Q6" s="408" t="s">
        <v>259</v>
      </c>
      <c r="R6" s="409"/>
      <c r="S6" s="427">
        <f>SUM(I12:L12)</f>
        <v>886.90222194329112</v>
      </c>
      <c r="T6" s="431">
        <f>S6/$S$7</f>
        <v>4.9530342515679915E-3</v>
      </c>
    </row>
    <row r="7" spans="1:20" ht="20.100000000000001" customHeight="1">
      <c r="A7" s="764" t="s">
        <v>13</v>
      </c>
      <c r="B7" s="756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19"/>
      <c r="J7" s="19"/>
      <c r="K7" s="19"/>
      <c r="L7" s="19"/>
      <c r="M7" s="19"/>
      <c r="N7" s="19"/>
      <c r="O7" s="316">
        <f t="shared" si="0"/>
        <v>0</v>
      </c>
      <c r="Q7" s="412"/>
      <c r="R7" s="413"/>
      <c r="S7" s="428">
        <f>SUM(S5:S6)</f>
        <v>179062.40435598095</v>
      </c>
      <c r="T7" s="425">
        <f>S7/$S$7</f>
        <v>1</v>
      </c>
    </row>
    <row r="8" spans="1:20" ht="20.100000000000001" customHeight="1">
      <c r="A8" s="764" t="s">
        <v>102</v>
      </c>
      <c r="B8" s="756"/>
      <c r="C8" s="44">
        <f>-'Petroleum Stat-2019'!D35</f>
        <v>-180774.93506329655</v>
      </c>
      <c r="D8" s="44">
        <f>-'Petroleum Stat-2019'!F35</f>
        <v>-6875.9573750399986</v>
      </c>
      <c r="E8" s="44">
        <f>-'Petroleum Stat-2019'!E35</f>
        <v>-50456.767952492017</v>
      </c>
      <c r="F8" s="31"/>
      <c r="G8" s="31"/>
      <c r="H8" s="19"/>
      <c r="I8" s="19"/>
      <c r="J8" s="19"/>
      <c r="K8" s="19"/>
      <c r="L8" s="19"/>
      <c r="M8" s="19"/>
      <c r="N8" s="19"/>
      <c r="O8" s="316">
        <f t="shared" si="0"/>
        <v>-238107.66039082856</v>
      </c>
    </row>
    <row r="9" spans="1:20" ht="20.100000000000001" customHeight="1">
      <c r="A9" s="764" t="s">
        <v>168</v>
      </c>
      <c r="B9" s="757">
        <f>'Petroleum Stat-2019'!C28+'Petroleum Stat-2019'!I28</f>
        <v>537.80033459979995</v>
      </c>
      <c r="C9" s="44">
        <f>'Petroleum Stat-2019'!D28</f>
        <v>12463.466380151887</v>
      </c>
      <c r="D9" s="44">
        <f>'Petroleum Stat-2019'!F28</f>
        <v>-1206.6165334887394</v>
      </c>
      <c r="E9" s="44">
        <f>'Petroleum Stat-2019'!E28</f>
        <v>953.36818098962931</v>
      </c>
      <c r="F9" s="44">
        <f>'Petroleum Stat-2019'!H28</f>
        <v>-1854.8570138070002</v>
      </c>
      <c r="G9" s="44">
        <f>'Petroleum Stat-2019'!J28</f>
        <v>17.428543440000002</v>
      </c>
      <c r="H9" s="40">
        <f>'Petroleum Stat-2019'!G28</f>
        <v>-4.2780312000000009</v>
      </c>
      <c r="I9" s="19"/>
      <c r="J9" s="19"/>
      <c r="K9" s="19"/>
      <c r="L9" s="19"/>
      <c r="M9" s="19"/>
      <c r="N9" s="19"/>
      <c r="O9" s="317">
        <f t="shared" si="0"/>
        <v>10906.311860685579</v>
      </c>
      <c r="Q9" s="320" t="s">
        <v>304</v>
      </c>
      <c r="R9" s="321"/>
      <c r="S9" s="322"/>
    </row>
    <row r="10" spans="1:20" ht="20.100000000000001" customHeight="1">
      <c r="A10" s="764" t="s">
        <v>14</v>
      </c>
      <c r="B10" s="757">
        <f>'Petroleum Stat-2019'!C29+'Petroleum Stat-2019'!I29</f>
        <v>812.92305404000001</v>
      </c>
      <c r="C10" s="44">
        <f>'Petroleum Stat-2019'!D29</f>
        <v>-3560.3090027999997</v>
      </c>
      <c r="D10" s="44">
        <f>'Petroleum Stat-2019'!F29</f>
        <v>-1360.8476755199999</v>
      </c>
      <c r="E10" s="44">
        <f>'Petroleum Stat-2019'!E29</f>
        <v>224.15753640000003</v>
      </c>
      <c r="F10" s="44">
        <f>'Petroleum Stat-2019'!H29</f>
        <v>-312.42557529999999</v>
      </c>
      <c r="G10" s="44">
        <f>'Petroleum Stat-2019'!J29</f>
        <v>0.67017104000000005</v>
      </c>
      <c r="H10" s="40">
        <f>'Petroleum Stat-2019'!G29</f>
        <v>2.3111999999999997E-2</v>
      </c>
      <c r="I10" s="19"/>
      <c r="J10" s="19"/>
      <c r="K10" s="19"/>
      <c r="L10" s="19"/>
      <c r="M10" s="19"/>
      <c r="N10" s="19"/>
      <c r="O10" s="317">
        <f t="shared" si="0"/>
        <v>-4195.8083801399989</v>
      </c>
      <c r="Q10" s="323" t="s">
        <v>305</v>
      </c>
      <c r="R10" s="324"/>
      <c r="S10" s="418">
        <f>M15/$M$21</f>
        <v>0.82987061489729497</v>
      </c>
    </row>
    <row r="11" spans="1:20" ht="20.100000000000001" customHeight="1">
      <c r="A11" s="764" t="s">
        <v>50</v>
      </c>
      <c r="B11" s="757">
        <f>'Petroleum Stat-2019'!C30</f>
        <v>1.1497214200000001</v>
      </c>
      <c r="C11" s="96"/>
      <c r="D11" s="44"/>
      <c r="E11" s="44"/>
      <c r="F11" s="44"/>
      <c r="G11" s="44"/>
      <c r="H11" s="40"/>
      <c r="I11" s="19"/>
      <c r="J11" s="19"/>
      <c r="K11" s="19"/>
      <c r="L11" s="19"/>
      <c r="M11" s="19"/>
      <c r="N11" s="19"/>
      <c r="O11" s="317">
        <f t="shared" si="0"/>
        <v>1.1497214200000001</v>
      </c>
      <c r="Q11" s="432" t="s">
        <v>260</v>
      </c>
      <c r="R11" s="324"/>
      <c r="S11" s="418">
        <f>M16/$M$21</f>
        <v>0.15352199564402996</v>
      </c>
    </row>
    <row r="12" spans="1:20" ht="20.100000000000001" customHeight="1">
      <c r="A12" s="765" t="s">
        <v>32</v>
      </c>
      <c r="B12" s="401">
        <f>SUM(B5:B11)</f>
        <v>27136.49864354762</v>
      </c>
      <c r="C12" s="39">
        <f t="shared" ref="C12:L12" si="1">SUM(C5:C11)</f>
        <v>59036.830703537882</v>
      </c>
      <c r="D12" s="39">
        <f t="shared" si="1"/>
        <v>82383.262012305742</v>
      </c>
      <c r="E12" s="39">
        <f t="shared" si="1"/>
        <v>4399.9580084734607</v>
      </c>
      <c r="F12" s="39">
        <f t="shared" si="1"/>
        <v>5192.7825708930004</v>
      </c>
      <c r="G12" s="39">
        <f t="shared" si="1"/>
        <v>18.098714480000002</v>
      </c>
      <c r="H12" s="39">
        <f t="shared" si="1"/>
        <v>8.071480799999998</v>
      </c>
      <c r="I12" s="39">
        <f t="shared" si="1"/>
        <v>58.054059550789468</v>
      </c>
      <c r="J12" s="39">
        <f t="shared" si="1"/>
        <v>435.51586800000001</v>
      </c>
      <c r="K12" s="39">
        <f t="shared" si="1"/>
        <v>74.367754392501737</v>
      </c>
      <c r="L12" s="39">
        <f t="shared" si="1"/>
        <v>318.96454</v>
      </c>
      <c r="M12" s="39">
        <f t="shared" ref="M12:N12" si="2">SUM(M5:M11)</f>
        <v>0</v>
      </c>
      <c r="N12" s="39">
        <f t="shared" si="2"/>
        <v>0</v>
      </c>
      <c r="O12" s="59">
        <f t="shared" si="0"/>
        <v>179062.40435598092</v>
      </c>
      <c r="P12" s="9"/>
      <c r="Q12" s="432" t="s">
        <v>261</v>
      </c>
      <c r="R12" s="324"/>
      <c r="S12" s="418">
        <f>M17/$M$21</f>
        <v>7.5212266224792233E-3</v>
      </c>
    </row>
    <row r="13" spans="1:20" ht="15" customHeight="1">
      <c r="A13" s="766" t="s">
        <v>95</v>
      </c>
      <c r="B13" s="758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19"/>
      <c r="N13" s="19"/>
      <c r="O13" s="318">
        <f>O5/O12</f>
        <v>4.9530342515679924E-3</v>
      </c>
      <c r="Q13" s="323" t="s">
        <v>283</v>
      </c>
      <c r="R13" s="324"/>
      <c r="S13" s="418">
        <f>M18/$M$21</f>
        <v>7.0209488319637626E-3</v>
      </c>
    </row>
    <row r="14" spans="1:20" ht="20.100000000000001" customHeight="1">
      <c r="A14" s="767" t="s">
        <v>26</v>
      </c>
      <c r="B14" s="759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27"/>
      <c r="Q14" s="432" t="s">
        <v>262</v>
      </c>
      <c r="R14" s="324"/>
      <c r="S14" s="420">
        <f>M19/$M$21</f>
        <v>2.0652140042320848E-3</v>
      </c>
    </row>
    <row r="15" spans="1:20" ht="20.100000000000001" customHeight="1">
      <c r="A15" s="764" t="s">
        <v>15</v>
      </c>
      <c r="B15" s="101"/>
      <c r="C15" s="34">
        <f>-'Electricity Stat-2019'!E6-'Electricity Stat-2019'!E9-'Electricity Stat-2019'!E12-'Electricity Stat-2019'!E13</f>
        <v>-13197.015047159999</v>
      </c>
      <c r="D15" s="34">
        <f>-'Electricity Stat-2019'!E7-'Electricity Stat-2019'!E10</f>
        <v>-85997.277287999997</v>
      </c>
      <c r="E15" s="19"/>
      <c r="F15" s="19"/>
      <c r="G15" s="19"/>
      <c r="H15" s="19"/>
      <c r="I15" s="19"/>
      <c r="J15" s="19"/>
      <c r="K15" s="19"/>
      <c r="L15" s="35"/>
      <c r="M15" s="31">
        <f>'Electricity Stat-2019'!H14</f>
        <v>37701.357078000001</v>
      </c>
      <c r="N15" s="36"/>
      <c r="O15" s="26">
        <f>SUM(B15:N15)</f>
        <v>-61492.935257159988</v>
      </c>
      <c r="Q15" s="325"/>
      <c r="R15" s="326" t="s">
        <v>56</v>
      </c>
      <c r="S15" s="327">
        <f>SUM(S10:S14)</f>
        <v>1</v>
      </c>
    </row>
    <row r="16" spans="1:20" ht="20.100000000000001" customHeight="1">
      <c r="A16" s="764" t="s">
        <v>16</v>
      </c>
      <c r="B16" s="101"/>
      <c r="C16" s="31">
        <f>-'Electricity Stat-2019'!E78</f>
        <v>-20099.576104807496</v>
      </c>
      <c r="D16" s="19"/>
      <c r="E16" s="19"/>
      <c r="F16" s="19"/>
      <c r="G16" s="19"/>
      <c r="H16" s="19"/>
      <c r="I16" s="19"/>
      <c r="J16" s="19"/>
      <c r="K16" s="19"/>
      <c r="L16" s="19"/>
      <c r="M16" s="31">
        <f>'Electricity Stat-2019'!H78</f>
        <v>6974.5662434608039</v>
      </c>
      <c r="N16" s="37"/>
      <c r="O16" s="26">
        <f t="shared" ref="O16:O19" si="3">SUM(B16:N16)</f>
        <v>-13125.009861346693</v>
      </c>
    </row>
    <row r="17" spans="1:40" ht="20.100000000000001" customHeight="1">
      <c r="A17" s="764" t="s">
        <v>22</v>
      </c>
      <c r="B17" s="101"/>
      <c r="C17" s="19"/>
      <c r="D17" s="19"/>
      <c r="E17" s="19"/>
      <c r="F17" s="19"/>
      <c r="G17" s="19"/>
      <c r="H17" s="19"/>
      <c r="I17" s="19"/>
      <c r="J17" s="24">
        <f>-'Electricity Stat-2019'!H25</f>
        <v>-341.692362</v>
      </c>
      <c r="K17" s="24"/>
      <c r="L17" s="24"/>
      <c r="M17" s="31">
        <f>-J17</f>
        <v>341.692362</v>
      </c>
      <c r="N17" s="19"/>
      <c r="O17" s="26">
        <f t="shared" si="3"/>
        <v>0</v>
      </c>
      <c r="Q17" s="320" t="s">
        <v>306</v>
      </c>
      <c r="R17" s="321"/>
      <c r="S17" s="322"/>
    </row>
    <row r="18" spans="1:40" ht="20.100000000000001" customHeight="1">
      <c r="A18" s="764" t="s">
        <v>17</v>
      </c>
      <c r="B18" s="101"/>
      <c r="C18" s="19"/>
      <c r="D18" s="19"/>
      <c r="E18" s="19"/>
      <c r="F18" s="19"/>
      <c r="G18" s="19"/>
      <c r="H18" s="19"/>
      <c r="I18" s="19"/>
      <c r="J18" s="24"/>
      <c r="K18" s="24"/>
      <c r="L18" s="38">
        <f>-'Electricity Stat-2019'!H18</f>
        <v>-318.96454</v>
      </c>
      <c r="M18" s="31">
        <f>-L18</f>
        <v>318.96454</v>
      </c>
      <c r="N18" s="19"/>
      <c r="O18" s="26">
        <f>SUM(B18:N18)</f>
        <v>0</v>
      </c>
      <c r="Q18" s="323" t="s">
        <v>310</v>
      </c>
      <c r="R18" s="324"/>
      <c r="S18" s="419">
        <f>SUM(M17:M19)/(M15+M17+M19+M18)</f>
        <v>1.9619398700513841E-2</v>
      </c>
    </row>
    <row r="19" spans="1:40" ht="20.100000000000001" customHeight="1">
      <c r="A19" s="764" t="s">
        <v>18</v>
      </c>
      <c r="B19" s="101"/>
      <c r="C19" s="19"/>
      <c r="D19" s="37"/>
      <c r="E19" s="19"/>
      <c r="F19" s="19"/>
      <c r="G19" s="19"/>
      <c r="H19" s="19"/>
      <c r="I19" s="19"/>
      <c r="J19" s="31">
        <f>-'Electricity Stat-2019'!H30</f>
        <v>-93.823505999999995</v>
      </c>
      <c r="K19" s="24"/>
      <c r="L19" s="24"/>
      <c r="M19" s="31">
        <f>-J19</f>
        <v>93.823505999999995</v>
      </c>
      <c r="N19" s="19"/>
      <c r="O19" s="26">
        <f t="shared" si="3"/>
        <v>0</v>
      </c>
      <c r="Q19" s="325" t="s">
        <v>311</v>
      </c>
      <c r="R19" s="326"/>
      <c r="S19" s="420">
        <f>SUM(M17:M19)/SUM(M15:M19)</f>
        <v>1.6607389458675067E-2</v>
      </c>
    </row>
    <row r="20" spans="1:40" ht="20.100000000000001" customHeight="1">
      <c r="A20" s="764" t="s">
        <v>82</v>
      </c>
      <c r="B20" s="101"/>
      <c r="C20" s="19"/>
      <c r="D20" s="37"/>
      <c r="E20" s="19"/>
      <c r="F20" s="19"/>
      <c r="G20" s="19"/>
      <c r="H20" s="19"/>
      <c r="I20" s="19"/>
      <c r="J20" s="31"/>
      <c r="K20" s="24">
        <f>-K5</f>
        <v>-74.367754392501737</v>
      </c>
      <c r="L20" s="24"/>
      <c r="M20" s="37"/>
      <c r="N20" s="24">
        <f>-K20</f>
        <v>74.367754392501737</v>
      </c>
      <c r="O20" s="26">
        <f>SUM(B20:N20)</f>
        <v>0</v>
      </c>
      <c r="AI20" s="319"/>
      <c r="AJ20" s="35"/>
    </row>
    <row r="21" spans="1:40" ht="20.100000000000001" customHeight="1">
      <c r="A21" s="765" t="s">
        <v>33</v>
      </c>
      <c r="B21" s="760">
        <f t="shared" ref="B21:O21" si="4">SUM(B15:B20)</f>
        <v>0</v>
      </c>
      <c r="C21" s="39">
        <f t="shared" si="4"/>
        <v>-33296.591151967499</v>
      </c>
      <c r="D21" s="39">
        <f t="shared" si="4"/>
        <v>-85997.277287999997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I21" s="39">
        <f t="shared" si="4"/>
        <v>0</v>
      </c>
      <c r="J21" s="39">
        <f t="shared" si="4"/>
        <v>-435.51586800000001</v>
      </c>
      <c r="K21" s="39">
        <f t="shared" si="4"/>
        <v>-74.367754392501737</v>
      </c>
      <c r="L21" s="39">
        <f t="shared" si="4"/>
        <v>-318.96454</v>
      </c>
      <c r="M21" s="39">
        <f t="shared" si="4"/>
        <v>45430.403729460806</v>
      </c>
      <c r="N21" s="39">
        <f t="shared" si="4"/>
        <v>74.367754392501737</v>
      </c>
      <c r="O21" s="29">
        <f t="shared" si="4"/>
        <v>-74617.945118506686</v>
      </c>
      <c r="Q21" s="406" t="s">
        <v>398</v>
      </c>
      <c r="R21" s="407"/>
      <c r="S21" s="415" t="s">
        <v>53</v>
      </c>
      <c r="T21" s="342" t="s">
        <v>158</v>
      </c>
      <c r="AD21" s="62"/>
      <c r="AE21" s="11"/>
      <c r="AJ21" s="61"/>
    </row>
    <row r="22" spans="1:40" ht="20.100000000000001" customHeight="1">
      <c r="A22" s="767" t="s">
        <v>86</v>
      </c>
      <c r="B22" s="759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8"/>
      <c r="Q22" s="408" t="s">
        <v>302</v>
      </c>
      <c r="R22" s="409"/>
      <c r="S22" s="423">
        <f>SUM(B36:H36)</f>
        <v>62201.09830603483</v>
      </c>
      <c r="T22" s="410">
        <f>S22/$S$26</f>
        <v>0.59961272306079905</v>
      </c>
      <c r="AD22" s="62"/>
      <c r="AE22" s="11"/>
    </row>
    <row r="23" spans="1:40" ht="20.25" customHeight="1">
      <c r="A23" s="764" t="s">
        <v>29</v>
      </c>
      <c r="B23" s="10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4">
        <f>-'Electricity Stat-2019'!N14-'Electricity Stat-2019'!N18-'Electricity Stat-2019'!N22</f>
        <v>-1109.7869999999998</v>
      </c>
      <c r="N23" s="19"/>
      <c r="O23" s="26">
        <f>SUM(B23:N23)</f>
        <v>-1109.7869999999998</v>
      </c>
      <c r="Q23" s="408" t="s">
        <v>399</v>
      </c>
      <c r="R23" s="409"/>
      <c r="S23" s="423">
        <f>M36-S24</f>
        <v>40647.453897540807</v>
      </c>
      <c r="T23" s="410">
        <f t="shared" ref="T23:T24" si="5">S23/$S$26</f>
        <v>0.39183762314094156</v>
      </c>
      <c r="AD23" s="62"/>
      <c r="AE23" s="11"/>
      <c r="AF23" s="46"/>
      <c r="AM23" s="11"/>
      <c r="AN23" s="1"/>
    </row>
    <row r="24" spans="1:40" ht="20.100000000000001" customHeight="1">
      <c r="A24" s="764" t="s">
        <v>30</v>
      </c>
      <c r="B24" s="10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6">
        <f>SUM(B24:N24)</f>
        <v>0</v>
      </c>
      <c r="Q24" s="408" t="s">
        <v>400</v>
      </c>
      <c r="R24" s="411"/>
      <c r="S24" s="739">
        <f>SUM(M17:M19)</f>
        <v>754.4804079999999</v>
      </c>
      <c r="T24" s="744">
        <f t="shared" si="5"/>
        <v>7.2731199971916025E-3</v>
      </c>
      <c r="V24" s="63">
        <f>T24+T25</f>
        <v>8.5496537982592859E-3</v>
      </c>
      <c r="AD24" s="62"/>
      <c r="AE24" s="11"/>
      <c r="AM24" s="11"/>
      <c r="AN24" s="1"/>
    </row>
    <row r="25" spans="1:40" ht="20.100000000000001" customHeight="1">
      <c r="A25" s="767" t="s">
        <v>27</v>
      </c>
      <c r="B25" s="759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7"/>
      <c r="Q25" s="408" t="s">
        <v>303</v>
      </c>
      <c r="R25" s="411"/>
      <c r="S25" s="424">
        <f>N36+I36</f>
        <v>132.4218139432912</v>
      </c>
      <c r="T25" s="743">
        <f>S25/$S$26</f>
        <v>1.276533801067684E-3</v>
      </c>
      <c r="AM25" s="11"/>
      <c r="AN25" s="1"/>
    </row>
    <row r="26" spans="1:40" ht="20.100000000000001" customHeight="1">
      <c r="A26" s="764" t="s">
        <v>28</v>
      </c>
      <c r="B26" s="10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37">
        <f>-'Electricity Stat-2019'!E54</f>
        <v>-2774.5375899999963</v>
      </c>
      <c r="N26" s="19"/>
      <c r="O26" s="26">
        <f t="shared" ref="O26" si="6">SUM(B26:N26)</f>
        <v>-2774.5375899999963</v>
      </c>
      <c r="Q26" s="412"/>
      <c r="R26" s="413"/>
      <c r="S26" s="414">
        <f>SUM(S22:S25)</f>
        <v>103735.45442551894</v>
      </c>
      <c r="T26" s="426">
        <f>SUM(T22:T25)</f>
        <v>0.99999999999999989</v>
      </c>
      <c r="AM26" s="11"/>
      <c r="AN26" s="1"/>
    </row>
    <row r="27" spans="1:40" ht="20.100000000000001" customHeight="1">
      <c r="A27" s="765" t="s">
        <v>34</v>
      </c>
      <c r="B27" s="401">
        <f t="shared" ref="B27:O27" si="7">B12+B21+B26</f>
        <v>27136.49864354762</v>
      </c>
      <c r="C27" s="39">
        <f t="shared" si="7"/>
        <v>25740.239551570383</v>
      </c>
      <c r="D27" s="39">
        <f t="shared" si="7"/>
        <v>-3614.0152756942553</v>
      </c>
      <c r="E27" s="39">
        <f t="shared" si="7"/>
        <v>4399.9580084734607</v>
      </c>
      <c r="F27" s="39">
        <f t="shared" si="7"/>
        <v>5192.7825708930004</v>
      </c>
      <c r="G27" s="39">
        <f t="shared" si="7"/>
        <v>18.098714480000002</v>
      </c>
      <c r="H27" s="32">
        <f t="shared" si="7"/>
        <v>8.071480799999998</v>
      </c>
      <c r="I27" s="32">
        <f t="shared" si="7"/>
        <v>58.054059550789468</v>
      </c>
      <c r="J27" s="32">
        <f t="shared" si="7"/>
        <v>0</v>
      </c>
      <c r="K27" s="32">
        <f t="shared" si="7"/>
        <v>0</v>
      </c>
      <c r="L27" s="32">
        <f t="shared" si="7"/>
        <v>0</v>
      </c>
      <c r="M27" s="32">
        <f t="shared" si="7"/>
        <v>42655.866139460806</v>
      </c>
      <c r="N27" s="32">
        <f t="shared" si="7"/>
        <v>74.367754392501737</v>
      </c>
      <c r="O27" s="29">
        <f t="shared" si="7"/>
        <v>101669.92164747424</v>
      </c>
      <c r="U27" s="791">
        <f>M36/O36</f>
        <v>0.39911074313813322</v>
      </c>
      <c r="AM27" s="11"/>
      <c r="AN27" s="1"/>
    </row>
    <row r="28" spans="1:40" ht="20.100000000000001" customHeight="1">
      <c r="A28" s="767" t="s">
        <v>113</v>
      </c>
      <c r="B28" s="761"/>
      <c r="C28" s="42"/>
      <c r="D28" s="42"/>
      <c r="E28" s="42"/>
      <c r="F28" s="42"/>
      <c r="G28" s="42"/>
      <c r="H28" s="33"/>
      <c r="I28" s="33"/>
      <c r="J28" s="33"/>
      <c r="K28" s="33"/>
      <c r="L28" s="33"/>
      <c r="M28" s="33"/>
      <c r="N28" s="33"/>
      <c r="O28" s="27"/>
      <c r="Q28" s="328" t="s">
        <v>307</v>
      </c>
      <c r="R28" s="329"/>
      <c r="S28" s="330"/>
      <c r="AM28" s="11"/>
      <c r="AN28" s="1"/>
    </row>
    <row r="29" spans="1:40" ht="20.100000000000001" customHeight="1">
      <c r="A29" s="768" t="s">
        <v>21</v>
      </c>
      <c r="B29" s="398"/>
      <c r="C29" s="312"/>
      <c r="D29" s="312"/>
      <c r="E29" s="312"/>
      <c r="F29" s="312">
        <f>'Petroleum Stat-2019'!M68</f>
        <v>3915.8854974800001</v>
      </c>
      <c r="G29" s="31">
        <f>'Biomass, SWH &amp; Kero'!J40</f>
        <v>3.8457364329999999</v>
      </c>
      <c r="H29" s="57"/>
      <c r="I29" s="314">
        <f>'Biomass, SWH &amp; Kero'!F40+'Biomass, SWH &amp; Kero'!H40</f>
        <v>58.054059550789468</v>
      </c>
      <c r="J29" s="313"/>
      <c r="K29" s="19"/>
      <c r="L29" s="313"/>
      <c r="M29" s="312">
        <f>'Electricity Stat-2019'!E86</f>
        <v>11570.319809840001</v>
      </c>
      <c r="N29" s="57">
        <f>'Biomass, SWH &amp; Kero'!L40</f>
        <v>74.367754392501737</v>
      </c>
      <c r="O29" s="316">
        <f>SUM(B29:N29)</f>
        <v>15622.472857696293</v>
      </c>
      <c r="P29" s="22"/>
      <c r="Q29" s="433" t="s">
        <v>21</v>
      </c>
      <c r="R29" s="331"/>
      <c r="S29" s="421">
        <f t="shared" ref="S29:S35" si="8">O29/$O$36</f>
        <v>0.15059916538865775</v>
      </c>
      <c r="AM29" s="11"/>
      <c r="AN29" s="1"/>
    </row>
    <row r="30" spans="1:40" ht="15.75">
      <c r="A30" s="768" t="s">
        <v>97</v>
      </c>
      <c r="B30" s="398">
        <f>'Petroleum Stat-2019'!H72</f>
        <v>288.75665745000003</v>
      </c>
      <c r="C30" s="312">
        <f>'Petroleum Stat-2019'!D93</f>
        <v>1248.511902255</v>
      </c>
      <c r="D30" s="312"/>
      <c r="E30" s="312"/>
      <c r="F30" s="312">
        <f>'Petroleum Stat-2019'!M69+'Petroleum Stat-2019'!M71</f>
        <v>1545.3172362359987</v>
      </c>
      <c r="G30" s="31">
        <f>'Petroleum Stat-2019'!R70</f>
        <v>23.747440000000001</v>
      </c>
      <c r="H30" s="57"/>
      <c r="I30" s="314"/>
      <c r="J30" s="313"/>
      <c r="K30" s="313"/>
      <c r="L30" s="313"/>
      <c r="M30" s="312">
        <f>'Electricity Stat-2019'!E88</f>
        <v>24295.2258577752</v>
      </c>
      <c r="N30" s="312"/>
      <c r="O30" s="316">
        <f>SUM(B30:N30)</f>
        <v>27401.559093716198</v>
      </c>
      <c r="Q30" s="433" t="s">
        <v>97</v>
      </c>
      <c r="R30" s="331"/>
      <c r="S30" s="421">
        <f t="shared" si="8"/>
        <v>0.2641484461167542</v>
      </c>
      <c r="AM30" s="11"/>
      <c r="AN30" s="1"/>
    </row>
    <row r="31" spans="1:40" ht="20.100000000000001" customHeight="1">
      <c r="A31" s="768" t="s">
        <v>20</v>
      </c>
      <c r="B31" s="398">
        <f>'Petroleum Stat-2019'!H74</f>
        <v>34.616105000000005</v>
      </c>
      <c r="C31" s="31">
        <f>'Petroleum Stat-2019'!D91</f>
        <v>3749.1365348999993</v>
      </c>
      <c r="D31" s="312">
        <f>'Petroleum Stat-2019'!W54</f>
        <v>3917.5991999999992</v>
      </c>
      <c r="E31" s="312"/>
      <c r="F31" s="312">
        <f>'Petroleum Stat-2019'!M70</f>
        <v>305.58135920800004</v>
      </c>
      <c r="G31" s="416">
        <f>'Petroleum Stat-2019'!R72</f>
        <v>4.5472000000000001</v>
      </c>
      <c r="H31" s="57"/>
      <c r="I31" s="313"/>
      <c r="J31" s="313"/>
      <c r="K31" s="313"/>
      <c r="L31" s="313"/>
      <c r="M31" s="312">
        <f>'Electricity Stat-2019'!E87</f>
        <v>5536.3886379256046</v>
      </c>
      <c r="N31" s="312"/>
      <c r="O31" s="316">
        <f t="shared" ref="O31:O35" si="9">SUM(B31:N31)</f>
        <v>13547.869037033604</v>
      </c>
      <c r="Q31" s="433" t="s">
        <v>20</v>
      </c>
      <c r="R31" s="331"/>
      <c r="S31" s="421">
        <f t="shared" si="8"/>
        <v>0.13060018016078434</v>
      </c>
      <c r="AM31" s="11"/>
      <c r="AN31" s="85"/>
    </row>
    <row r="32" spans="1:40" ht="19.5" customHeight="1">
      <c r="A32" s="768" t="s">
        <v>94</v>
      </c>
      <c r="B32" s="399">
        <f>'Petroleum Stat-2019'!H70</f>
        <v>23980.747982072589</v>
      </c>
      <c r="C32" s="31">
        <f>'Petroleum Stat-2019'!D89</f>
        <v>12979.605637234194</v>
      </c>
      <c r="D32" s="312"/>
      <c r="E32" s="312"/>
      <c r="F32" s="312"/>
      <c r="G32" s="312"/>
      <c r="H32" s="313"/>
      <c r="I32" s="313"/>
      <c r="J32" s="313"/>
      <c r="K32" s="313"/>
      <c r="L32" s="313"/>
      <c r="M32" s="312">
        <v>0</v>
      </c>
      <c r="N32" s="312"/>
      <c r="O32" s="316">
        <f t="shared" si="9"/>
        <v>36960.353619306785</v>
      </c>
      <c r="P32" s="72"/>
      <c r="Q32" s="433" t="s">
        <v>94</v>
      </c>
      <c r="R32" s="331"/>
      <c r="S32" s="421">
        <f t="shared" si="8"/>
        <v>0.35629432409576006</v>
      </c>
      <c r="AM32" s="10"/>
    </row>
    <row r="33" spans="1:39" ht="19.5" customHeight="1">
      <c r="A33" s="768" t="s">
        <v>154</v>
      </c>
      <c r="B33" s="400"/>
      <c r="C33" s="31"/>
      <c r="D33" s="312"/>
      <c r="E33" s="312">
        <f>'Petroleum Stat-2019'!R58</f>
        <v>3680.2812331010496</v>
      </c>
      <c r="F33" s="312"/>
      <c r="G33" s="312"/>
      <c r="H33" s="312">
        <f>'Petroleum Stat-2019'!G33</f>
        <v>7.8496056000000003</v>
      </c>
      <c r="I33" s="313"/>
      <c r="J33" s="313"/>
      <c r="K33" s="313"/>
      <c r="L33" s="313"/>
      <c r="M33" s="312">
        <v>0</v>
      </c>
      <c r="N33" s="312"/>
      <c r="O33" s="316">
        <f t="shared" si="9"/>
        <v>3688.1308387010495</v>
      </c>
      <c r="P33" s="72"/>
      <c r="Q33" s="433" t="s">
        <v>154</v>
      </c>
      <c r="R33" s="331"/>
      <c r="S33" s="421">
        <f t="shared" si="8"/>
        <v>3.5553233550917662E-2</v>
      </c>
    </row>
    <row r="34" spans="1:39" ht="19.5" hidden="1" customHeight="1">
      <c r="A34" s="768" t="s">
        <v>132</v>
      </c>
      <c r="B34" s="398">
        <f>'Petroleum Stat-2019'!H71</f>
        <v>924.98899900000015</v>
      </c>
      <c r="C34" s="315">
        <f>'Petroleum Stat-2019'!D90</f>
        <v>3884.8398550649999</v>
      </c>
      <c r="D34" s="312"/>
      <c r="E34" s="312"/>
      <c r="F34" s="312"/>
      <c r="G34" s="312"/>
      <c r="H34" s="313"/>
      <c r="I34" s="313"/>
      <c r="J34" s="313"/>
      <c r="K34" s="313"/>
      <c r="L34" s="313"/>
      <c r="M34" s="312">
        <v>0</v>
      </c>
      <c r="N34" s="312"/>
      <c r="O34" s="316">
        <f t="shared" si="9"/>
        <v>4809.8288540650001</v>
      </c>
      <c r="P34" s="72"/>
      <c r="Q34" s="433" t="s">
        <v>132</v>
      </c>
      <c r="R34" s="331"/>
      <c r="S34" s="421">
        <f t="shared" si="8"/>
        <v>4.6366296660110662E-2</v>
      </c>
      <c r="AM34" s="10"/>
    </row>
    <row r="35" spans="1:39" ht="20.100000000000001" customHeight="1">
      <c r="A35" s="768" t="s">
        <v>189</v>
      </c>
      <c r="B35" s="398"/>
      <c r="C35" s="315">
        <f>'Petroleum Stat-2019'!D92</f>
        <v>1705.2401249999996</v>
      </c>
      <c r="D35" s="312"/>
      <c r="E35" s="312"/>
      <c r="F35" s="312"/>
      <c r="G35" s="312"/>
      <c r="H35" s="313"/>
      <c r="I35" s="313"/>
      <c r="J35" s="313"/>
      <c r="K35" s="313"/>
      <c r="L35" s="313"/>
      <c r="M35" s="312"/>
      <c r="N35" s="312"/>
      <c r="O35" s="316">
        <f t="shared" si="9"/>
        <v>1705.2401249999996</v>
      </c>
      <c r="P35" s="72"/>
      <c r="Q35" s="433" t="s">
        <v>189</v>
      </c>
      <c r="R35" s="331"/>
      <c r="S35" s="422">
        <f t="shared" si="8"/>
        <v>1.6438354027015382E-2</v>
      </c>
    </row>
    <row r="36" spans="1:39" ht="20.100000000000001" customHeight="1">
      <c r="A36" s="769" t="s">
        <v>87</v>
      </c>
      <c r="B36" s="401">
        <f>SUM(B29:B35)</f>
        <v>25229.109743522589</v>
      </c>
      <c r="C36" s="39">
        <f t="shared" ref="C36:M36" si="10">SUM(C29:C35)</f>
        <v>23567.334054454197</v>
      </c>
      <c r="D36" s="39">
        <f t="shared" si="10"/>
        <v>3917.5991999999992</v>
      </c>
      <c r="E36" s="39">
        <f t="shared" si="10"/>
        <v>3680.2812331010496</v>
      </c>
      <c r="F36" s="39">
        <f t="shared" si="10"/>
        <v>5766.7840929239992</v>
      </c>
      <c r="G36" s="39">
        <f t="shared" si="10"/>
        <v>32.140376433</v>
      </c>
      <c r="H36" s="39">
        <f t="shared" si="10"/>
        <v>7.8496056000000003</v>
      </c>
      <c r="I36" s="39">
        <f t="shared" si="10"/>
        <v>58.054059550789468</v>
      </c>
      <c r="J36" s="39">
        <f t="shared" si="10"/>
        <v>0</v>
      </c>
      <c r="K36" s="39">
        <f t="shared" si="10"/>
        <v>0</v>
      </c>
      <c r="L36" s="39">
        <f t="shared" si="10"/>
        <v>0</v>
      </c>
      <c r="M36" s="39">
        <f t="shared" si="10"/>
        <v>41401.93430554081</v>
      </c>
      <c r="N36" s="39">
        <f>SUM(N29:N35)</f>
        <v>74.367754392501737</v>
      </c>
      <c r="O36" s="59">
        <f>SUM(O29:O35)</f>
        <v>103735.45442551892</v>
      </c>
      <c r="P36" s="72"/>
      <c r="Q36" s="332" t="s">
        <v>56</v>
      </c>
      <c r="R36" s="333"/>
      <c r="S36" s="334">
        <f>SUM(S29:S35)</f>
        <v>1</v>
      </c>
    </row>
    <row r="37" spans="1:39" ht="20.100000000000001" customHeight="1">
      <c r="A37" s="770" t="s">
        <v>88</v>
      </c>
      <c r="B37" s="402">
        <f>B27-B36</f>
        <v>1907.388900025031</v>
      </c>
      <c r="C37" s="43">
        <f t="shared" ref="C37:N37" si="11">C27-C36</f>
        <v>2172.9054971161859</v>
      </c>
      <c r="D37" s="43">
        <f t="shared" si="11"/>
        <v>-7531.614475694254</v>
      </c>
      <c r="E37" s="43">
        <f t="shared" si="11"/>
        <v>719.67677537241116</v>
      </c>
      <c r="F37" s="43">
        <f t="shared" si="11"/>
        <v>-574.00152203099879</v>
      </c>
      <c r="G37" s="43">
        <f t="shared" si="11"/>
        <v>-14.041661952999998</v>
      </c>
      <c r="H37" s="43">
        <f t="shared" si="11"/>
        <v>0.22187519999999772</v>
      </c>
      <c r="I37" s="43">
        <f t="shared" si="11"/>
        <v>0</v>
      </c>
      <c r="J37" s="43">
        <f t="shared" si="11"/>
        <v>0</v>
      </c>
      <c r="K37" s="43">
        <f t="shared" si="11"/>
        <v>0</v>
      </c>
      <c r="L37" s="43">
        <f t="shared" si="11"/>
        <v>0</v>
      </c>
      <c r="M37" s="43">
        <f t="shared" si="11"/>
        <v>1253.9318339199963</v>
      </c>
      <c r="N37" s="43">
        <f t="shared" si="11"/>
        <v>0</v>
      </c>
      <c r="O37" s="403">
        <f t="shared" ref="O37" si="12">O27-O36</f>
        <v>-2065.5327780446823</v>
      </c>
      <c r="P37" s="72"/>
    </row>
    <row r="38" spans="1:39" ht="20.100000000000001" customHeight="1">
      <c r="A38" s="771" t="s">
        <v>301</v>
      </c>
      <c r="B38" s="404">
        <f>B$37/B$27</f>
        <v>7.0288688495874191E-2</v>
      </c>
      <c r="C38" s="396">
        <f t="shared" ref="C38:O38" si="13">C$37/C$27</f>
        <v>8.4416677349205924E-2</v>
      </c>
      <c r="D38" s="801">
        <f t="shared" si="13"/>
        <v>2.0840018376091187</v>
      </c>
      <c r="E38" s="801">
        <f t="shared" si="13"/>
        <v>0.16356446447590048</v>
      </c>
      <c r="F38" s="396">
        <f t="shared" si="13"/>
        <v>-0.11053833165448482</v>
      </c>
      <c r="G38" s="417"/>
      <c r="H38" s="417">
        <f t="shared" si="13"/>
        <v>2.7488784957525735E-2</v>
      </c>
      <c r="I38" s="396">
        <f t="shared" si="13"/>
        <v>0</v>
      </c>
      <c r="J38" s="396"/>
      <c r="K38" s="396"/>
      <c r="L38" s="396"/>
      <c r="M38" s="396">
        <f t="shared" si="13"/>
        <v>2.9396468701874227E-2</v>
      </c>
      <c r="N38" s="396">
        <f t="shared" si="13"/>
        <v>0</v>
      </c>
      <c r="O38" s="397">
        <f t="shared" si="13"/>
        <v>-2.0316065406311798E-2</v>
      </c>
      <c r="P38" s="52"/>
      <c r="Q38" s="745" t="s">
        <v>402</v>
      </c>
      <c r="R38" s="746"/>
      <c r="S38" s="747">
        <f>O12/'Biomass, SWH &amp; Kero'!B40</f>
        <v>1.8320466175833692</v>
      </c>
    </row>
    <row r="39" spans="1:39" ht="20.100000000000001" customHeight="1">
      <c r="B39" s="35">
        <f>((B30+B31+C30)+G29+G30+N29)/O36</f>
        <v>1.6135713722951944E-2</v>
      </c>
      <c r="C39" s="792">
        <f>(C31+C35)/O36</f>
        <v>5.2579676737389627E-2</v>
      </c>
      <c r="D39" s="35">
        <f>D36/O36</f>
        <v>3.7765286918493214E-2</v>
      </c>
      <c r="E39" s="405"/>
      <c r="F39" s="35">
        <f>F36/O36</f>
        <v>5.5591254936512527E-2</v>
      </c>
      <c r="G39" s="405"/>
      <c r="H39" s="405"/>
      <c r="I39" s="405"/>
      <c r="J39" s="405"/>
      <c r="K39" s="405"/>
      <c r="L39" s="405"/>
      <c r="M39" s="405"/>
      <c r="N39" s="405"/>
      <c r="O39" s="405"/>
      <c r="P39" s="52"/>
      <c r="Q39" s="748" t="s">
        <v>401</v>
      </c>
      <c r="R39" s="749" t="s">
        <v>403</v>
      </c>
      <c r="S39" s="750">
        <f>9135.8*1.04</f>
        <v>9501.232</v>
      </c>
    </row>
    <row r="40" spans="1:39" ht="20.100000000000001" customHeight="1"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38">
        <f>SUM(O32:O34)</f>
        <v>45458.313312072838</v>
      </c>
      <c r="P40" s="52"/>
      <c r="Q40" s="751" t="s">
        <v>404</v>
      </c>
      <c r="R40" s="752"/>
      <c r="S40" s="753">
        <f>O12/S39</f>
        <v>18.84623008426496</v>
      </c>
    </row>
    <row r="41" spans="1:39" ht="20.100000000000001" customHeight="1"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793">
        <f>N36/O36</f>
        <v>7.168981406053133E-4</v>
      </c>
      <c r="O41" s="405">
        <f>O40/O36</f>
        <v>0.43821385430678839</v>
      </c>
      <c r="P41" s="52"/>
      <c r="S41" s="9"/>
    </row>
    <row r="42" spans="1:39">
      <c r="A42" s="2" t="s">
        <v>308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39">
      <c r="D43" s="1"/>
      <c r="E43" s="1"/>
      <c r="F43" s="1"/>
      <c r="G43" s="1"/>
      <c r="H43" s="1"/>
      <c r="I43" s="1"/>
      <c r="J43" s="1"/>
      <c r="K43" s="1"/>
      <c r="L43" s="1"/>
      <c r="M43" s="1"/>
      <c r="O43">
        <v>5321</v>
      </c>
      <c r="P43" s="9"/>
    </row>
    <row r="44" spans="1:39" ht="18.75">
      <c r="A44" s="51" t="s">
        <v>159</v>
      </c>
      <c r="B44" s="83" t="s">
        <v>53</v>
      </c>
      <c r="C44" s="83" t="s">
        <v>158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f>O43/O36</f>
        <v>5.1293938311326601E-2</v>
      </c>
      <c r="S44" s="61"/>
    </row>
    <row r="45" spans="1:39">
      <c r="A45" s="434" t="s">
        <v>2</v>
      </c>
      <c r="B45" s="68">
        <f>D12</f>
        <v>82383.262012305742</v>
      </c>
      <c r="C45" s="70">
        <f t="shared" ref="C45:C56" si="14">$B45/$B$56</f>
        <v>0.46008129014354998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39">
      <c r="A46" s="434" t="s">
        <v>1</v>
      </c>
      <c r="B46" s="68">
        <f>C12</f>
        <v>59036.830703537882</v>
      </c>
      <c r="C46" s="70">
        <f t="shared" si="14"/>
        <v>0.32969975420508174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39">
      <c r="A47" s="434" t="s">
        <v>5</v>
      </c>
      <c r="B47" s="68">
        <f>B12</f>
        <v>27136.49864354762</v>
      </c>
      <c r="C47" s="70">
        <f t="shared" si="14"/>
        <v>0.15154771735109465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39">
      <c r="A48" s="434" t="s">
        <v>4</v>
      </c>
      <c r="B48" s="68">
        <f>F12</f>
        <v>5192.7825708930004</v>
      </c>
      <c r="C48" s="70">
        <f t="shared" si="14"/>
        <v>2.8999848346555241E-2</v>
      </c>
      <c r="F48" s="6"/>
    </row>
    <row r="49" spans="1:39" ht="15.75">
      <c r="A49" s="434" t="s">
        <v>3</v>
      </c>
      <c r="B49" s="68">
        <f>E12</f>
        <v>4399.9580084734607</v>
      </c>
      <c r="C49" s="70">
        <f t="shared" si="14"/>
        <v>2.4572204446256758E-2</v>
      </c>
      <c r="F49" s="50"/>
      <c r="AI49" s="84"/>
      <c r="AJ49" s="41"/>
      <c r="AK49" s="41"/>
      <c r="AL49" s="41"/>
      <c r="AM49" s="87"/>
    </row>
    <row r="50" spans="1:39" ht="15.75">
      <c r="A50" s="435" t="s">
        <v>90</v>
      </c>
      <c r="B50" s="68">
        <f>L12</f>
        <v>318.96454</v>
      </c>
      <c r="C50" s="70">
        <f t="shared" si="14"/>
        <v>1.7813037926481194E-3</v>
      </c>
      <c r="U50" s="11"/>
      <c r="AI50" s="84"/>
      <c r="AJ50" s="41"/>
      <c r="AK50" s="41"/>
      <c r="AL50" s="41"/>
      <c r="AM50" s="88"/>
    </row>
    <row r="51" spans="1:39" ht="15.75">
      <c r="A51" s="434" t="s">
        <v>91</v>
      </c>
      <c r="B51" s="68">
        <f>J12</f>
        <v>435.51586800000001</v>
      </c>
      <c r="C51" s="70">
        <f t="shared" si="14"/>
        <v>2.4322016090780429E-3</v>
      </c>
      <c r="AI51" s="84"/>
      <c r="AJ51" s="41"/>
      <c r="AK51" s="41"/>
      <c r="AL51" s="41"/>
      <c r="AM51" s="87"/>
    </row>
    <row r="52" spans="1:39" ht="15.75">
      <c r="A52" s="434" t="s">
        <v>92</v>
      </c>
      <c r="B52" s="11">
        <f>K12</f>
        <v>74.367754392501737</v>
      </c>
      <c r="C52" s="70">
        <f t="shared" si="14"/>
        <v>4.1531752385417885E-4</v>
      </c>
      <c r="AI52" s="84"/>
      <c r="AJ52" s="41"/>
      <c r="AK52" s="41"/>
      <c r="AL52" s="41"/>
      <c r="AM52" s="40"/>
    </row>
    <row r="53" spans="1:39">
      <c r="A53" s="434" t="s">
        <v>54</v>
      </c>
      <c r="B53" s="68">
        <f>G12</f>
        <v>18.098714480000002</v>
      </c>
      <c r="C53" s="70">
        <f t="shared" si="14"/>
        <v>1.0107489925143227E-4</v>
      </c>
    </row>
    <row r="54" spans="1:39">
      <c r="A54" s="434" t="s">
        <v>6</v>
      </c>
      <c r="B54" s="68">
        <f>I12</f>
        <v>58.054059550789468</v>
      </c>
      <c r="C54" s="70">
        <f t="shared" si="14"/>
        <v>3.242113259876507E-4</v>
      </c>
    </row>
    <row r="55" spans="1:39">
      <c r="A55" s="434" t="s">
        <v>101</v>
      </c>
      <c r="B55" s="68">
        <f>H12</f>
        <v>8.071480799999998</v>
      </c>
      <c r="C55" s="71">
        <f t="shared" si="14"/>
        <v>4.5076356642423242E-5</v>
      </c>
    </row>
    <row r="56" spans="1:39">
      <c r="A56" s="436" t="s">
        <v>63</v>
      </c>
      <c r="B56" s="69">
        <f>SUM(B45:B55)</f>
        <v>179062.40435598095</v>
      </c>
      <c r="C56" s="53">
        <f t="shared" si="14"/>
        <v>1</v>
      </c>
    </row>
    <row r="57" spans="1:39">
      <c r="A57" t="s">
        <v>410</v>
      </c>
      <c r="B57" s="10">
        <f>SUM(B45:B49)+B53+B55</f>
        <v>178175.5021340377</v>
      </c>
      <c r="C57" s="1">
        <f>B57/B56</f>
        <v>0.99504696574843221</v>
      </c>
    </row>
    <row r="58" spans="1:39">
      <c r="A58" t="s">
        <v>411</v>
      </c>
      <c r="B58" s="10">
        <f>B50+B51+B52+B54</f>
        <v>886.90222194329124</v>
      </c>
      <c r="C58" s="1">
        <f>B58/B56</f>
        <v>4.9530342515679915E-3</v>
      </c>
      <c r="J58" s="1"/>
    </row>
    <row r="59" spans="1:39">
      <c r="A59" t="s">
        <v>412</v>
      </c>
    </row>
    <row r="60" spans="1:39">
      <c r="A60" s="434" t="s">
        <v>2</v>
      </c>
      <c r="B60" s="68">
        <v>82383.262012305742</v>
      </c>
      <c r="D60" t="s">
        <v>413</v>
      </c>
    </row>
    <row r="61" spans="1:39">
      <c r="A61" s="434" t="s">
        <v>1</v>
      </c>
      <c r="B61" s="68">
        <v>59036.830703537882</v>
      </c>
      <c r="D61" s="435" t="s">
        <v>90</v>
      </c>
      <c r="E61" s="68">
        <v>318.96454</v>
      </c>
      <c r="U61" s="11"/>
    </row>
    <row r="62" spans="1:39">
      <c r="A62" s="434" t="s">
        <v>5</v>
      </c>
      <c r="B62" s="68">
        <v>27136.49864354762</v>
      </c>
      <c r="D62" s="434" t="s">
        <v>91</v>
      </c>
      <c r="E62" s="68">
        <v>435.51586800000001</v>
      </c>
      <c r="F62" s="5"/>
      <c r="G62" s="5"/>
      <c r="U62" s="10"/>
    </row>
    <row r="63" spans="1:39" ht="30">
      <c r="A63" s="434" t="s">
        <v>4</v>
      </c>
      <c r="B63" s="68">
        <v>5192.7825708930004</v>
      </c>
      <c r="D63" s="434" t="s">
        <v>92</v>
      </c>
      <c r="E63" s="11">
        <v>74.367754392501737</v>
      </c>
      <c r="F63" s="5"/>
      <c r="G63" s="5"/>
      <c r="U63" s="11"/>
    </row>
    <row r="64" spans="1:39">
      <c r="A64" s="434" t="s">
        <v>3</v>
      </c>
      <c r="B64" s="68">
        <v>4399.9580084734607</v>
      </c>
      <c r="D64" s="434" t="s">
        <v>6</v>
      </c>
      <c r="E64" s="68">
        <v>58.054059550789468</v>
      </c>
      <c r="F64" s="5"/>
      <c r="G64" s="5"/>
    </row>
    <row r="65" spans="1:21">
      <c r="A65" s="434" t="s">
        <v>54</v>
      </c>
      <c r="B65" s="68">
        <v>18.098714480000002</v>
      </c>
      <c r="E65" s="5">
        <f>SUM(E61:E64)</f>
        <v>886.90222194329124</v>
      </c>
      <c r="F65" s="5"/>
      <c r="G65" s="5"/>
    </row>
    <row r="66" spans="1:21">
      <c r="A66" s="434" t="s">
        <v>101</v>
      </c>
      <c r="B66" s="68">
        <v>8.071480799999998</v>
      </c>
      <c r="C66" s="5"/>
      <c r="F66" s="5"/>
      <c r="G66" s="5"/>
      <c r="U66" s="10"/>
    </row>
    <row r="67" spans="1:21">
      <c r="B67" s="10">
        <f>SUM(B60:B66)</f>
        <v>178175.5021340377</v>
      </c>
      <c r="C67" s="5"/>
      <c r="F67" s="5"/>
      <c r="G67" s="5"/>
      <c r="U67" s="10"/>
    </row>
    <row r="68" spans="1:21">
      <c r="U68" s="11"/>
    </row>
    <row r="69" spans="1:21">
      <c r="A69" s="2" t="s">
        <v>309</v>
      </c>
    </row>
    <row r="71" spans="1:21" ht="18.75">
      <c r="A71" s="51" t="s">
        <v>159</v>
      </c>
      <c r="B71" s="83" t="s">
        <v>53</v>
      </c>
      <c r="C71" s="83" t="s">
        <v>158</v>
      </c>
    </row>
    <row r="72" spans="1:21">
      <c r="A72" s="434" t="s">
        <v>10</v>
      </c>
      <c r="B72" s="442">
        <f>M36</f>
        <v>41401.93430554081</v>
      </c>
      <c r="C72" s="443">
        <f t="shared" ref="C72:C81" si="15">$B72/$B$82</f>
        <v>0.39911074313813311</v>
      </c>
    </row>
    <row r="73" spans="1:21">
      <c r="A73" s="434" t="s">
        <v>5</v>
      </c>
      <c r="B73" s="440">
        <f>B36</f>
        <v>25229.109743522589</v>
      </c>
      <c r="C73" s="443">
        <f t="shared" si="15"/>
        <v>0.2432062392095351</v>
      </c>
    </row>
    <row r="74" spans="1:21">
      <c r="A74" s="434" t="s">
        <v>1</v>
      </c>
      <c r="B74" s="440">
        <f>C36</f>
        <v>23567.334054454197</v>
      </c>
      <c r="C74" s="443">
        <f t="shared" si="15"/>
        <v>0.22718687824687087</v>
      </c>
    </row>
    <row r="75" spans="1:21">
      <c r="A75" s="434" t="s">
        <v>4</v>
      </c>
      <c r="B75" s="440">
        <f>F36</f>
        <v>5766.7840929239992</v>
      </c>
      <c r="C75" s="444">
        <f t="shared" si="15"/>
        <v>5.5591254936512513E-2</v>
      </c>
    </row>
    <row r="76" spans="1:21">
      <c r="A76" s="434" t="s">
        <v>2</v>
      </c>
      <c r="B76" s="440">
        <f>D36</f>
        <v>3917.5991999999992</v>
      </c>
      <c r="C76" s="443">
        <f t="shared" si="15"/>
        <v>3.7765286918493207E-2</v>
      </c>
    </row>
    <row r="77" spans="1:21">
      <c r="A77" s="434" t="s">
        <v>3</v>
      </c>
      <c r="B77" s="440">
        <f>E36</f>
        <v>3680.2812331010496</v>
      </c>
      <c r="C77" s="443">
        <f t="shared" si="15"/>
        <v>3.5477564093031044E-2</v>
      </c>
    </row>
    <row r="78" spans="1:21">
      <c r="A78" s="434" t="s">
        <v>156</v>
      </c>
      <c r="B78" s="440">
        <f>N36</f>
        <v>74.367754392501737</v>
      </c>
      <c r="C78" s="443">
        <f t="shared" si="15"/>
        <v>7.1689814060531308E-4</v>
      </c>
    </row>
    <row r="79" spans="1:21">
      <c r="A79" s="434" t="s">
        <v>54</v>
      </c>
      <c r="B79" s="440">
        <f>G36</f>
        <v>32.140376433</v>
      </c>
      <c r="C79" s="444">
        <f t="shared" si="15"/>
        <v>3.0983019846967053E-4</v>
      </c>
    </row>
    <row r="80" spans="1:21">
      <c r="A80" s="434" t="s">
        <v>155</v>
      </c>
      <c r="B80" s="440">
        <f>I36</f>
        <v>58.054059550789468</v>
      </c>
      <c r="C80" s="444">
        <f t="shared" si="15"/>
        <v>5.5963566046237083E-4</v>
      </c>
    </row>
    <row r="81" spans="1:3">
      <c r="A81" s="434" t="s">
        <v>101</v>
      </c>
      <c r="B81" s="440">
        <f>H36</f>
        <v>7.8496056000000003</v>
      </c>
      <c r="C81" s="445">
        <f t="shared" si="15"/>
        <v>7.5669457886608482E-5</v>
      </c>
    </row>
    <row r="82" spans="1:3">
      <c r="A82" s="437" t="s">
        <v>63</v>
      </c>
      <c r="B82" s="438">
        <f>SUM(B72:B81)</f>
        <v>103735.45442551895</v>
      </c>
      <c r="C82" s="455">
        <f>SUM(C72:C81)</f>
        <v>0.99999999999999978</v>
      </c>
    </row>
    <row r="87" spans="1:3">
      <c r="B87" s="10">
        <f>B56-B82</f>
        <v>75326.949930461997</v>
      </c>
    </row>
    <row r="97" spans="1:7">
      <c r="A97" s="2" t="s">
        <v>313</v>
      </c>
    </row>
    <row r="99" spans="1:7">
      <c r="A99" s="51" t="s">
        <v>157</v>
      </c>
      <c r="B99" s="51" t="s">
        <v>53</v>
      </c>
      <c r="C99" s="51" t="s">
        <v>158</v>
      </c>
      <c r="G99" s="22"/>
    </row>
    <row r="100" spans="1:7" ht="15.75">
      <c r="A100" s="449" t="s">
        <v>164</v>
      </c>
      <c r="B100" s="441">
        <f>SUM(B101:B103)</f>
        <v>45458.313312072838</v>
      </c>
      <c r="C100" s="439">
        <f t="shared" ref="C100:C107" si="16">$B100/$B$108</f>
        <v>0.43821385430678833</v>
      </c>
      <c r="G100" s="22"/>
    </row>
    <row r="101" spans="1:7" ht="15.75">
      <c r="A101" s="450" t="s">
        <v>94</v>
      </c>
      <c r="B101" s="451">
        <f>O32</f>
        <v>36960.353619306785</v>
      </c>
      <c r="C101" s="452">
        <f t="shared" si="16"/>
        <v>0.35629432409576001</v>
      </c>
      <c r="G101" s="22"/>
    </row>
    <row r="102" spans="1:7" ht="15.75">
      <c r="A102" s="450" t="s">
        <v>132</v>
      </c>
      <c r="B102" s="451">
        <f>O34</f>
        <v>4809.8288540650001</v>
      </c>
      <c r="C102" s="452">
        <f t="shared" si="16"/>
        <v>4.6366296660110655E-2</v>
      </c>
      <c r="G102" s="22"/>
    </row>
    <row r="103" spans="1:7" ht="15.75">
      <c r="A103" s="450" t="s">
        <v>154</v>
      </c>
      <c r="B103" s="451">
        <f>O33</f>
        <v>3688.1308387010495</v>
      </c>
      <c r="C103" s="452">
        <f t="shared" si="16"/>
        <v>3.5553233550917655E-2</v>
      </c>
      <c r="G103" s="22"/>
    </row>
    <row r="104" spans="1:7" ht="15.75">
      <c r="A104" s="449" t="s">
        <v>98</v>
      </c>
      <c r="B104" s="441">
        <f>O30</f>
        <v>27401.559093716198</v>
      </c>
      <c r="C104" s="439">
        <f t="shared" si="16"/>
        <v>0.2641484461167542</v>
      </c>
      <c r="G104" s="22"/>
    </row>
    <row r="105" spans="1:7" ht="15.75">
      <c r="A105" s="449" t="s">
        <v>165</v>
      </c>
      <c r="B105" s="441">
        <f>O29</f>
        <v>15622.472857696293</v>
      </c>
      <c r="C105" s="439">
        <f t="shared" si="16"/>
        <v>0.15059916538865772</v>
      </c>
      <c r="G105" s="22"/>
    </row>
    <row r="106" spans="1:7" ht="15.75">
      <c r="A106" s="449" t="s">
        <v>166</v>
      </c>
      <c r="B106" s="441">
        <f>O31</f>
        <v>13547.869037033604</v>
      </c>
      <c r="C106" s="439">
        <f t="shared" si="16"/>
        <v>0.13060018016078431</v>
      </c>
    </row>
    <row r="107" spans="1:7" ht="15.75">
      <c r="A107" s="449" t="s">
        <v>189</v>
      </c>
      <c r="B107" s="441">
        <f>O35</f>
        <v>1705.2401249999996</v>
      </c>
      <c r="C107" s="439">
        <f t="shared" si="16"/>
        <v>1.6438354027015378E-2</v>
      </c>
    </row>
    <row r="108" spans="1:7" ht="15.75">
      <c r="A108" s="453" t="s">
        <v>63</v>
      </c>
      <c r="B108" s="441">
        <f>SUM(B101:B107)</f>
        <v>103735.45442551894</v>
      </c>
      <c r="C108" s="454">
        <f>SUM(C101:C107)</f>
        <v>1</v>
      </c>
    </row>
    <row r="129" spans="3:14">
      <c r="C129" s="11" t="s">
        <v>166</v>
      </c>
      <c r="D129" s="11"/>
      <c r="E129" s="11"/>
      <c r="F129" s="11"/>
      <c r="G129" s="11"/>
    </row>
    <row r="130" spans="3:14">
      <c r="E130" t="s">
        <v>53</v>
      </c>
      <c r="H130" s="2" t="s">
        <v>431</v>
      </c>
    </row>
    <row r="131" spans="3:14">
      <c r="D131" s="45" t="s">
        <v>93</v>
      </c>
      <c r="E131" s="11">
        <v>5536.3886379256046</v>
      </c>
      <c r="H131" s="11">
        <v>5533.9177394648004</v>
      </c>
      <c r="I131" t="s">
        <v>435</v>
      </c>
      <c r="K131" s="10"/>
    </row>
    <row r="132" spans="3:14">
      <c r="D132" s="45" t="s">
        <v>2</v>
      </c>
      <c r="E132" s="11">
        <v>3917.5991999999992</v>
      </c>
      <c r="F132" s="10">
        <f>E132+E134</f>
        <v>4223.1805592079991</v>
      </c>
      <c r="H132" s="11">
        <v>4235.2427024999997</v>
      </c>
      <c r="I132" t="s">
        <v>432</v>
      </c>
    </row>
    <row r="133" spans="3:14">
      <c r="D133" s="45" t="s">
        <v>1</v>
      </c>
      <c r="E133" s="11">
        <v>3749.1365348999993</v>
      </c>
      <c r="F133" s="10">
        <f>E133+E135</f>
        <v>3783.7526398999994</v>
      </c>
      <c r="H133" s="11">
        <v>6894</v>
      </c>
      <c r="I133" t="s">
        <v>433</v>
      </c>
      <c r="J133" s="10" t="s">
        <v>434</v>
      </c>
      <c r="M133" t="s">
        <v>436</v>
      </c>
      <c r="N133" s="10">
        <f>H133-E133</f>
        <v>3144.8634651000007</v>
      </c>
    </row>
    <row r="134" spans="3:14">
      <c r="D134" s="45" t="s">
        <v>4</v>
      </c>
      <c r="E134" s="11">
        <v>305.58135920800004</v>
      </c>
    </row>
    <row r="135" spans="3:14">
      <c r="D135" s="45" t="s">
        <v>5</v>
      </c>
      <c r="E135" s="11">
        <v>34.616105000000005</v>
      </c>
    </row>
    <row r="136" spans="3:14">
      <c r="D136" s="45" t="s">
        <v>54</v>
      </c>
      <c r="E136" s="11">
        <v>4.5472000000000001</v>
      </c>
    </row>
    <row r="137" spans="3:14">
      <c r="D137" s="800" t="s">
        <v>63</v>
      </c>
      <c r="E137" s="803">
        <f>SUM(E131:E136)</f>
        <v>13547.869037033603</v>
      </c>
      <c r="H137" s="803">
        <f>SUM(H131:H136)</f>
        <v>16663.160441964799</v>
      </c>
    </row>
  </sheetData>
  <mergeCells count="3">
    <mergeCell ref="B2:H2"/>
    <mergeCell ref="J2:K2"/>
    <mergeCell ref="O2:O3"/>
  </mergeCells>
  <pageMargins left="0.33" right="0.25" top="0.3" bottom="0.74" header="0.16" footer="0.21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34"/>
  <sheetViews>
    <sheetView topLeftCell="A58" workbookViewId="0">
      <selection activeCell="D65" sqref="D65"/>
    </sheetView>
  </sheetViews>
  <sheetFormatPr defaultRowHeight="15"/>
  <cols>
    <col min="1" max="1" width="26.85546875" customWidth="1"/>
    <col min="2" max="2" width="10.5703125" bestFit="1" customWidth="1"/>
    <col min="3" max="3" width="10.85546875" customWidth="1"/>
    <col min="4" max="4" width="12.42578125" bestFit="1" customWidth="1"/>
    <col min="5" max="5" width="13.28515625" customWidth="1"/>
    <col min="6" max="6" width="10.85546875" customWidth="1"/>
    <col min="7" max="8" width="9.7109375" customWidth="1"/>
    <col min="9" max="9" width="15" customWidth="1"/>
    <col min="10" max="10" width="10.7109375" customWidth="1"/>
    <col min="11" max="11" width="10.5703125" bestFit="1" customWidth="1"/>
    <col min="12" max="12" width="9.28515625" customWidth="1"/>
    <col min="13" max="13" width="11.28515625" bestFit="1" customWidth="1"/>
    <col min="14" max="14" width="9.5703125" customWidth="1"/>
    <col min="15" max="15" width="11.85546875" customWidth="1"/>
    <col min="16" max="16" width="13.42578125" customWidth="1"/>
    <col min="17" max="17" width="11.85546875" bestFit="1" customWidth="1"/>
    <col min="18" max="18" width="9.28515625" customWidth="1"/>
    <col min="19" max="19" width="10.85546875" bestFit="1" customWidth="1"/>
    <col min="20" max="20" width="10.5703125" bestFit="1" customWidth="1"/>
    <col min="21" max="21" width="13" customWidth="1"/>
    <col min="22" max="22" width="10.85546875" bestFit="1" customWidth="1"/>
    <col min="23" max="23" width="10.7109375" bestFit="1" customWidth="1"/>
    <col min="24" max="24" width="11.5703125" customWidth="1"/>
    <col min="25" max="25" width="10.5703125" customWidth="1"/>
    <col min="26" max="26" width="10.42578125" customWidth="1"/>
    <col min="28" max="28" width="10.42578125" customWidth="1"/>
    <col min="29" max="29" width="11.42578125" customWidth="1"/>
  </cols>
  <sheetData>
    <row r="1" spans="1:30" ht="21">
      <c r="D1" s="8" t="s">
        <v>177</v>
      </c>
      <c r="L1" s="5"/>
      <c r="M1" s="5"/>
      <c r="N1" s="5"/>
      <c r="O1" s="5"/>
      <c r="P1" s="5"/>
      <c r="X1" s="164" t="s">
        <v>185</v>
      </c>
    </row>
    <row r="2" spans="1:30">
      <c r="L2" s="5"/>
      <c r="M2" s="5"/>
      <c r="N2" s="5"/>
      <c r="O2" s="5"/>
      <c r="P2" s="5"/>
    </row>
    <row r="3" spans="1:30" ht="15.75">
      <c r="A3" s="7" t="s">
        <v>182</v>
      </c>
      <c r="F3" s="162" t="s">
        <v>52</v>
      </c>
      <c r="L3" s="5"/>
      <c r="M3" s="5"/>
      <c r="N3" s="5"/>
      <c r="O3" s="5"/>
      <c r="P3" s="5"/>
      <c r="U3" s="172"/>
      <c r="V3" s="165"/>
      <c r="W3" s="178" t="s">
        <v>114</v>
      </c>
      <c r="X3" s="179" t="s">
        <v>115</v>
      </c>
      <c r="Y3" s="178" t="s">
        <v>37</v>
      </c>
      <c r="Z3" s="179" t="s">
        <v>38</v>
      </c>
      <c r="AA3" s="178" t="s">
        <v>39</v>
      </c>
      <c r="AB3" s="179" t="s">
        <v>4</v>
      </c>
      <c r="AC3" s="180" t="s">
        <v>116</v>
      </c>
      <c r="AD3" s="181" t="s">
        <v>40</v>
      </c>
    </row>
    <row r="4" spans="1:30">
      <c r="L4" s="5"/>
      <c r="M4" s="5"/>
      <c r="N4" s="5"/>
      <c r="O4" s="5"/>
      <c r="P4" s="5"/>
      <c r="U4" s="173"/>
      <c r="V4" s="174"/>
      <c r="W4" s="167"/>
      <c r="X4" s="65"/>
      <c r="Y4" s="167"/>
      <c r="Z4" s="65"/>
      <c r="AA4" s="167"/>
      <c r="AB4" s="65"/>
      <c r="AC4" s="167"/>
      <c r="AD4" s="170"/>
    </row>
    <row r="5" spans="1:30">
      <c r="A5" s="97"/>
      <c r="B5" s="98"/>
      <c r="C5" s="113" t="s">
        <v>35</v>
      </c>
      <c r="D5" s="99" t="s">
        <v>36</v>
      </c>
      <c r="E5" s="113" t="s">
        <v>37</v>
      </c>
      <c r="F5" s="99" t="s">
        <v>38</v>
      </c>
      <c r="G5" s="113" t="s">
        <v>39</v>
      </c>
      <c r="H5" s="99" t="s">
        <v>4</v>
      </c>
      <c r="I5" s="17" t="s">
        <v>41</v>
      </c>
      <c r="J5" s="100" t="s">
        <v>40</v>
      </c>
      <c r="L5" s="5"/>
      <c r="M5" s="5"/>
      <c r="N5" s="5"/>
      <c r="O5" s="5"/>
      <c r="P5" s="5"/>
      <c r="U5" s="175" t="s">
        <v>117</v>
      </c>
      <c r="V5" s="176"/>
      <c r="W5" s="133">
        <v>0</v>
      </c>
      <c r="X5" s="136">
        <v>223100.10472413775</v>
      </c>
      <c r="Y5" s="133">
        <v>50403.004923545399</v>
      </c>
      <c r="Z5" s="136">
        <v>95652.795412869251</v>
      </c>
      <c r="AA5" s="133">
        <v>11.52</v>
      </c>
      <c r="AB5" s="136">
        <v>6513.3320000000003</v>
      </c>
      <c r="AC5" s="135">
        <v>24097.780872418523</v>
      </c>
      <c r="AD5" s="123">
        <v>0</v>
      </c>
    </row>
    <row r="6" spans="1:30">
      <c r="A6" s="121" t="s">
        <v>178</v>
      </c>
      <c r="B6" s="105"/>
      <c r="C6" s="130">
        <v>0</v>
      </c>
      <c r="D6" s="131">
        <v>223100.10472413775</v>
      </c>
      <c r="E6" s="130">
        <v>50403.004923545399</v>
      </c>
      <c r="F6" s="131">
        <v>95652.795412869251</v>
      </c>
      <c r="G6" s="130">
        <v>11.52</v>
      </c>
      <c r="H6" s="131">
        <v>6513.3320000000003</v>
      </c>
      <c r="I6" s="132">
        <v>24097.780872418523</v>
      </c>
      <c r="J6" s="122">
        <v>0</v>
      </c>
      <c r="L6" s="5"/>
      <c r="M6" s="5"/>
      <c r="N6" s="5"/>
      <c r="O6" s="5"/>
      <c r="P6" s="5"/>
      <c r="Q6" s="5"/>
      <c r="R6" s="5"/>
      <c r="S6" s="5"/>
      <c r="T6" s="5"/>
      <c r="U6" s="175" t="s">
        <v>118</v>
      </c>
      <c r="V6" s="176"/>
      <c r="W6" s="135">
        <v>0</v>
      </c>
      <c r="X6" s="136">
        <v>0</v>
      </c>
      <c r="Y6" s="135">
        <v>0</v>
      </c>
      <c r="Z6" s="136">
        <v>0</v>
      </c>
      <c r="AA6" s="135">
        <v>0</v>
      </c>
      <c r="AB6" s="136">
        <v>0</v>
      </c>
      <c r="AC6" s="135">
        <v>0</v>
      </c>
      <c r="AD6" s="123">
        <v>0</v>
      </c>
    </row>
    <row r="7" spans="1:30">
      <c r="A7" s="101" t="s">
        <v>179</v>
      </c>
      <c r="B7" s="19"/>
      <c r="C7" s="133">
        <v>27.049489000000001</v>
      </c>
      <c r="D7" s="134">
        <v>20175.172358400003</v>
      </c>
      <c r="E7" s="133">
        <v>4457.179703718808</v>
      </c>
      <c r="F7" s="134">
        <v>7701.4001937808407</v>
      </c>
      <c r="G7" s="133">
        <v>8.6831999999999994</v>
      </c>
      <c r="H7" s="134">
        <v>489.27142269999996</v>
      </c>
      <c r="I7" s="133">
        <v>788.13197600000001</v>
      </c>
      <c r="J7" s="123">
        <v>109.62123200000001</v>
      </c>
      <c r="L7" s="5"/>
      <c r="M7" s="5"/>
      <c r="N7" s="5"/>
      <c r="O7" s="5"/>
      <c r="P7" s="5"/>
      <c r="Q7" s="5"/>
      <c r="R7" s="5"/>
      <c r="S7" s="5"/>
      <c r="T7" s="5"/>
      <c r="U7" s="175" t="s">
        <v>119</v>
      </c>
      <c r="V7" s="176"/>
      <c r="W7" s="133">
        <v>27.049489000000001</v>
      </c>
      <c r="X7" s="134">
        <v>20175.172358400003</v>
      </c>
      <c r="Y7" s="133">
        <v>4457.179703718808</v>
      </c>
      <c r="Z7" s="134">
        <v>7701.4001937808407</v>
      </c>
      <c r="AA7" s="133">
        <v>8.6831999999999994</v>
      </c>
      <c r="AB7" s="134">
        <v>489.27142269999996</v>
      </c>
      <c r="AC7" s="133">
        <v>788.13197600000001</v>
      </c>
      <c r="AD7" s="123">
        <v>109.62123200000001</v>
      </c>
    </row>
    <row r="8" spans="1:30">
      <c r="A8" s="104" t="s">
        <v>180</v>
      </c>
      <c r="B8" s="105"/>
      <c r="C8" s="130">
        <v>0</v>
      </c>
      <c r="D8" s="131">
        <v>8133.1758558377915</v>
      </c>
      <c r="E8" s="130">
        <v>3561.9983131182171</v>
      </c>
      <c r="F8" s="131">
        <v>8958.2924161649444</v>
      </c>
      <c r="G8" s="132">
        <v>12.68136</v>
      </c>
      <c r="H8" s="131">
        <v>2130.7378066000001</v>
      </c>
      <c r="I8" s="132">
        <v>312.5643298600001</v>
      </c>
      <c r="J8" s="122">
        <v>92.943200000000004</v>
      </c>
      <c r="L8" s="5"/>
      <c r="M8" s="5"/>
      <c r="N8" s="5"/>
      <c r="O8" s="5"/>
      <c r="P8" s="5"/>
      <c r="Q8" s="5"/>
      <c r="R8" s="5"/>
      <c r="S8" s="5"/>
      <c r="T8" s="5"/>
      <c r="U8" s="175" t="s">
        <v>120</v>
      </c>
      <c r="V8" s="176"/>
      <c r="W8" s="135">
        <v>0</v>
      </c>
      <c r="X8" s="136">
        <v>0</v>
      </c>
      <c r="Y8" s="135">
        <v>0</v>
      </c>
      <c r="Z8" s="136">
        <v>0</v>
      </c>
      <c r="AA8" s="135">
        <v>0</v>
      </c>
      <c r="AB8" s="136">
        <v>0</v>
      </c>
      <c r="AC8" s="135">
        <v>0</v>
      </c>
      <c r="AD8" s="123">
        <v>0</v>
      </c>
    </row>
    <row r="9" spans="1:30">
      <c r="A9" s="101" t="s">
        <v>43</v>
      </c>
      <c r="B9" s="19"/>
      <c r="C9" s="135">
        <f>C7-C8</f>
        <v>27.049489000000001</v>
      </c>
      <c r="D9" s="136">
        <f t="shared" ref="D9:J9" si="0">D7-D8</f>
        <v>12041.996502562211</v>
      </c>
      <c r="E9" s="135">
        <f t="shared" si="0"/>
        <v>895.18139060059093</v>
      </c>
      <c r="F9" s="136">
        <f t="shared" si="0"/>
        <v>-1256.8922223841037</v>
      </c>
      <c r="G9" s="135">
        <f t="shared" si="0"/>
        <v>-3.9981600000000004</v>
      </c>
      <c r="H9" s="136">
        <f t="shared" si="0"/>
        <v>-1641.4663839000002</v>
      </c>
      <c r="I9" s="135">
        <f t="shared" si="0"/>
        <v>475.56764613999991</v>
      </c>
      <c r="J9" s="137">
        <f t="shared" si="0"/>
        <v>16.678032000000002</v>
      </c>
      <c r="L9" s="5"/>
      <c r="M9" s="5"/>
      <c r="N9" s="5"/>
      <c r="O9" s="5"/>
      <c r="P9" s="5"/>
      <c r="Q9" s="5"/>
      <c r="R9" s="5"/>
      <c r="S9" s="5"/>
      <c r="T9" s="5"/>
      <c r="U9" s="175" t="s">
        <v>121</v>
      </c>
      <c r="V9" s="176"/>
      <c r="W9" s="133">
        <v>0</v>
      </c>
      <c r="X9" s="136">
        <v>8133.1758558377915</v>
      </c>
      <c r="Y9" s="133">
        <v>3561.9983131182171</v>
      </c>
      <c r="Z9" s="136">
        <v>8958.2924161649444</v>
      </c>
      <c r="AA9" s="135">
        <v>12.68136</v>
      </c>
      <c r="AB9" s="136">
        <v>2130.7378066000001</v>
      </c>
      <c r="AC9" s="135">
        <v>312.5643298600001</v>
      </c>
      <c r="AD9" s="123">
        <v>92.943200000000004</v>
      </c>
    </row>
    <row r="10" spans="1:30">
      <c r="A10" s="104" t="s">
        <v>44</v>
      </c>
      <c r="B10" s="105"/>
      <c r="C10" s="132">
        <v>9.1652889999999996</v>
      </c>
      <c r="D10" s="131">
        <v>-3439.9120800000001</v>
      </c>
      <c r="E10" s="132">
        <v>210.47656000000003</v>
      </c>
      <c r="F10" s="131">
        <v>-1417.5496619999999</v>
      </c>
      <c r="G10" s="132">
        <v>2.1599999999999998E-2</v>
      </c>
      <c r="H10" s="131">
        <v>-276.48281000000003</v>
      </c>
      <c r="I10" s="132">
        <v>750.57588299999998</v>
      </c>
      <c r="J10" s="122">
        <v>0.6413120000000001</v>
      </c>
      <c r="L10" s="5"/>
      <c r="M10" s="5"/>
      <c r="N10" s="5"/>
      <c r="O10" s="5"/>
      <c r="P10" s="5"/>
      <c r="Q10" s="5"/>
      <c r="R10" s="5"/>
      <c r="S10" s="5"/>
      <c r="T10" s="5"/>
      <c r="U10" s="175" t="s">
        <v>122</v>
      </c>
      <c r="V10" s="176"/>
      <c r="W10" s="135">
        <v>0</v>
      </c>
      <c r="X10" s="136">
        <v>0</v>
      </c>
      <c r="Y10" s="135">
        <v>0</v>
      </c>
      <c r="Z10" s="136">
        <v>0</v>
      </c>
      <c r="AA10" s="135">
        <v>0</v>
      </c>
      <c r="AB10" s="136">
        <v>0</v>
      </c>
      <c r="AC10" s="135">
        <v>0</v>
      </c>
      <c r="AD10" s="123">
        <v>0</v>
      </c>
    </row>
    <row r="11" spans="1:30">
      <c r="A11" s="101" t="s">
        <v>45</v>
      </c>
      <c r="B11" s="19"/>
      <c r="C11" s="133">
        <v>1.074506</v>
      </c>
      <c r="D11" s="136">
        <v>0</v>
      </c>
      <c r="E11" s="133">
        <v>0</v>
      </c>
      <c r="F11" s="136">
        <v>0</v>
      </c>
      <c r="G11" s="133">
        <v>0</v>
      </c>
      <c r="H11" s="136">
        <v>0</v>
      </c>
      <c r="I11" s="135">
        <v>0</v>
      </c>
      <c r="J11" s="123">
        <v>0</v>
      </c>
      <c r="L11" s="5"/>
      <c r="M11" s="5"/>
      <c r="N11" s="5"/>
      <c r="O11" s="5"/>
      <c r="P11" s="5"/>
      <c r="Q11" s="5"/>
      <c r="R11" s="5"/>
      <c r="S11" s="5"/>
      <c r="T11" s="5"/>
      <c r="U11" s="175" t="s">
        <v>123</v>
      </c>
      <c r="V11" s="176"/>
      <c r="W11" s="133">
        <v>27.049489000000001</v>
      </c>
      <c r="X11" s="134">
        <v>12041.996502562213</v>
      </c>
      <c r="Y11" s="133">
        <v>895.18139060059093</v>
      </c>
      <c r="Z11" s="134">
        <v>-1256.8922223841037</v>
      </c>
      <c r="AA11" s="133">
        <v>-3.9981599999999995</v>
      </c>
      <c r="AB11" s="134">
        <v>-1641.4663839000002</v>
      </c>
      <c r="AC11" s="133">
        <v>475.56764613999985</v>
      </c>
      <c r="AD11" s="123">
        <v>16.678032000000002</v>
      </c>
    </row>
    <row r="12" spans="1:30">
      <c r="A12" s="104" t="s">
        <v>46</v>
      </c>
      <c r="B12" s="105"/>
      <c r="C12" s="124">
        <f>C6+C9+C10+C11</f>
        <v>37.289284000000002</v>
      </c>
      <c r="D12" s="125">
        <f t="shared" ref="D12:J12" si="1">D6+D9+D10+D11</f>
        <v>231702.18914669997</v>
      </c>
      <c r="E12" s="124">
        <f t="shared" si="1"/>
        <v>51508.662874145994</v>
      </c>
      <c r="F12" s="125">
        <f t="shared" si="1"/>
        <v>92978.353528485139</v>
      </c>
      <c r="G12" s="124">
        <f t="shared" si="1"/>
        <v>7.5434399999999995</v>
      </c>
      <c r="H12" s="125">
        <f t="shared" si="1"/>
        <v>4595.3828060999995</v>
      </c>
      <c r="I12" s="124">
        <f t="shared" si="1"/>
        <v>25323.924401558525</v>
      </c>
      <c r="J12" s="126">
        <f t="shared" si="1"/>
        <v>17.319344000000001</v>
      </c>
      <c r="L12" s="5"/>
      <c r="M12" s="5"/>
      <c r="N12" s="5"/>
      <c r="O12" s="5"/>
      <c r="P12" s="5"/>
      <c r="Q12" s="5"/>
      <c r="R12" s="5"/>
      <c r="S12" s="5"/>
      <c r="T12" s="5"/>
      <c r="U12" s="175" t="s">
        <v>124</v>
      </c>
      <c r="V12" s="176"/>
      <c r="W12" s="135">
        <v>9.1652889999999996</v>
      </c>
      <c r="X12" s="136">
        <v>-3439.9120800000001</v>
      </c>
      <c r="Y12" s="135">
        <v>210.47656000000003</v>
      </c>
      <c r="Z12" s="136">
        <v>-1417.5496619999999</v>
      </c>
      <c r="AA12" s="135">
        <v>2.1599999999999998E-2</v>
      </c>
      <c r="AB12" s="136">
        <v>-276.48281000000003</v>
      </c>
      <c r="AC12" s="135">
        <v>750.57588299999998</v>
      </c>
      <c r="AD12" s="123">
        <v>0.6413120000000001</v>
      </c>
    </row>
    <row r="13" spans="1:30">
      <c r="A13" s="101"/>
      <c r="B13" s="19"/>
      <c r="C13" s="127"/>
      <c r="D13" s="128"/>
      <c r="E13" s="127"/>
      <c r="F13" s="128"/>
      <c r="G13" s="127"/>
      <c r="H13" s="128"/>
      <c r="I13" s="127"/>
      <c r="J13" s="129"/>
      <c r="P13" s="5"/>
      <c r="Q13" s="5"/>
      <c r="R13" s="5"/>
      <c r="S13" s="5"/>
      <c r="T13" s="5"/>
      <c r="U13" s="175" t="s">
        <v>125</v>
      </c>
      <c r="V13" s="176"/>
      <c r="W13" s="133">
        <v>1.074506</v>
      </c>
      <c r="X13" s="136">
        <v>0</v>
      </c>
      <c r="Y13" s="133">
        <v>0</v>
      </c>
      <c r="Z13" s="136">
        <v>0</v>
      </c>
      <c r="AA13" s="133">
        <v>0</v>
      </c>
      <c r="AB13" s="136">
        <v>0</v>
      </c>
      <c r="AC13" s="135">
        <v>0</v>
      </c>
      <c r="AD13" s="123">
        <v>0</v>
      </c>
    </row>
    <row r="14" spans="1:30" ht="15" customHeight="1">
      <c r="A14" s="138" t="s">
        <v>47</v>
      </c>
      <c r="B14" s="139"/>
      <c r="C14" s="120">
        <v>17.8842</v>
      </c>
      <c r="D14" s="92">
        <v>55844</v>
      </c>
      <c r="E14" s="120">
        <v>3455.6631296723476</v>
      </c>
      <c r="F14" s="92">
        <v>86510.525783999998</v>
      </c>
      <c r="G14" s="120">
        <v>7.3360799999999999</v>
      </c>
      <c r="H14" s="92">
        <v>5103.3487547999994</v>
      </c>
      <c r="I14" s="120">
        <v>23813.210136936999</v>
      </c>
      <c r="J14" s="93">
        <v>61</v>
      </c>
      <c r="K14" s="9"/>
      <c r="L14" s="76" t="s">
        <v>183</v>
      </c>
      <c r="P14" s="5"/>
      <c r="Q14" s="5"/>
      <c r="R14" s="5"/>
      <c r="S14" s="5"/>
      <c r="T14" s="5"/>
      <c r="U14" s="177"/>
      <c r="V14" s="166"/>
      <c r="W14" s="135"/>
      <c r="X14" s="136"/>
      <c r="Y14" s="135"/>
      <c r="Z14" s="136"/>
      <c r="AA14" s="135"/>
      <c r="AB14" s="136"/>
      <c r="AC14" s="135"/>
      <c r="AD14" s="123"/>
    </row>
    <row r="15" spans="1:30" ht="15" customHeight="1">
      <c r="A15" s="101"/>
      <c r="B15" s="19"/>
      <c r="C15" s="116"/>
      <c r="D15" s="107"/>
      <c r="E15" s="116"/>
      <c r="F15" s="107"/>
      <c r="G15" s="116"/>
      <c r="H15" s="107"/>
      <c r="I15" s="116"/>
      <c r="J15" s="108"/>
      <c r="K15" s="91"/>
      <c r="L15" s="76" t="s">
        <v>184</v>
      </c>
      <c r="P15" s="5"/>
      <c r="Q15" s="5"/>
      <c r="R15" s="5"/>
      <c r="S15" s="5"/>
      <c r="T15" s="5"/>
      <c r="U15" s="171" t="s">
        <v>126</v>
      </c>
      <c r="V15" s="169"/>
      <c r="W15" s="182">
        <f>W5+W11+W12+W13</f>
        <v>37.289284000000002</v>
      </c>
      <c r="X15" s="183">
        <f t="shared" ref="X15:AD15" si="2">X5+X11+X12+X13</f>
        <v>231702.18914669997</v>
      </c>
      <c r="Y15" s="182">
        <f t="shared" si="2"/>
        <v>51508.662874145994</v>
      </c>
      <c r="Z15" s="183">
        <f t="shared" si="2"/>
        <v>92978.353528485139</v>
      </c>
      <c r="AA15" s="182">
        <f t="shared" si="2"/>
        <v>7.5434400000000004</v>
      </c>
      <c r="AB15" s="183">
        <f t="shared" si="2"/>
        <v>4595.3828060999995</v>
      </c>
      <c r="AC15" s="182">
        <f t="shared" si="2"/>
        <v>25323.924401558525</v>
      </c>
      <c r="AD15" s="184">
        <f t="shared" si="2"/>
        <v>17.319344000000001</v>
      </c>
    </row>
    <row r="16" spans="1:30" ht="15" customHeight="1">
      <c r="A16" s="104" t="s">
        <v>48</v>
      </c>
      <c r="B16" s="105"/>
      <c r="C16" s="115">
        <v>0</v>
      </c>
      <c r="D16" s="106">
        <v>174661.773008016</v>
      </c>
      <c r="E16" s="115">
        <v>47377.246903748375</v>
      </c>
      <c r="F16" s="106">
        <v>7162.455598999999</v>
      </c>
      <c r="G16" s="120">
        <v>0</v>
      </c>
      <c r="H16" s="92">
        <v>0</v>
      </c>
      <c r="I16" s="120"/>
      <c r="J16" s="93">
        <v>0</v>
      </c>
      <c r="O16" s="5"/>
      <c r="P16" s="5"/>
      <c r="Q16" s="5"/>
      <c r="R16" s="5"/>
      <c r="S16" s="5"/>
      <c r="T16" s="5"/>
      <c r="U16" s="175"/>
      <c r="V16" s="176"/>
      <c r="W16" s="185"/>
      <c r="X16" s="186"/>
      <c r="Y16" s="185"/>
      <c r="Z16" s="186"/>
      <c r="AA16" s="185"/>
      <c r="AB16" s="186"/>
      <c r="AC16" s="185"/>
      <c r="AD16" s="123"/>
    </row>
    <row r="17" spans="1:30" ht="15" customHeight="1">
      <c r="A17" s="101"/>
      <c r="B17" s="19"/>
      <c r="C17" s="117"/>
      <c r="D17" s="110"/>
      <c r="E17" s="119"/>
      <c r="F17" s="110"/>
      <c r="G17" s="117"/>
      <c r="H17" s="109">
        <v>0</v>
      </c>
      <c r="I17" s="117">
        <v>0</v>
      </c>
      <c r="J17" s="111">
        <v>0</v>
      </c>
      <c r="K17" s="91"/>
      <c r="O17" s="5"/>
      <c r="P17" s="5"/>
      <c r="Q17" s="5"/>
      <c r="R17" s="5"/>
      <c r="S17" s="5"/>
      <c r="T17" s="5"/>
      <c r="U17" s="175" t="s">
        <v>127</v>
      </c>
      <c r="V17" s="176"/>
      <c r="W17" s="127">
        <v>17.8842</v>
      </c>
      <c r="X17" s="128">
        <v>57210.607142699977</v>
      </c>
      <c r="Y17" s="127">
        <v>2923.9272160000005</v>
      </c>
      <c r="Z17" s="128">
        <v>83257.175783999992</v>
      </c>
      <c r="AA17" s="127">
        <v>5.8247999999999998</v>
      </c>
      <c r="AB17" s="128">
        <v>5148.3484261000003</v>
      </c>
      <c r="AC17" s="127">
        <v>23821.698108389999</v>
      </c>
      <c r="AD17" s="129">
        <v>19.478480000000001</v>
      </c>
    </row>
    <row r="18" spans="1:30" ht="15" customHeight="1">
      <c r="A18" s="143" t="s">
        <v>49</v>
      </c>
      <c r="B18" s="112"/>
      <c r="C18" s="118">
        <f>C14+C16</f>
        <v>17.8842</v>
      </c>
      <c r="D18" s="94">
        <f t="shared" ref="D18:J18" si="3">D14+D16</f>
        <v>230505.773008016</v>
      </c>
      <c r="E18" s="118">
        <f t="shared" si="3"/>
        <v>50832.910033420725</v>
      </c>
      <c r="F18" s="94">
        <f t="shared" si="3"/>
        <v>93672.981382999991</v>
      </c>
      <c r="G18" s="118">
        <f t="shared" si="3"/>
        <v>7.3360799999999999</v>
      </c>
      <c r="H18" s="94">
        <f t="shared" si="3"/>
        <v>5103.3487547999994</v>
      </c>
      <c r="I18" s="118">
        <f t="shared" si="3"/>
        <v>23813.210136936999</v>
      </c>
      <c r="J18" s="95">
        <f t="shared" si="3"/>
        <v>61</v>
      </c>
      <c r="O18" s="5"/>
      <c r="P18" s="5"/>
      <c r="Q18" s="5"/>
      <c r="R18" s="5"/>
      <c r="S18" s="5"/>
      <c r="T18" s="5"/>
      <c r="U18" s="175" t="s">
        <v>128</v>
      </c>
      <c r="V18" s="176"/>
      <c r="W18" s="127">
        <v>0</v>
      </c>
      <c r="X18" s="128">
        <v>0</v>
      </c>
      <c r="Y18" s="127">
        <v>0</v>
      </c>
      <c r="Z18" s="128">
        <v>0</v>
      </c>
      <c r="AA18" s="127">
        <v>0</v>
      </c>
      <c r="AB18" s="128">
        <v>0</v>
      </c>
      <c r="AC18" s="127">
        <v>0</v>
      </c>
      <c r="AD18" s="129">
        <v>0</v>
      </c>
    </row>
    <row r="19" spans="1:30">
      <c r="A19" s="23"/>
      <c r="D19" s="5"/>
      <c r="E19" s="5"/>
      <c r="U19" s="101" t="s">
        <v>181</v>
      </c>
      <c r="V19" s="176"/>
      <c r="W19" s="127">
        <v>0</v>
      </c>
      <c r="X19" s="128">
        <v>181371.40616399999</v>
      </c>
      <c r="Y19" s="127">
        <v>48046.321566052204</v>
      </c>
      <c r="Z19" s="128">
        <v>10793.005599</v>
      </c>
      <c r="AA19" s="127">
        <v>1.51128</v>
      </c>
      <c r="AB19" s="128">
        <v>0</v>
      </c>
      <c r="AC19" s="127">
        <v>0</v>
      </c>
      <c r="AD19" s="129">
        <v>0</v>
      </c>
    </row>
    <row r="20" spans="1:30">
      <c r="I20" s="5"/>
      <c r="U20" s="177"/>
      <c r="V20" s="166"/>
      <c r="W20" s="185"/>
      <c r="X20" s="186"/>
      <c r="Y20" s="185"/>
      <c r="Z20" s="186"/>
      <c r="AA20" s="185"/>
      <c r="AB20" s="186"/>
      <c r="AC20" s="185"/>
      <c r="AD20" s="123"/>
    </row>
    <row r="21" spans="1:30">
      <c r="A21" s="145" t="s">
        <v>51</v>
      </c>
      <c r="B21" s="144"/>
      <c r="C21" s="219">
        <v>1.07</v>
      </c>
      <c r="D21" s="219">
        <v>1.0349999999999999</v>
      </c>
      <c r="E21" s="219">
        <v>1.0649999999999999</v>
      </c>
      <c r="F21" s="219">
        <v>0.96</v>
      </c>
      <c r="G21" s="219">
        <v>1.07</v>
      </c>
      <c r="H21" s="219">
        <v>1.1299999999999999</v>
      </c>
      <c r="I21" s="219">
        <v>1.07</v>
      </c>
      <c r="J21" s="219">
        <v>1.0449999999999999</v>
      </c>
      <c r="U21" s="168" t="s">
        <v>129</v>
      </c>
      <c r="V21" s="169"/>
      <c r="W21" s="187">
        <f t="shared" ref="W21" si="4">W17+W19</f>
        <v>17.8842</v>
      </c>
      <c r="X21" s="188">
        <f>X17+X19</f>
        <v>238582.01330669996</v>
      </c>
      <c r="Y21" s="187">
        <f t="shared" ref="Y21:AD21" si="5">Y17+Y19</f>
        <v>50970.248782052207</v>
      </c>
      <c r="Z21" s="188">
        <f t="shared" si="5"/>
        <v>94050.181382999988</v>
      </c>
      <c r="AA21" s="187">
        <f t="shared" si="5"/>
        <v>7.3360799999999999</v>
      </c>
      <c r="AB21" s="188">
        <f t="shared" si="5"/>
        <v>5148.3484261000003</v>
      </c>
      <c r="AC21" s="187">
        <f t="shared" si="5"/>
        <v>23821.698108389999</v>
      </c>
      <c r="AD21" s="189">
        <f t="shared" si="5"/>
        <v>19.478480000000001</v>
      </c>
    </row>
    <row r="22" spans="1:30">
      <c r="W22" s="56"/>
      <c r="X22" s="55"/>
    </row>
    <row r="23" spans="1:30" ht="15.75">
      <c r="D23" s="22"/>
      <c r="E23" s="22"/>
      <c r="F23" s="163" t="s">
        <v>53</v>
      </c>
      <c r="G23" s="22"/>
      <c r="H23" s="22"/>
      <c r="I23" s="22"/>
      <c r="W23" s="9"/>
    </row>
    <row r="24" spans="1:30">
      <c r="A24" s="97"/>
      <c r="B24" s="98"/>
      <c r="C24" s="113" t="s">
        <v>35</v>
      </c>
      <c r="D24" s="99" t="s">
        <v>36</v>
      </c>
      <c r="E24" s="113" t="s">
        <v>37</v>
      </c>
      <c r="F24" s="99" t="s">
        <v>38</v>
      </c>
      <c r="G24" s="113" t="s">
        <v>39</v>
      </c>
      <c r="H24" s="99" t="s">
        <v>4</v>
      </c>
      <c r="I24" s="17" t="s">
        <v>41</v>
      </c>
      <c r="J24" s="100" t="s">
        <v>40</v>
      </c>
    </row>
    <row r="25" spans="1:30">
      <c r="A25" s="14" t="s">
        <v>42</v>
      </c>
      <c r="B25" s="15"/>
      <c r="C25" s="146">
        <f t="shared" ref="C25:J30" si="6">C6*C$21</f>
        <v>0</v>
      </c>
      <c r="D25" s="147">
        <f t="shared" si="6"/>
        <v>230908.60838948254</v>
      </c>
      <c r="E25" s="146">
        <f t="shared" si="6"/>
        <v>53679.200243575848</v>
      </c>
      <c r="F25" s="147">
        <f t="shared" si="6"/>
        <v>91826.683596354473</v>
      </c>
      <c r="G25" s="146">
        <f t="shared" si="6"/>
        <v>12.3264</v>
      </c>
      <c r="H25" s="147">
        <f t="shared" si="6"/>
        <v>7360.0651600000001</v>
      </c>
      <c r="I25" s="146">
        <f t="shared" si="6"/>
        <v>25784.625533487822</v>
      </c>
      <c r="J25" s="148">
        <f t="shared" si="6"/>
        <v>0</v>
      </c>
    </row>
    <row r="26" spans="1:30">
      <c r="A26" s="101" t="s">
        <v>179</v>
      </c>
      <c r="B26" s="19"/>
      <c r="C26" s="142">
        <f t="shared" si="6"/>
        <v>28.942953230000004</v>
      </c>
      <c r="D26" s="140">
        <f t="shared" si="6"/>
        <v>20881.303390944002</v>
      </c>
      <c r="E26" s="142">
        <f t="shared" si="6"/>
        <v>4746.8963844605305</v>
      </c>
      <c r="F26" s="140">
        <f t="shared" si="6"/>
        <v>7393.344186029607</v>
      </c>
      <c r="G26" s="142">
        <f t="shared" si="6"/>
        <v>9.2910240000000002</v>
      </c>
      <c r="H26" s="140">
        <f t="shared" si="6"/>
        <v>552.87670765099995</v>
      </c>
      <c r="I26" s="142">
        <f t="shared" si="6"/>
        <v>843.3012143200001</v>
      </c>
      <c r="J26" s="141">
        <f t="shared" si="6"/>
        <v>114.55418743999999</v>
      </c>
    </row>
    <row r="27" spans="1:30">
      <c r="A27" s="14" t="s">
        <v>180</v>
      </c>
      <c r="B27" s="15"/>
      <c r="C27" s="146">
        <f t="shared" si="6"/>
        <v>0</v>
      </c>
      <c r="D27" s="147">
        <f t="shared" si="6"/>
        <v>8417.8370107921128</v>
      </c>
      <c r="E27" s="146">
        <f t="shared" si="6"/>
        <v>3793.5282034709012</v>
      </c>
      <c r="F27" s="147">
        <f t="shared" si="6"/>
        <v>8599.9607195183471</v>
      </c>
      <c r="G27" s="146">
        <f t="shared" si="6"/>
        <v>13.569055200000001</v>
      </c>
      <c r="H27" s="147">
        <f t="shared" si="6"/>
        <v>2407.7337214579998</v>
      </c>
      <c r="I27" s="146">
        <f t="shared" si="6"/>
        <v>334.44383295020015</v>
      </c>
      <c r="J27" s="148">
        <f t="shared" si="6"/>
        <v>97.125643999999994</v>
      </c>
      <c r="L27" s="76" t="s">
        <v>253</v>
      </c>
    </row>
    <row r="28" spans="1:30">
      <c r="A28" s="101" t="s">
        <v>43</v>
      </c>
      <c r="B28" s="19"/>
      <c r="C28" s="142">
        <f t="shared" si="6"/>
        <v>28.942953230000004</v>
      </c>
      <c r="D28" s="140">
        <f t="shared" si="6"/>
        <v>12463.466380151887</v>
      </c>
      <c r="E28" s="142">
        <f t="shared" si="6"/>
        <v>953.36818098962931</v>
      </c>
      <c r="F28" s="140">
        <f t="shared" si="6"/>
        <v>-1206.6165334887394</v>
      </c>
      <c r="G28" s="142">
        <f t="shared" si="6"/>
        <v>-4.2780312000000009</v>
      </c>
      <c r="H28" s="140">
        <f t="shared" si="6"/>
        <v>-1854.8570138070002</v>
      </c>
      <c r="I28" s="142">
        <f t="shared" si="6"/>
        <v>508.85738136979995</v>
      </c>
      <c r="J28" s="141">
        <f t="shared" si="6"/>
        <v>17.428543440000002</v>
      </c>
    </row>
    <row r="29" spans="1:30">
      <c r="A29" s="14" t="s">
        <v>44</v>
      </c>
      <c r="B29" s="15"/>
      <c r="C29" s="146">
        <f t="shared" si="6"/>
        <v>9.8068592300000006</v>
      </c>
      <c r="D29" s="147">
        <f t="shared" si="6"/>
        <v>-3560.3090027999997</v>
      </c>
      <c r="E29" s="146">
        <f t="shared" si="6"/>
        <v>224.15753640000003</v>
      </c>
      <c r="F29" s="147">
        <f t="shared" si="6"/>
        <v>-1360.8476755199999</v>
      </c>
      <c r="G29" s="146">
        <f t="shared" si="6"/>
        <v>2.3111999999999997E-2</v>
      </c>
      <c r="H29" s="147">
        <f t="shared" si="6"/>
        <v>-312.42557529999999</v>
      </c>
      <c r="I29" s="146">
        <f t="shared" si="6"/>
        <v>803.11619481000002</v>
      </c>
      <c r="J29" s="148">
        <f t="shared" si="6"/>
        <v>0.67017104000000005</v>
      </c>
    </row>
    <row r="30" spans="1:30">
      <c r="A30" s="101" t="s">
        <v>45</v>
      </c>
      <c r="B30" s="19"/>
      <c r="C30" s="142">
        <f t="shared" si="6"/>
        <v>1.1497214200000001</v>
      </c>
      <c r="D30" s="140">
        <f t="shared" si="6"/>
        <v>0</v>
      </c>
      <c r="E30" s="142">
        <f t="shared" si="6"/>
        <v>0</v>
      </c>
      <c r="F30" s="140">
        <f t="shared" si="6"/>
        <v>0</v>
      </c>
      <c r="G30" s="142">
        <f t="shared" si="6"/>
        <v>0</v>
      </c>
      <c r="H30" s="140">
        <f t="shared" si="6"/>
        <v>0</v>
      </c>
      <c r="I30" s="142">
        <f t="shared" si="6"/>
        <v>0</v>
      </c>
      <c r="J30" s="141">
        <f t="shared" si="6"/>
        <v>0</v>
      </c>
    </row>
    <row r="31" spans="1:30">
      <c r="A31" s="14" t="s">
        <v>46</v>
      </c>
      <c r="B31" s="15"/>
      <c r="C31" s="146">
        <f t="shared" ref="C31:J31" si="7">C25+C28+C29+C30</f>
        <v>39.89953388</v>
      </c>
      <c r="D31" s="147">
        <f t="shared" si="7"/>
        <v>239811.76576683443</v>
      </c>
      <c r="E31" s="146">
        <f t="shared" si="7"/>
        <v>54856.725960965479</v>
      </c>
      <c r="F31" s="147">
        <f t="shared" si="7"/>
        <v>89259.219387345744</v>
      </c>
      <c r="G31" s="146">
        <f t="shared" si="7"/>
        <v>8.071480799999998</v>
      </c>
      <c r="H31" s="147">
        <f t="shared" si="7"/>
        <v>5192.7825708930004</v>
      </c>
      <c r="I31" s="146">
        <f t="shared" si="7"/>
        <v>27096.599109667623</v>
      </c>
      <c r="J31" s="148">
        <f t="shared" si="7"/>
        <v>18.098714480000002</v>
      </c>
    </row>
    <row r="32" spans="1:30">
      <c r="A32" s="101"/>
      <c r="B32" s="19"/>
      <c r="C32" s="16"/>
      <c r="D32" s="19"/>
      <c r="E32" s="16"/>
      <c r="F32" s="19"/>
      <c r="G32" s="16"/>
      <c r="H32" s="19"/>
      <c r="I32" s="16"/>
      <c r="J32" s="102"/>
    </row>
    <row r="33" spans="1:24" ht="15" customHeight="1">
      <c r="A33" s="149" t="s">
        <v>47</v>
      </c>
      <c r="B33" s="150"/>
      <c r="C33" s="151">
        <f>C14*C$21</f>
        <v>19.136094</v>
      </c>
      <c r="D33" s="152">
        <f t="shared" ref="D33:J33" si="8">D14*D$21</f>
        <v>57798.539999999994</v>
      </c>
      <c r="E33" s="151">
        <f t="shared" si="8"/>
        <v>3680.28123310105</v>
      </c>
      <c r="F33" s="152">
        <f t="shared" si="8"/>
        <v>83050.104752639993</v>
      </c>
      <c r="G33" s="151">
        <f t="shared" si="8"/>
        <v>7.8496056000000003</v>
      </c>
      <c r="H33" s="152">
        <f t="shared" si="8"/>
        <v>5766.7840929239992</v>
      </c>
      <c r="I33" s="151">
        <f t="shared" si="8"/>
        <v>25480.134846522589</v>
      </c>
      <c r="J33" s="153">
        <f t="shared" si="8"/>
        <v>63.744999999999997</v>
      </c>
    </row>
    <row r="34" spans="1:24" ht="15" customHeight="1">
      <c r="A34" s="101"/>
      <c r="B34" s="19"/>
      <c r="C34" s="114"/>
      <c r="D34" s="57"/>
      <c r="E34" s="114"/>
      <c r="F34" s="57"/>
      <c r="G34" s="114"/>
      <c r="H34" s="57"/>
      <c r="I34" s="114"/>
      <c r="J34" s="103"/>
    </row>
    <row r="35" spans="1:24" ht="15" customHeight="1">
      <c r="A35" s="14" t="s">
        <v>48</v>
      </c>
      <c r="B35" s="15"/>
      <c r="C35" s="154">
        <f t="shared" ref="C35:J35" si="9">C16*C$21</f>
        <v>0</v>
      </c>
      <c r="D35" s="155">
        <f t="shared" si="9"/>
        <v>180774.93506329655</v>
      </c>
      <c r="E35" s="154">
        <f t="shared" si="9"/>
        <v>50456.767952492017</v>
      </c>
      <c r="F35" s="155">
        <f t="shared" si="9"/>
        <v>6875.9573750399986</v>
      </c>
      <c r="G35" s="154">
        <f t="shared" si="9"/>
        <v>0</v>
      </c>
      <c r="H35" s="155">
        <f t="shared" si="9"/>
        <v>0</v>
      </c>
      <c r="I35" s="154">
        <f t="shared" si="9"/>
        <v>0</v>
      </c>
      <c r="J35" s="156">
        <f t="shared" si="9"/>
        <v>0</v>
      </c>
    </row>
    <row r="36" spans="1:24" ht="15" customHeight="1">
      <c r="A36" s="101"/>
      <c r="B36" s="19"/>
      <c r="C36" s="114"/>
      <c r="D36" s="57"/>
      <c r="E36" s="114"/>
      <c r="F36" s="57"/>
      <c r="G36" s="114"/>
      <c r="H36" s="57"/>
      <c r="I36" s="114"/>
      <c r="J36" s="103"/>
    </row>
    <row r="37" spans="1:24" ht="15" customHeight="1">
      <c r="A37" s="157" t="s">
        <v>49</v>
      </c>
      <c r="B37" s="158"/>
      <c r="C37" s="159">
        <f t="shared" ref="C37:J37" si="10">C33+C35</f>
        <v>19.136094</v>
      </c>
      <c r="D37" s="160">
        <f t="shared" si="10"/>
        <v>238573.47506329656</v>
      </c>
      <c r="E37" s="159">
        <f t="shared" si="10"/>
        <v>54137.049185593067</v>
      </c>
      <c r="F37" s="160">
        <f t="shared" si="10"/>
        <v>89926.062127679994</v>
      </c>
      <c r="G37" s="159">
        <f t="shared" si="10"/>
        <v>7.8496056000000003</v>
      </c>
      <c r="H37" s="160">
        <f t="shared" si="10"/>
        <v>5766.7840929239992</v>
      </c>
      <c r="I37" s="159">
        <f t="shared" si="10"/>
        <v>25480.134846522589</v>
      </c>
      <c r="J37" s="161">
        <f t="shared" si="10"/>
        <v>63.744999999999997</v>
      </c>
    </row>
    <row r="40" spans="1:24">
      <c r="D40" s="47"/>
    </row>
    <row r="42" spans="1:24">
      <c r="A42" s="818" t="s">
        <v>229</v>
      </c>
      <c r="B42" s="819"/>
      <c r="C42" s="820"/>
      <c r="E42" s="821" t="s">
        <v>230</v>
      </c>
      <c r="F42" s="822"/>
      <c r="G42" s="822"/>
      <c r="H42" s="823"/>
      <c r="J42" s="824" t="s">
        <v>232</v>
      </c>
      <c r="K42" s="825"/>
      <c r="L42" s="825"/>
      <c r="M42" s="826"/>
      <c r="O42" s="827" t="s">
        <v>238</v>
      </c>
      <c r="P42" s="828"/>
      <c r="Q42" s="828"/>
      <c r="R42" s="829"/>
      <c r="T42" s="815" t="s">
        <v>245</v>
      </c>
      <c r="U42" s="816"/>
      <c r="V42" s="816"/>
      <c r="W42" s="817"/>
    </row>
    <row r="43" spans="1:24">
      <c r="A43" s="13"/>
      <c r="B43" s="13"/>
      <c r="C43" s="217" t="s">
        <v>52</v>
      </c>
      <c r="E43" s="192"/>
      <c r="F43" s="192"/>
      <c r="G43" s="192"/>
      <c r="H43" s="199" t="s">
        <v>52</v>
      </c>
      <c r="J43" s="200"/>
      <c r="K43" s="200"/>
      <c r="L43" s="200"/>
      <c r="M43" s="207" t="s">
        <v>52</v>
      </c>
      <c r="O43" s="252"/>
      <c r="P43" s="252"/>
      <c r="Q43" s="252"/>
      <c r="R43" s="253" t="s">
        <v>52</v>
      </c>
      <c r="T43" s="261"/>
      <c r="U43" s="261"/>
      <c r="V43" s="261"/>
      <c r="W43" s="310" t="s">
        <v>52</v>
      </c>
    </row>
    <row r="44" spans="1:24">
      <c r="A44" s="208" t="s">
        <v>195</v>
      </c>
      <c r="B44" s="209"/>
      <c r="C44" s="209"/>
      <c r="D44" s="76"/>
      <c r="E44" s="193" t="s">
        <v>226</v>
      </c>
      <c r="F44" s="194"/>
      <c r="G44" s="194"/>
      <c r="H44" s="194"/>
      <c r="I44" s="76"/>
      <c r="J44" s="201" t="s">
        <v>236</v>
      </c>
      <c r="K44" s="202"/>
      <c r="L44" s="202"/>
      <c r="M44" s="205">
        <v>3465.3853960000006</v>
      </c>
      <c r="O44" s="254" t="s">
        <v>241</v>
      </c>
      <c r="P44" s="252"/>
      <c r="Q44" s="252"/>
      <c r="R44" s="252"/>
      <c r="T44" s="262" t="s">
        <v>246</v>
      </c>
      <c r="U44" s="263"/>
      <c r="V44" s="263"/>
      <c r="W44" s="273">
        <v>82429.693283999994</v>
      </c>
    </row>
    <row r="45" spans="1:24">
      <c r="A45" s="209" t="s">
        <v>79</v>
      </c>
      <c r="B45" s="209"/>
      <c r="C45" s="210">
        <v>14395.014891000001</v>
      </c>
      <c r="D45" s="76"/>
      <c r="E45" s="194" t="s">
        <v>227</v>
      </c>
      <c r="F45" s="194"/>
      <c r="G45" s="194"/>
      <c r="H45" s="197">
        <v>22411.914001936999</v>
      </c>
      <c r="J45" s="202"/>
      <c r="K45" s="202"/>
      <c r="L45" s="202"/>
      <c r="M45" s="202"/>
      <c r="O45" s="255" t="s">
        <v>240</v>
      </c>
      <c r="P45" s="252"/>
      <c r="Q45" s="252"/>
      <c r="R45" s="256">
        <v>2262.1327982555608</v>
      </c>
      <c r="T45" s="263"/>
      <c r="U45" s="263"/>
      <c r="V45" s="263"/>
      <c r="W45" s="264"/>
    </row>
    <row r="46" spans="1:24">
      <c r="A46" s="209" t="s">
        <v>196</v>
      </c>
      <c r="B46" s="209"/>
      <c r="C46" s="210">
        <v>2483.4004439999999</v>
      </c>
      <c r="D46" s="76"/>
      <c r="E46" s="194"/>
      <c r="F46" s="194"/>
      <c r="G46" s="194"/>
      <c r="H46" s="195"/>
      <c r="J46" s="201" t="s">
        <v>100</v>
      </c>
      <c r="K46" s="202"/>
      <c r="L46" s="202"/>
      <c r="M46" s="202"/>
      <c r="O46" s="255" t="s">
        <v>196</v>
      </c>
      <c r="P46" s="252"/>
      <c r="Q46" s="252"/>
      <c r="R46" s="256">
        <v>918.03420800000015</v>
      </c>
      <c r="T46" s="262" t="s">
        <v>166</v>
      </c>
      <c r="U46" s="263"/>
      <c r="V46" s="263"/>
      <c r="W46" s="264"/>
    </row>
    <row r="47" spans="1:24">
      <c r="A47" s="209" t="s">
        <v>197</v>
      </c>
      <c r="B47" s="209"/>
      <c r="C47" s="210">
        <v>1365.66</v>
      </c>
      <c r="D47" s="76"/>
      <c r="E47" s="193" t="s">
        <v>206</v>
      </c>
      <c r="F47" s="194"/>
      <c r="G47" s="194"/>
      <c r="H47" s="195"/>
      <c r="J47" s="202" t="s">
        <v>79</v>
      </c>
      <c r="K47" s="202"/>
      <c r="L47" s="202"/>
      <c r="M47" s="203">
        <v>1111.3181881999988</v>
      </c>
      <c r="O47" s="255" t="s">
        <v>239</v>
      </c>
      <c r="P47" s="252"/>
      <c r="Q47" s="252"/>
      <c r="R47" s="256">
        <v>152.85726400000001</v>
      </c>
      <c r="T47" s="263" t="s">
        <v>197</v>
      </c>
      <c r="U47" s="263"/>
      <c r="V47" s="263"/>
      <c r="W47" s="264">
        <v>3630.5499999999997</v>
      </c>
      <c r="X47" s="72">
        <f>W47*0.96</f>
        <v>3485.3279999999995</v>
      </c>
    </row>
    <row r="48" spans="1:24">
      <c r="A48" s="209" t="s">
        <v>198</v>
      </c>
      <c r="B48" s="209"/>
      <c r="C48" s="210">
        <v>1272.93</v>
      </c>
      <c r="D48" s="76"/>
      <c r="E48" s="194" t="s">
        <v>208</v>
      </c>
      <c r="F48" s="194"/>
      <c r="G48" s="194"/>
      <c r="H48" s="195">
        <v>854.22500000000002</v>
      </c>
      <c r="J48" s="202" t="s">
        <v>233</v>
      </c>
      <c r="K48" s="202"/>
      <c r="L48" s="202"/>
      <c r="M48" s="203">
        <v>174.50954400000003</v>
      </c>
      <c r="O48" s="255" t="s">
        <v>242</v>
      </c>
      <c r="P48" s="252"/>
      <c r="Q48" s="252"/>
      <c r="R48" s="256">
        <v>116.16301614850607</v>
      </c>
      <c r="T48" s="263" t="s">
        <v>234</v>
      </c>
      <c r="U48" s="263"/>
      <c r="V48" s="263"/>
      <c r="W48" s="265">
        <v>450.28249999999997</v>
      </c>
      <c r="X48" s="72">
        <f>W48*0.96</f>
        <v>432.27119999999996</v>
      </c>
    </row>
    <row r="49" spans="1:23" ht="15.75" thickBot="1">
      <c r="A49" s="209" t="s">
        <v>220</v>
      </c>
      <c r="B49" s="209"/>
      <c r="C49" s="211">
        <v>8.43</v>
      </c>
      <c r="D49" s="76"/>
      <c r="E49" s="194" t="s">
        <v>207</v>
      </c>
      <c r="F49" s="194"/>
      <c r="G49" s="194"/>
      <c r="H49" s="196">
        <v>10.2507</v>
      </c>
      <c r="J49" s="202" t="s">
        <v>220</v>
      </c>
      <c r="K49" s="202"/>
      <c r="L49" s="202"/>
      <c r="M49" s="204">
        <v>10.353540000000001</v>
      </c>
      <c r="O49" s="255" t="s">
        <v>220</v>
      </c>
      <c r="P49" s="252"/>
      <c r="Q49" s="252"/>
      <c r="R49" s="256">
        <v>4.1238432682804405</v>
      </c>
      <c r="T49" s="263"/>
      <c r="U49" s="263"/>
      <c r="V49" s="263"/>
      <c r="W49" s="273">
        <f>W47+W48</f>
        <v>4080.8324999999995</v>
      </c>
    </row>
    <row r="50" spans="1:23" ht="15.75" thickBot="1">
      <c r="A50" s="212" t="s">
        <v>109</v>
      </c>
      <c r="B50" s="209"/>
      <c r="C50" s="213">
        <f>SUM(C45:C49)</f>
        <v>19525.435335000002</v>
      </c>
      <c r="D50" s="190">
        <f>1.035*C50</f>
        <v>20208.825571724999</v>
      </c>
      <c r="E50" s="194"/>
      <c r="F50" s="194"/>
      <c r="G50" s="194" t="s">
        <v>225</v>
      </c>
      <c r="H50" s="197">
        <f>SUM(H48:H49)</f>
        <v>864.47570000000007</v>
      </c>
      <c r="J50" s="202"/>
      <c r="K50" s="202"/>
      <c r="L50" s="202" t="s">
        <v>225</v>
      </c>
      <c r="M50" s="205">
        <v>1296.1812721999988</v>
      </c>
      <c r="O50" s="255" t="s">
        <v>79</v>
      </c>
      <c r="P50" s="252"/>
      <c r="Q50" s="252"/>
      <c r="R50" s="308">
        <v>2.3520000000000003</v>
      </c>
      <c r="T50" s="261"/>
      <c r="U50" s="262" t="s">
        <v>258</v>
      </c>
      <c r="V50" s="262"/>
      <c r="W50" s="311">
        <f>W44+W49</f>
        <v>86510.525783999998</v>
      </c>
    </row>
    <row r="51" spans="1:23" ht="15.75" thickBot="1">
      <c r="A51" s="208" t="s">
        <v>211</v>
      </c>
      <c r="B51" s="209"/>
      <c r="C51" s="214">
        <v>13111.641807</v>
      </c>
      <c r="E51" s="193" t="s">
        <v>192</v>
      </c>
      <c r="F51" s="194"/>
      <c r="G51" s="194"/>
      <c r="H51" s="194"/>
      <c r="I51" s="22"/>
      <c r="J51" s="201" t="s">
        <v>20</v>
      </c>
      <c r="K51" s="202"/>
      <c r="L51" s="202"/>
      <c r="M51" s="202"/>
      <c r="O51" s="252"/>
      <c r="P51" s="254" t="s">
        <v>257</v>
      </c>
      <c r="Q51" s="255"/>
      <c r="R51" s="309">
        <f>SUM(R45:R50)</f>
        <v>3455.6631296723472</v>
      </c>
      <c r="T51" s="262" t="s">
        <v>231</v>
      </c>
      <c r="U51" s="263"/>
      <c r="V51" s="263"/>
      <c r="W51" s="263"/>
    </row>
    <row r="52" spans="1:23">
      <c r="A52" s="212"/>
      <c r="B52" s="209"/>
      <c r="C52" s="58"/>
      <c r="D52" s="76"/>
      <c r="E52" s="194" t="s">
        <v>219</v>
      </c>
      <c r="F52" s="192"/>
      <c r="G52" s="192"/>
      <c r="H52" s="195">
        <v>10.436085</v>
      </c>
      <c r="I52" s="76"/>
      <c r="J52" s="202" t="s">
        <v>197</v>
      </c>
      <c r="K52" s="202"/>
      <c r="L52" s="202"/>
      <c r="M52" s="203">
        <v>177.04580660000008</v>
      </c>
      <c r="O52" s="252"/>
      <c r="P52" s="252"/>
      <c r="Q52" s="252"/>
      <c r="R52" s="256"/>
      <c r="T52" s="263"/>
      <c r="U52" s="274" t="s">
        <v>52</v>
      </c>
      <c r="V52" s="274" t="s">
        <v>191</v>
      </c>
      <c r="W52" s="274" t="s">
        <v>53</v>
      </c>
    </row>
    <row r="53" spans="1:23">
      <c r="A53" s="208" t="s">
        <v>204</v>
      </c>
      <c r="B53" s="209"/>
      <c r="C53" s="209"/>
      <c r="E53" s="194" t="s">
        <v>215</v>
      </c>
      <c r="F53" s="192"/>
      <c r="G53" s="192"/>
      <c r="H53" s="195">
        <v>188.3657</v>
      </c>
      <c r="I53" s="76"/>
      <c r="J53" s="202" t="s">
        <v>234</v>
      </c>
      <c r="K53" s="202"/>
      <c r="L53" s="202"/>
      <c r="M53" s="203">
        <v>11.120000000000001</v>
      </c>
      <c r="O53" s="254" t="s">
        <v>231</v>
      </c>
      <c r="P53" s="252"/>
      <c r="Q53" s="252"/>
      <c r="R53" s="252"/>
      <c r="T53" s="263" t="s">
        <v>77</v>
      </c>
      <c r="U53" s="264">
        <v>82429.693283999994</v>
      </c>
      <c r="V53" s="275">
        <f>U53/$U$55</f>
        <v>0.95282848574762968</v>
      </c>
      <c r="W53" s="264">
        <f>U53*0.96</f>
        <v>79132.505552639996</v>
      </c>
    </row>
    <row r="54" spans="1:23">
      <c r="A54" s="209" t="s">
        <v>221</v>
      </c>
      <c r="B54" s="209"/>
      <c r="C54" s="210">
        <v>9178.1208403731034</v>
      </c>
      <c r="D54" s="805"/>
      <c r="E54" s="194" t="s">
        <v>218</v>
      </c>
      <c r="F54" s="192"/>
      <c r="G54" s="192"/>
      <c r="H54" s="195">
        <v>52.889249999999997</v>
      </c>
      <c r="I54" s="76"/>
      <c r="J54" s="202" t="s">
        <v>196</v>
      </c>
      <c r="K54" s="202"/>
      <c r="L54" s="202"/>
      <c r="M54" s="203">
        <v>5.1440000000000001</v>
      </c>
      <c r="O54" s="255"/>
      <c r="P54" s="257" t="s">
        <v>52</v>
      </c>
      <c r="Q54" s="257" t="s">
        <v>191</v>
      </c>
      <c r="R54" s="257" t="s">
        <v>53</v>
      </c>
      <c r="T54" s="276" t="s">
        <v>20</v>
      </c>
      <c r="U54" s="265">
        <v>4080.8324999999995</v>
      </c>
      <c r="V54" s="277">
        <f>U54/$U$55</f>
        <v>4.7171514252370247E-2</v>
      </c>
      <c r="W54" s="265">
        <f>U54*0.96</f>
        <v>3917.5991999999992</v>
      </c>
    </row>
    <row r="55" spans="1:23">
      <c r="A55" s="209" t="s">
        <v>222</v>
      </c>
      <c r="B55" s="209"/>
      <c r="C55" s="210">
        <v>1624.07322</v>
      </c>
      <c r="D55" s="805"/>
      <c r="E55" s="194" t="s">
        <v>216</v>
      </c>
      <c r="F55" s="192"/>
      <c r="G55" s="192"/>
      <c r="H55" s="196">
        <v>18.175000000000001</v>
      </c>
      <c r="I55" s="76"/>
      <c r="J55" s="202" t="s">
        <v>202</v>
      </c>
      <c r="K55" s="202"/>
      <c r="L55" s="202"/>
      <c r="M55" s="203">
        <v>11.821965000000001</v>
      </c>
      <c r="O55" s="255" t="s">
        <v>244</v>
      </c>
      <c r="P55" s="256">
        <f>R45</f>
        <v>2262.1327982555608</v>
      </c>
      <c r="Q55" s="258">
        <f>P55/$K$72</f>
        <v>0.44326439499708736</v>
      </c>
      <c r="R55" s="256">
        <f>1.065*P55</f>
        <v>2409.1714301421721</v>
      </c>
      <c r="T55" s="263" t="s">
        <v>56</v>
      </c>
      <c r="U55" s="266">
        <f>U53+U54</f>
        <v>86510.525783999998</v>
      </c>
      <c r="V55" s="278">
        <f>U55/$U$55</f>
        <v>1</v>
      </c>
      <c r="W55" s="266">
        <f>W53+W54</f>
        <v>83050.104752639993</v>
      </c>
    </row>
    <row r="56" spans="1:23">
      <c r="A56" s="209" t="s">
        <v>205</v>
      </c>
      <c r="B56" s="209"/>
      <c r="C56" s="211">
        <v>2174.94</v>
      </c>
      <c r="E56" s="194"/>
      <c r="F56" s="192"/>
      <c r="G56" s="194" t="s">
        <v>225</v>
      </c>
      <c r="H56" s="197">
        <v>269.86603500000001</v>
      </c>
      <c r="I56" s="76"/>
      <c r="J56" s="202" t="s">
        <v>199</v>
      </c>
      <c r="K56" s="202"/>
      <c r="L56" s="202"/>
      <c r="M56" s="204">
        <v>65.294209999999978</v>
      </c>
      <c r="O56" s="255" t="s">
        <v>193</v>
      </c>
      <c r="P56" s="256">
        <f>R46</f>
        <v>918.03420800000015</v>
      </c>
      <c r="Q56" s="258">
        <f>P56/$K$72</f>
        <v>0.17988858925946125</v>
      </c>
      <c r="R56" s="256">
        <f t="shared" ref="R56:R57" si="11">1.065*P56</f>
        <v>977.70643152000014</v>
      </c>
    </row>
    <row r="57" spans="1:23">
      <c r="A57" s="212" t="s">
        <v>109</v>
      </c>
      <c r="B57" s="13"/>
      <c r="C57" s="58">
        <f>SUM(C54:C56)</f>
        <v>12977.134060373104</v>
      </c>
      <c r="E57" s="193" t="s">
        <v>194</v>
      </c>
      <c r="F57" s="192"/>
      <c r="G57" s="192"/>
      <c r="H57" s="194"/>
      <c r="I57" s="191"/>
      <c r="J57" s="202"/>
      <c r="K57" s="202"/>
      <c r="L57" s="202" t="s">
        <v>225</v>
      </c>
      <c r="M57" s="205">
        <v>270.42598160000006</v>
      </c>
      <c r="O57" s="255" t="s">
        <v>96</v>
      </c>
      <c r="P57" s="256">
        <f>SUM(R47:R50)</f>
        <v>275.49612341678653</v>
      </c>
      <c r="Q57" s="258">
        <f>P57/$K$72</f>
        <v>5.3983401224081781E-2</v>
      </c>
      <c r="R57" s="256">
        <f t="shared" si="11"/>
        <v>293.40337143887763</v>
      </c>
    </row>
    <row r="58" spans="1:23">
      <c r="A58" s="208" t="s">
        <v>206</v>
      </c>
      <c r="B58" s="209"/>
      <c r="C58" s="209"/>
      <c r="D58" s="190"/>
      <c r="E58" s="194" t="s">
        <v>79</v>
      </c>
      <c r="F58" s="192"/>
      <c r="G58" s="192"/>
      <c r="H58" s="195">
        <v>82.078299999999999</v>
      </c>
      <c r="I58" s="76"/>
      <c r="J58" s="201" t="s">
        <v>235</v>
      </c>
      <c r="K58" s="202"/>
      <c r="L58" s="202"/>
      <c r="M58" s="202"/>
      <c r="O58" s="255" t="s">
        <v>56</v>
      </c>
      <c r="P58" s="259">
        <f>SUM(P55:P57)</f>
        <v>3455.6631296723472</v>
      </c>
      <c r="Q58" s="260">
        <f>P58/$K$72</f>
        <v>0.67713638548063038</v>
      </c>
      <c r="R58" s="259">
        <f>SUM(R55:R57)</f>
        <v>3680.2812331010496</v>
      </c>
    </row>
    <row r="59" spans="1:23">
      <c r="A59" s="209" t="s">
        <v>207</v>
      </c>
      <c r="B59" s="209"/>
      <c r="C59" s="210">
        <v>1859.7001499999999</v>
      </c>
      <c r="D59" s="76"/>
      <c r="E59" s="194" t="s">
        <v>203</v>
      </c>
      <c r="F59" s="192"/>
      <c r="G59" s="192"/>
      <c r="H59" s="195">
        <v>10.178000000000001</v>
      </c>
      <c r="I59" s="76"/>
      <c r="J59" s="202" t="s">
        <v>219</v>
      </c>
      <c r="K59" s="202"/>
      <c r="L59" s="202"/>
      <c r="M59" s="203">
        <v>68.822105000000022</v>
      </c>
    </row>
    <row r="60" spans="1:23">
      <c r="A60" s="209" t="s">
        <v>208</v>
      </c>
      <c r="B60" s="209"/>
      <c r="C60" s="210">
        <v>1283.4675</v>
      </c>
      <c r="D60" s="76"/>
      <c r="E60" s="194" t="s">
        <v>196</v>
      </c>
      <c r="F60" s="192"/>
      <c r="G60" s="192"/>
      <c r="H60" s="196">
        <v>141.18340000000001</v>
      </c>
      <c r="I60" s="76"/>
      <c r="J60" s="202" t="s">
        <v>215</v>
      </c>
      <c r="K60" s="202"/>
      <c r="L60" s="202"/>
      <c r="M60" s="203">
        <v>1.718</v>
      </c>
      <c r="O60" s="812" t="s">
        <v>243</v>
      </c>
      <c r="P60" s="813"/>
      <c r="Q60" s="813"/>
      <c r="R60" s="814"/>
    </row>
    <row r="61" spans="1:23">
      <c r="A61" s="209" t="s">
        <v>209</v>
      </c>
      <c r="B61" s="209"/>
      <c r="C61" s="210">
        <v>322.33200900000003</v>
      </c>
      <c r="D61" s="76"/>
      <c r="E61" s="194"/>
      <c r="F61" s="194"/>
      <c r="G61" s="194" t="s">
        <v>225</v>
      </c>
      <c r="H61" s="197">
        <f>SUM(H58:H60)</f>
        <v>233.43970000000002</v>
      </c>
      <c r="I61" s="76"/>
      <c r="J61" s="202" t="s">
        <v>218</v>
      </c>
      <c r="K61" s="202"/>
      <c r="L61" s="202"/>
      <c r="M61" s="204">
        <v>0.81600000000000006</v>
      </c>
      <c r="O61" s="64"/>
      <c r="P61" s="64"/>
      <c r="Q61" s="64"/>
      <c r="R61" s="64"/>
    </row>
    <row r="62" spans="1:23">
      <c r="A62" s="209" t="s">
        <v>210</v>
      </c>
      <c r="B62" s="209"/>
      <c r="C62" s="211">
        <v>287.96879999999999</v>
      </c>
      <c r="D62" s="76"/>
      <c r="E62" s="192"/>
      <c r="F62" s="192"/>
      <c r="G62" s="192"/>
      <c r="H62" s="192"/>
      <c r="I62" s="191"/>
      <c r="J62" s="202"/>
      <c r="K62" s="202"/>
      <c r="L62" s="202" t="s">
        <v>225</v>
      </c>
      <c r="M62" s="203">
        <v>71.356105000000028</v>
      </c>
      <c r="O62" s="267" t="s">
        <v>21</v>
      </c>
      <c r="P62" s="268"/>
      <c r="Q62" s="268"/>
      <c r="R62" s="268"/>
    </row>
    <row r="63" spans="1:23" ht="15.75" thickBot="1">
      <c r="A63" s="209"/>
      <c r="B63" s="209"/>
      <c r="C63" s="213">
        <f>SUM(C59:C62)</f>
        <v>3753.4684590000002</v>
      </c>
      <c r="D63" s="76"/>
      <c r="E63" s="193" t="s">
        <v>81</v>
      </c>
      <c r="F63" s="194"/>
      <c r="G63" s="194"/>
      <c r="H63" s="194"/>
      <c r="J63" s="200"/>
      <c r="K63" s="200"/>
      <c r="L63" s="200"/>
      <c r="M63" s="200"/>
      <c r="O63" s="268" t="s">
        <v>254</v>
      </c>
      <c r="P63" s="268"/>
      <c r="Q63" s="269"/>
      <c r="R63" s="269">
        <v>27.200880000000002</v>
      </c>
    </row>
    <row r="64" spans="1:23" ht="15.75" thickBot="1">
      <c r="A64" s="208" t="s">
        <v>166</v>
      </c>
      <c r="B64" s="209"/>
      <c r="C64" s="210"/>
      <c r="D64" s="190"/>
      <c r="E64" s="194" t="s">
        <v>199</v>
      </c>
      <c r="F64" s="192"/>
      <c r="G64" s="192"/>
      <c r="H64" s="197">
        <v>32.351500000000001</v>
      </c>
      <c r="I64" s="76"/>
      <c r="J64" s="202"/>
      <c r="K64" s="201" t="s">
        <v>237</v>
      </c>
      <c r="L64" s="202"/>
      <c r="M64" s="206">
        <f>M44+M50+M57+M62</f>
        <v>5103.3487547999994</v>
      </c>
      <c r="O64" s="268" t="s">
        <v>255</v>
      </c>
      <c r="P64" s="268"/>
      <c r="Q64" s="269"/>
      <c r="R64" s="270">
        <v>5.3272800000000009</v>
      </c>
    </row>
    <row r="65" spans="1:18" ht="15.75" thickBot="1">
      <c r="A65" s="209" t="s">
        <v>199</v>
      </c>
      <c r="B65" s="209"/>
      <c r="C65" s="210">
        <v>1605.915</v>
      </c>
      <c r="D65" s="357">
        <f>C65+C67</f>
        <v>1795.59</v>
      </c>
      <c r="E65" s="192"/>
      <c r="F65" s="192"/>
      <c r="G65" s="192"/>
      <c r="H65" s="192"/>
      <c r="I65" s="191"/>
      <c r="J65" s="202"/>
      <c r="K65" s="200"/>
      <c r="L65" s="202"/>
      <c r="M65" s="218"/>
      <c r="O65" s="268"/>
      <c r="P65" s="268"/>
      <c r="Q65" s="268"/>
      <c r="R65" s="271">
        <f>R63+R64</f>
        <v>32.52816</v>
      </c>
    </row>
    <row r="66" spans="1:18" ht="15.75" thickBot="1">
      <c r="A66" s="209" t="s">
        <v>200</v>
      </c>
      <c r="B66" s="209"/>
      <c r="C66" s="210">
        <v>1390.95</v>
      </c>
      <c r="D66" s="345">
        <f>C66*1.035</f>
        <v>1439.6332499999999</v>
      </c>
      <c r="E66" s="192"/>
      <c r="F66" s="193" t="s">
        <v>228</v>
      </c>
      <c r="G66" s="194"/>
      <c r="H66" s="198">
        <f>H64+H61+H56+H50+H45</f>
        <v>23812.046936937</v>
      </c>
      <c r="J66" s="230" t="s">
        <v>231</v>
      </c>
      <c r="K66" s="231"/>
      <c r="L66" s="231"/>
      <c r="M66" s="231"/>
      <c r="O66" s="267" t="s">
        <v>97</v>
      </c>
      <c r="P66" s="268"/>
      <c r="Q66" s="268"/>
      <c r="R66" s="268"/>
    </row>
    <row r="67" spans="1:18">
      <c r="A67" s="209" t="s">
        <v>201</v>
      </c>
      <c r="B67" s="209"/>
      <c r="C67" s="210">
        <v>189.67500000000001</v>
      </c>
      <c r="D67" s="345">
        <f>1.035*SUM(C65:C67)</f>
        <v>3298.0688999999998</v>
      </c>
      <c r="E67" s="192"/>
      <c r="F67" s="192"/>
      <c r="G67" s="192"/>
      <c r="H67" s="194"/>
      <c r="I67" s="76"/>
      <c r="J67" s="231"/>
      <c r="K67" s="232" t="s">
        <v>52</v>
      </c>
      <c r="L67" s="232" t="s">
        <v>191</v>
      </c>
      <c r="M67" s="232" t="s">
        <v>53</v>
      </c>
      <c r="O67" s="268" t="s">
        <v>242</v>
      </c>
      <c r="P67" s="268"/>
      <c r="Q67" s="268"/>
      <c r="R67" s="268">
        <v>7</v>
      </c>
    </row>
    <row r="68" spans="1:18">
      <c r="A68" s="209" t="s">
        <v>202</v>
      </c>
      <c r="B68" s="209"/>
      <c r="C68" s="210">
        <v>75.87</v>
      </c>
      <c r="D68" s="804">
        <f>C68*1.035</f>
        <v>78.525449999999992</v>
      </c>
      <c r="E68" s="220" t="s">
        <v>231</v>
      </c>
      <c r="F68" s="221"/>
      <c r="G68" s="221"/>
      <c r="H68" s="221"/>
      <c r="I68" s="76"/>
      <c r="J68" s="231" t="s">
        <v>21</v>
      </c>
      <c r="K68" s="233">
        <v>3465.3853960000006</v>
      </c>
      <c r="L68" s="234">
        <f>K68/$K$72</f>
        <v>0.67904146130334553</v>
      </c>
      <c r="M68" s="233">
        <f>1.13*K68</f>
        <v>3915.8854974800001</v>
      </c>
      <c r="O68" s="268" t="s">
        <v>79</v>
      </c>
      <c r="P68" s="268"/>
      <c r="Q68" s="268"/>
      <c r="R68" s="268">
        <v>3</v>
      </c>
    </row>
    <row r="69" spans="1:18">
      <c r="A69" s="209" t="s">
        <v>197</v>
      </c>
      <c r="B69" s="209"/>
      <c r="C69" s="211">
        <v>359.94413999999983</v>
      </c>
      <c r="D69" s="190">
        <f>1.035*SUM(C68:C69)</f>
        <v>451.0676348999998</v>
      </c>
      <c r="E69" s="221"/>
      <c r="F69" s="222" t="s">
        <v>52</v>
      </c>
      <c r="G69" s="222" t="s">
        <v>191</v>
      </c>
      <c r="H69" s="222" t="s">
        <v>53</v>
      </c>
      <c r="I69" s="76"/>
      <c r="J69" s="231" t="s">
        <v>100</v>
      </c>
      <c r="K69" s="233">
        <v>1296.1812721999988</v>
      </c>
      <c r="L69" s="234">
        <f>K69/$K$72</f>
        <v>0.25398641842395431</v>
      </c>
      <c r="M69" s="233">
        <f t="shared" ref="M69:M71" si="12">1.13*K69</f>
        <v>1464.6848375859986</v>
      </c>
      <c r="O69" s="268" t="s">
        <v>256</v>
      </c>
      <c r="P69" s="268"/>
      <c r="Q69" s="269"/>
      <c r="R69" s="270">
        <v>13.747440000000001</v>
      </c>
    </row>
    <row r="70" spans="1:18">
      <c r="A70" s="212" t="s">
        <v>109</v>
      </c>
      <c r="B70" s="209"/>
      <c r="C70" s="213">
        <f>SUM(C65:C69)</f>
        <v>3622.3541399999995</v>
      </c>
      <c r="D70" s="190"/>
      <c r="E70" s="221" t="s">
        <v>94</v>
      </c>
      <c r="F70" s="223">
        <v>22411.914001936999</v>
      </c>
      <c r="G70" s="224">
        <f t="shared" ref="G70:G75" si="13">F70/$F$75</f>
        <v>0.94120064777681389</v>
      </c>
      <c r="H70" s="223">
        <f>1.07*F70</f>
        <v>23980.747982072589</v>
      </c>
      <c r="J70" s="231" t="s">
        <v>20</v>
      </c>
      <c r="K70" s="233">
        <v>270.42598160000006</v>
      </c>
      <c r="L70" s="234">
        <f>K70/$K$72</f>
        <v>5.2989908115852073E-2</v>
      </c>
      <c r="M70" s="233">
        <f t="shared" si="12"/>
        <v>305.58135920800004</v>
      </c>
      <c r="O70" s="268"/>
      <c r="P70" s="268"/>
      <c r="Q70" s="268"/>
      <c r="R70" s="269">
        <f>SUM(R67:R69)</f>
        <v>23.747440000000001</v>
      </c>
    </row>
    <row r="71" spans="1:18">
      <c r="A71" s="208" t="s">
        <v>223</v>
      </c>
      <c r="B71" s="209"/>
      <c r="C71" s="209"/>
      <c r="D71" s="190"/>
      <c r="E71" s="221" t="s">
        <v>188</v>
      </c>
      <c r="F71" s="223">
        <f>H50</f>
        <v>864.47570000000007</v>
      </c>
      <c r="G71" s="224">
        <f t="shared" si="13"/>
        <v>3.6304132202050823E-2</v>
      </c>
      <c r="H71" s="223">
        <f t="shared" ref="H71:H74" si="14">1.07*F71</f>
        <v>924.98899900000015</v>
      </c>
      <c r="J71" s="235" t="s">
        <v>192</v>
      </c>
      <c r="K71" s="236">
        <v>71.356105000000028</v>
      </c>
      <c r="L71" s="237">
        <f>K71/$K$72</f>
        <v>1.3982212156848074E-2</v>
      </c>
      <c r="M71" s="236">
        <f t="shared" si="12"/>
        <v>80.632398650000027</v>
      </c>
      <c r="O71" s="267" t="s">
        <v>20</v>
      </c>
      <c r="P71" s="268"/>
      <c r="Q71" s="268"/>
      <c r="R71" s="268"/>
    </row>
    <row r="72" spans="1:18">
      <c r="A72" s="209" t="s">
        <v>212</v>
      </c>
      <c r="B72" s="209"/>
      <c r="C72" s="210">
        <v>1538.4749999999999</v>
      </c>
      <c r="E72" s="221" t="s">
        <v>192</v>
      </c>
      <c r="F72" s="223">
        <v>269.86603500000001</v>
      </c>
      <c r="G72" s="224">
        <f t="shared" si="13"/>
        <v>1.1333172478397338E-2</v>
      </c>
      <c r="H72" s="223">
        <f t="shared" si="14"/>
        <v>288.75665745000003</v>
      </c>
      <c r="J72" s="231" t="s">
        <v>56</v>
      </c>
      <c r="K72" s="238">
        <f>SUM(K68:K71)</f>
        <v>5103.3487547999994</v>
      </c>
      <c r="L72" s="239">
        <f>K72/$K$72</f>
        <v>1</v>
      </c>
      <c r="M72" s="238">
        <f>SUM(M68:M71)</f>
        <v>5766.7840929239992</v>
      </c>
      <c r="O72" s="268" t="s">
        <v>199</v>
      </c>
      <c r="P72" s="268"/>
      <c r="Q72" s="269"/>
      <c r="R72" s="270">
        <v>4.5472000000000001</v>
      </c>
    </row>
    <row r="73" spans="1:18">
      <c r="A73" s="209" t="s">
        <v>213</v>
      </c>
      <c r="B73" s="209"/>
      <c r="C73" s="211">
        <v>109.1</v>
      </c>
      <c r="E73" s="221" t="s">
        <v>194</v>
      </c>
      <c r="F73" s="223">
        <v>233.43970000000002</v>
      </c>
      <c r="G73" s="224">
        <f t="shared" si="13"/>
        <v>9.803428517432107E-3</v>
      </c>
      <c r="H73" s="223">
        <f t="shared" si="14"/>
        <v>249.78047900000004</v>
      </c>
      <c r="O73" s="268"/>
      <c r="P73" s="268"/>
      <c r="Q73" s="268"/>
      <c r="R73" s="272">
        <f>R65+R70+R72</f>
        <v>60.822800000000001</v>
      </c>
    </row>
    <row r="74" spans="1:18">
      <c r="A74" s="212" t="s">
        <v>109</v>
      </c>
      <c r="B74" s="209"/>
      <c r="C74" s="213">
        <f>C72+C73</f>
        <v>1647.5749999999998</v>
      </c>
      <c r="D74" s="190">
        <f>1.035*C74</f>
        <v>1705.2401249999996</v>
      </c>
      <c r="E74" s="225" t="s">
        <v>81</v>
      </c>
      <c r="F74" s="226">
        <v>32.351500000000001</v>
      </c>
      <c r="G74" s="227">
        <f t="shared" si="13"/>
        <v>1.3586190253059133E-3</v>
      </c>
      <c r="H74" s="226">
        <f t="shared" si="14"/>
        <v>34.616105000000005</v>
      </c>
      <c r="J74" s="811" t="s">
        <v>247</v>
      </c>
      <c r="K74" s="811"/>
      <c r="L74" s="811"/>
      <c r="M74" s="811"/>
    </row>
    <row r="75" spans="1:18">
      <c r="A75" s="208" t="s">
        <v>98</v>
      </c>
      <c r="B75" s="209"/>
      <c r="C75" s="209"/>
      <c r="D75" s="190"/>
      <c r="E75" s="221" t="s">
        <v>56</v>
      </c>
      <c r="F75" s="228">
        <f>SUM(F70:F74)</f>
        <v>23812.046936936997</v>
      </c>
      <c r="G75" s="229">
        <f t="shared" si="13"/>
        <v>1</v>
      </c>
      <c r="H75" s="228">
        <f>SUM(H70:H74)</f>
        <v>25478.890222522594</v>
      </c>
      <c r="J75" s="89"/>
      <c r="K75" s="89"/>
      <c r="L75" s="89"/>
      <c r="M75" s="89"/>
    </row>
    <row r="76" spans="1:18">
      <c r="A76" s="209" t="s">
        <v>214</v>
      </c>
      <c r="B76" s="209"/>
      <c r="C76" s="210">
        <v>231.82499999999999</v>
      </c>
      <c r="D76" s="76"/>
      <c r="J76" s="279" t="s">
        <v>176</v>
      </c>
      <c r="K76" s="280"/>
      <c r="L76" s="284">
        <v>0.75</v>
      </c>
      <c r="M76" s="89"/>
    </row>
    <row r="77" spans="1:18">
      <c r="A77" s="209" t="s">
        <v>215</v>
      </c>
      <c r="B77" s="209"/>
      <c r="C77" s="210">
        <v>164.6379</v>
      </c>
      <c r="D77" s="76"/>
      <c r="E77" s="300" t="s">
        <v>251</v>
      </c>
      <c r="F77" s="301"/>
      <c r="G77" s="302"/>
      <c r="H77" s="303"/>
      <c r="J77" s="279" t="s">
        <v>79</v>
      </c>
      <c r="K77" s="280"/>
      <c r="L77" s="284">
        <v>0.2</v>
      </c>
      <c r="M77" s="89"/>
    </row>
    <row r="78" spans="1:18">
      <c r="A78" s="209" t="s">
        <v>216</v>
      </c>
      <c r="B78" s="209"/>
      <c r="C78" s="210">
        <v>164.38499999999999</v>
      </c>
      <c r="D78" s="76"/>
      <c r="E78" s="304" t="s">
        <v>252</v>
      </c>
      <c r="F78" s="305"/>
      <c r="G78" s="306"/>
      <c r="H78" s="307"/>
      <c r="J78" s="283" t="s">
        <v>80</v>
      </c>
      <c r="K78" s="282"/>
      <c r="L78" s="285">
        <v>0.05</v>
      </c>
      <c r="M78" s="89"/>
    </row>
    <row r="79" spans="1:18">
      <c r="A79" s="209" t="s">
        <v>217</v>
      </c>
      <c r="B79" s="209"/>
      <c r="C79" s="210">
        <v>194.80887000000001</v>
      </c>
      <c r="D79" s="76"/>
      <c r="E79" s="76"/>
      <c r="F79" s="76"/>
      <c r="J79" s="280" t="s">
        <v>56</v>
      </c>
      <c r="K79" s="280"/>
      <c r="L79" s="281">
        <f>SUM(L76:L78)</f>
        <v>1</v>
      </c>
      <c r="M79" s="89"/>
    </row>
    <row r="80" spans="1:18">
      <c r="A80" s="209" t="s">
        <v>218</v>
      </c>
      <c r="B80" s="209"/>
      <c r="C80" s="210">
        <v>360.80399999999997</v>
      </c>
      <c r="D80" s="76"/>
      <c r="F80" s="76"/>
    </row>
    <row r="81" spans="1:6">
      <c r="A81" s="209" t="s">
        <v>219</v>
      </c>
      <c r="B81" s="209"/>
      <c r="C81" s="211">
        <v>89.830922999999999</v>
      </c>
      <c r="D81" s="76"/>
      <c r="F81" s="76"/>
    </row>
    <row r="82" spans="1:6">
      <c r="A82" s="212" t="s">
        <v>109</v>
      </c>
      <c r="B82" s="13"/>
      <c r="C82" s="58">
        <f>SUM(C76:C81)</f>
        <v>1206.2916930000001</v>
      </c>
      <c r="E82" s="76"/>
      <c r="F82" s="76"/>
    </row>
    <row r="83" spans="1:6" ht="15.75" thickBot="1">
      <c r="A83" s="209"/>
      <c r="B83" s="209"/>
      <c r="C83" s="209"/>
      <c r="D83" s="190"/>
      <c r="E83" s="76"/>
      <c r="F83" s="76"/>
    </row>
    <row r="84" spans="1:6" ht="15.75" thickBot="1">
      <c r="A84" s="215" t="s">
        <v>224</v>
      </c>
      <c r="B84" s="209"/>
      <c r="C84" s="216">
        <f>C82+C74+C70+C63+C57+C51+C50</f>
        <v>55843.900494373105</v>
      </c>
      <c r="D84" s="190"/>
      <c r="F84" s="76"/>
    </row>
    <row r="85" spans="1:6">
      <c r="A85" s="13"/>
      <c r="B85" s="13"/>
      <c r="C85" s="13"/>
      <c r="F85" s="76"/>
    </row>
    <row r="86" spans="1:6">
      <c r="A86" s="240" t="s">
        <v>231</v>
      </c>
      <c r="B86" s="241" t="s">
        <v>52</v>
      </c>
      <c r="C86" s="241" t="s">
        <v>191</v>
      </c>
      <c r="D86" s="241" t="s">
        <v>53</v>
      </c>
      <c r="F86" s="76"/>
    </row>
    <row r="87" spans="1:6">
      <c r="A87" s="242" t="s">
        <v>186</v>
      </c>
      <c r="B87" s="243">
        <v>19525.435335000002</v>
      </c>
      <c r="C87" s="244">
        <f t="shared" ref="C87:C94" si="15">B87/$B$94</f>
        <v>0.35239730336094505</v>
      </c>
      <c r="D87" s="243">
        <f>B87*1.035</f>
        <v>20208.825571724999</v>
      </c>
      <c r="F87" s="76"/>
    </row>
    <row r="88" spans="1:6">
      <c r="A88" s="242" t="s">
        <v>190</v>
      </c>
      <c r="B88" s="243">
        <v>13111.641807</v>
      </c>
      <c r="C88" s="244">
        <f t="shared" si="15"/>
        <v>0.23664041984964163</v>
      </c>
      <c r="D88" s="243">
        <f t="shared" ref="D88:D93" si="16">B88*1.035</f>
        <v>13570.549270244999</v>
      </c>
      <c r="F88" s="76"/>
    </row>
    <row r="89" spans="1:6">
      <c r="A89" s="242" t="s">
        <v>187</v>
      </c>
      <c r="B89" s="243">
        <v>12540.681775105502</v>
      </c>
      <c r="C89" s="244">
        <f t="shared" si="15"/>
        <v>0.22633566750407758</v>
      </c>
      <c r="D89" s="243">
        <f t="shared" si="16"/>
        <v>12979.605637234194</v>
      </c>
      <c r="F89" s="76"/>
    </row>
    <row r="90" spans="1:6">
      <c r="A90" s="242" t="s">
        <v>188</v>
      </c>
      <c r="B90" s="243">
        <v>3753.4684590000002</v>
      </c>
      <c r="C90" s="244">
        <f t="shared" si="15"/>
        <v>6.7743030591023781E-2</v>
      </c>
      <c r="D90" s="243">
        <f t="shared" si="16"/>
        <v>3884.8398550649999</v>
      </c>
      <c r="F90" s="76"/>
    </row>
    <row r="91" spans="1:6">
      <c r="A91" s="242" t="s">
        <v>20</v>
      </c>
      <c r="B91" s="243">
        <v>3622.3541399999995</v>
      </c>
      <c r="C91" s="244">
        <f t="shared" si="15"/>
        <v>6.5376664276784222E-2</v>
      </c>
      <c r="D91" s="243">
        <f t="shared" si="16"/>
        <v>3749.1365348999993</v>
      </c>
      <c r="F91" s="76"/>
    </row>
    <row r="92" spans="1:6">
      <c r="A92" s="242" t="s">
        <v>189</v>
      </c>
      <c r="B92" s="243">
        <f>C74</f>
        <v>1647.5749999999998</v>
      </c>
      <c r="C92" s="244">
        <f t="shared" si="15"/>
        <v>2.9735623156333015E-2</v>
      </c>
      <c r="D92" s="243">
        <f t="shared" si="16"/>
        <v>1705.2401249999996</v>
      </c>
      <c r="F92" s="76"/>
    </row>
    <row r="93" spans="1:6" ht="15.75" thickBot="1">
      <c r="A93" s="245" t="s">
        <v>97</v>
      </c>
      <c r="B93" s="246">
        <v>1206.2916930000001</v>
      </c>
      <c r="C93" s="247">
        <f t="shared" si="15"/>
        <v>2.1771291261194765E-2</v>
      </c>
      <c r="D93" s="248">
        <f t="shared" si="16"/>
        <v>1248.511902255</v>
      </c>
      <c r="F93" s="76"/>
    </row>
    <row r="94" spans="1:6" ht="15.75" thickBot="1">
      <c r="A94" s="249" t="s">
        <v>56</v>
      </c>
      <c r="B94" s="250">
        <f>SUM(B87:B93)</f>
        <v>55407.448209105503</v>
      </c>
      <c r="C94" s="244">
        <f t="shared" si="15"/>
        <v>1</v>
      </c>
      <c r="D94" s="251">
        <f>SUM(D87:D93)</f>
        <v>57346.708896424185</v>
      </c>
      <c r="F94" s="76"/>
    </row>
    <row r="96" spans="1:6">
      <c r="A96" s="286" t="s">
        <v>248</v>
      </c>
      <c r="B96" s="287"/>
    </row>
    <row r="97" spans="1:2">
      <c r="A97" s="288" t="s">
        <v>249</v>
      </c>
      <c r="B97" s="289">
        <v>0.35</v>
      </c>
    </row>
    <row r="98" spans="1:2">
      <c r="A98" s="288" t="s">
        <v>19</v>
      </c>
      <c r="B98" s="289">
        <v>0.31</v>
      </c>
    </row>
    <row r="99" spans="1:2">
      <c r="A99" s="293" t="s">
        <v>250</v>
      </c>
      <c r="B99" s="290"/>
    </row>
    <row r="100" spans="1:2">
      <c r="A100" s="291" t="s">
        <v>56</v>
      </c>
      <c r="B100" s="292">
        <f>SUM(B97:B99)</f>
        <v>0.65999999999999992</v>
      </c>
    </row>
    <row r="134" spans="3:3">
      <c r="C134" s="11"/>
    </row>
  </sheetData>
  <mergeCells count="7">
    <mergeCell ref="J74:M74"/>
    <mergeCell ref="O60:R60"/>
    <mergeCell ref="T42:W42"/>
    <mergeCell ref="A42:C42"/>
    <mergeCell ref="E42:H42"/>
    <mergeCell ref="J42:M42"/>
    <mergeCell ref="O42:R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08"/>
  <sheetViews>
    <sheetView topLeftCell="B55" zoomScaleNormal="100" workbookViewId="0">
      <selection activeCell="Q63" sqref="Q63"/>
    </sheetView>
  </sheetViews>
  <sheetFormatPr defaultRowHeight="15"/>
  <cols>
    <col min="1" max="1" width="23.7109375" customWidth="1"/>
    <col min="2" max="2" width="9.85546875" customWidth="1"/>
    <col min="3" max="3" width="13" customWidth="1"/>
    <col min="4" max="4" width="13.28515625" customWidth="1"/>
    <col min="5" max="5" width="9.7109375" customWidth="1"/>
    <col min="6" max="6" width="12.7109375" customWidth="1"/>
    <col min="7" max="7" width="7.140625" customWidth="1"/>
    <col min="8" max="8" width="9.140625" customWidth="1"/>
    <col min="9" max="9" width="10.85546875" customWidth="1"/>
    <col min="10" max="10" width="8.42578125" customWidth="1"/>
    <col min="11" max="11" width="9.7109375" customWidth="1"/>
    <col min="12" max="12" width="13.5703125" customWidth="1"/>
    <col min="13" max="13" width="6.28515625" customWidth="1"/>
    <col min="14" max="14" width="9.7109375" customWidth="1"/>
    <col min="15" max="15" width="13.5703125" customWidth="1"/>
    <col min="16" max="16" width="8.28515625" customWidth="1"/>
    <col min="17" max="17" width="9" customWidth="1"/>
    <col min="18" max="18" width="12.42578125" customWidth="1"/>
    <col min="19" max="19" width="11.42578125" customWidth="1"/>
    <col min="21" max="21" width="11.28515625" customWidth="1"/>
  </cols>
  <sheetData>
    <row r="1" spans="1:28" ht="18">
      <c r="F1" s="839" t="s">
        <v>264</v>
      </c>
      <c r="G1" s="839"/>
      <c r="H1" s="839" t="s">
        <v>270</v>
      </c>
      <c r="I1" s="839"/>
      <c r="J1" s="839"/>
      <c r="K1" s="839"/>
      <c r="L1" s="839"/>
    </row>
    <row r="2" spans="1:28" ht="15.75">
      <c r="A2" s="66" t="s">
        <v>271</v>
      </c>
      <c r="D2" s="790">
        <f>F6+F9</f>
        <v>532750</v>
      </c>
      <c r="F2" s="783"/>
      <c r="I2" s="784"/>
      <c r="O2" s="10"/>
    </row>
    <row r="3" spans="1:28">
      <c r="A3" s="75" t="s">
        <v>89</v>
      </c>
      <c r="F3" s="11"/>
      <c r="T3" s="370" t="s">
        <v>69</v>
      </c>
      <c r="U3" s="370" t="s">
        <v>336</v>
      </c>
    </row>
    <row r="4" spans="1:28" s="76" customFormat="1" ht="12.75">
      <c r="A4" s="86" t="s">
        <v>72</v>
      </c>
      <c r="B4" s="86" t="s">
        <v>69</v>
      </c>
      <c r="C4" s="845" t="s">
        <v>55</v>
      </c>
      <c r="D4" s="846"/>
      <c r="E4" s="847"/>
      <c r="F4" s="848" t="s">
        <v>277</v>
      </c>
      <c r="G4" s="849"/>
      <c r="H4" s="850"/>
      <c r="I4" s="844" t="s">
        <v>70</v>
      </c>
      <c r="J4" s="844"/>
      <c r="K4" s="844"/>
      <c r="L4" s="833" t="s">
        <v>59</v>
      </c>
      <c r="M4" s="834"/>
      <c r="N4" s="835"/>
      <c r="O4" s="830" t="s">
        <v>60</v>
      </c>
      <c r="P4" s="831"/>
      <c r="Q4" s="832"/>
      <c r="S4" s="369"/>
      <c r="T4" s="370" t="s">
        <v>265</v>
      </c>
      <c r="U4" s="370" t="s">
        <v>337</v>
      </c>
      <c r="V4" s="370" t="s">
        <v>268</v>
      </c>
    </row>
    <row r="5" spans="1:28" s="76" customFormat="1" ht="12.75">
      <c r="A5" s="336"/>
      <c r="B5" s="373"/>
      <c r="C5" s="464" t="s">
        <v>272</v>
      </c>
      <c r="D5" s="465" t="s">
        <v>52</v>
      </c>
      <c r="E5" s="466" t="s">
        <v>53</v>
      </c>
      <c r="F5" s="505" t="s">
        <v>62</v>
      </c>
      <c r="G5" s="506" t="s">
        <v>64</v>
      </c>
      <c r="H5" s="507" t="s">
        <v>53</v>
      </c>
      <c r="I5" s="542" t="s">
        <v>66</v>
      </c>
      <c r="J5" s="542" t="s">
        <v>67</v>
      </c>
      <c r="K5" s="542" t="s">
        <v>71</v>
      </c>
      <c r="L5" s="569" t="s">
        <v>62</v>
      </c>
      <c r="M5" s="570" t="s">
        <v>64</v>
      </c>
      <c r="N5" s="571" t="s">
        <v>53</v>
      </c>
      <c r="O5" s="608" t="s">
        <v>62</v>
      </c>
      <c r="P5" s="609" t="s">
        <v>64</v>
      </c>
      <c r="Q5" s="610" t="s">
        <v>53</v>
      </c>
      <c r="S5" s="362"/>
      <c r="T5" s="371" t="s">
        <v>267</v>
      </c>
      <c r="U5" s="371" t="s">
        <v>266</v>
      </c>
      <c r="V5" s="371" t="s">
        <v>269</v>
      </c>
      <c r="X5" s="628" t="s">
        <v>333</v>
      </c>
      <c r="Y5" s="629"/>
      <c r="AA5" s="628" t="s">
        <v>333</v>
      </c>
      <c r="AB5" s="629"/>
    </row>
    <row r="6" spans="1:28" s="76" customFormat="1" ht="12.75">
      <c r="A6" s="338" t="s">
        <v>324</v>
      </c>
      <c r="B6" s="337" t="s">
        <v>57</v>
      </c>
      <c r="C6" s="467">
        <v>123318</v>
      </c>
      <c r="D6" s="468">
        <f>C6*$Y$6/1000</f>
        <v>103.95707399999999</v>
      </c>
      <c r="E6" s="469">
        <f>D6*$U$6</f>
        <v>107.59557158999998</v>
      </c>
      <c r="F6" s="508">
        <v>384734</v>
      </c>
      <c r="G6" s="509">
        <f>F6/1000000</f>
        <v>0.38473400000000002</v>
      </c>
      <c r="H6" s="510">
        <f>G6*$U$8</f>
        <v>33.087124000000003</v>
      </c>
      <c r="I6" s="543">
        <f t="shared" ref="I6:I7" si="0">C6/F6</f>
        <v>0.32052794918047273</v>
      </c>
      <c r="J6" s="544">
        <f t="shared" ref="J6:J7" si="1">F6/C6</f>
        <v>3.1198527384485639</v>
      </c>
      <c r="K6" s="545">
        <f>H6/E6</f>
        <v>0.30751380852439419</v>
      </c>
      <c r="L6" s="578"/>
      <c r="M6" s="579"/>
      <c r="N6" s="580"/>
      <c r="O6" s="611"/>
      <c r="P6" s="612"/>
      <c r="Q6" s="613"/>
      <c r="S6" s="371" t="s">
        <v>57</v>
      </c>
      <c r="T6" s="348">
        <v>0.83809999999999996</v>
      </c>
      <c r="U6" s="348">
        <v>1.0349999999999999</v>
      </c>
      <c r="V6" s="348"/>
      <c r="X6" s="630" t="s">
        <v>57</v>
      </c>
      <c r="Y6" s="631">
        <v>0.84299999999999997</v>
      </c>
      <c r="AA6" s="630" t="s">
        <v>57</v>
      </c>
      <c r="AB6" s="632">
        <v>0.82979999999999998</v>
      </c>
    </row>
    <row r="7" spans="1:28" s="76" customFormat="1" ht="12.75">
      <c r="B7" s="339" t="s">
        <v>58</v>
      </c>
      <c r="C7" s="470">
        <v>6804197</v>
      </c>
      <c r="D7" s="471">
        <f>C7*$Y$7/1000</f>
        <v>6416.357771</v>
      </c>
      <c r="E7" s="472">
        <f>D7*$U$7</f>
        <v>6159.7034601599998</v>
      </c>
      <c r="F7" s="511">
        <v>28256132</v>
      </c>
      <c r="G7" s="512">
        <f t="shared" ref="G7:G12" si="2">F7/1000000</f>
        <v>28.256132000000001</v>
      </c>
      <c r="H7" s="513">
        <f>G7*$U$8</f>
        <v>2430.0273520000001</v>
      </c>
      <c r="I7" s="567">
        <f t="shared" si="0"/>
        <v>0.24080426153162082</v>
      </c>
      <c r="J7" s="547">
        <f t="shared" si="1"/>
        <v>4.1527504274200178</v>
      </c>
      <c r="K7" s="568">
        <f>H7/E7</f>
        <v>0.39450395099651103</v>
      </c>
      <c r="L7" s="575"/>
      <c r="M7" s="576"/>
      <c r="N7" s="577"/>
      <c r="O7" s="614"/>
      <c r="P7" s="615"/>
      <c r="Q7" s="616"/>
      <c r="S7" s="371" t="s">
        <v>58</v>
      </c>
      <c r="T7" s="348">
        <v>0.93600000000000005</v>
      </c>
      <c r="U7" s="348">
        <v>0.96</v>
      </c>
      <c r="V7" s="348"/>
      <c r="X7" s="630" t="s">
        <v>58</v>
      </c>
      <c r="Y7" s="631">
        <v>0.94299999999999995</v>
      </c>
      <c r="AA7" s="630" t="s">
        <v>58</v>
      </c>
      <c r="AB7" s="631">
        <v>0.93600000000000005</v>
      </c>
    </row>
    <row r="8" spans="1:28" s="76" customFormat="1">
      <c r="A8" s="336"/>
      <c r="B8" s="337" t="s">
        <v>56</v>
      </c>
      <c r="C8" s="473"/>
      <c r="D8" s="474"/>
      <c r="E8" s="475">
        <f>SUM(E6:E7)</f>
        <v>6267.2990317499998</v>
      </c>
      <c r="F8" s="514">
        <f t="shared" ref="F8:H8" si="3">SUM(F6:F7)</f>
        <v>28640866</v>
      </c>
      <c r="G8" s="515">
        <f t="shared" si="3"/>
        <v>28.640866000000003</v>
      </c>
      <c r="H8" s="516">
        <f t="shared" si="3"/>
        <v>2463.1144760000002</v>
      </c>
      <c r="I8" s="296"/>
      <c r="J8" s="296"/>
      <c r="K8" s="545">
        <f>H8/E8</f>
        <v>0.39301052391499369</v>
      </c>
      <c r="L8" s="578">
        <v>2129529</v>
      </c>
      <c r="M8" s="579">
        <f>L8/1000000</f>
        <v>2.1295289999999998</v>
      </c>
      <c r="N8" s="580">
        <f>M8*86</f>
        <v>183.13949399999998</v>
      </c>
      <c r="O8" s="617">
        <f>F8-L8</f>
        <v>26511337</v>
      </c>
      <c r="P8" s="618">
        <f>O8/1000000</f>
        <v>26.511337000000001</v>
      </c>
      <c r="Q8" s="499">
        <f>P8*86</f>
        <v>2279.9749820000002</v>
      </c>
      <c r="S8" s="371" t="s">
        <v>78</v>
      </c>
      <c r="T8" s="348"/>
      <c r="U8" s="348">
        <v>86</v>
      </c>
      <c r="V8" s="372"/>
      <c r="X8" s="76" t="s">
        <v>334</v>
      </c>
      <c r="AA8" s="76" t="s">
        <v>335</v>
      </c>
      <c r="AB8"/>
    </row>
    <row r="9" spans="1:28" s="76" customFormat="1" ht="12.75">
      <c r="A9" s="338" t="s">
        <v>323</v>
      </c>
      <c r="B9" s="337" t="s">
        <v>57</v>
      </c>
      <c r="C9" s="467">
        <v>162997</v>
      </c>
      <c r="D9" s="476">
        <f>C9*$Y$6/1000</f>
        <v>137.40647099999998</v>
      </c>
      <c r="E9" s="477">
        <f>D9*$U$6</f>
        <v>142.21569748499996</v>
      </c>
      <c r="F9" s="517">
        <v>148016</v>
      </c>
      <c r="G9" s="518">
        <f t="shared" si="2"/>
        <v>0.14801600000000001</v>
      </c>
      <c r="H9" s="519">
        <f>G9*$U$8</f>
        <v>12.729376</v>
      </c>
      <c r="I9" s="543">
        <f t="shared" ref="I9:I10" si="4">C9/F9</f>
        <v>1.1012120311317695</v>
      </c>
      <c r="J9" s="544">
        <f t="shared" ref="J9:J10" si="5">F9/C9</f>
        <v>0.90809033295091324</v>
      </c>
      <c r="K9" s="545">
        <f t="shared" ref="K9:K13" si="6">H9/E9</f>
        <v>8.9507531342259999E-2</v>
      </c>
      <c r="L9" s="572"/>
      <c r="M9" s="573"/>
      <c r="N9" s="574"/>
      <c r="O9" s="611"/>
      <c r="P9" s="612"/>
      <c r="Q9" s="613"/>
    </row>
    <row r="10" spans="1:28" s="76" customFormat="1" ht="12.75">
      <c r="B10" s="339" t="s">
        <v>58</v>
      </c>
      <c r="C10" s="478">
        <v>88191028</v>
      </c>
      <c r="D10" s="479">
        <f>C10*$Y$7/1000</f>
        <v>83164.139404000001</v>
      </c>
      <c r="E10" s="480">
        <f>D10*$U$7</f>
        <v>79837.573827839995</v>
      </c>
      <c r="F10" s="511">
        <v>355959820</v>
      </c>
      <c r="G10" s="520">
        <f t="shared" si="2"/>
        <v>355.95981999999998</v>
      </c>
      <c r="H10" s="521">
        <f>G10*$U$8</f>
        <v>30612.544519999999</v>
      </c>
      <c r="I10" s="546">
        <f t="shared" si="4"/>
        <v>0.24775556971570556</v>
      </c>
      <c r="J10" s="547">
        <f t="shared" si="5"/>
        <v>4.0362362030749885</v>
      </c>
      <c r="K10" s="548">
        <f t="shared" si="6"/>
        <v>0.38343530561201949</v>
      </c>
      <c r="L10" s="575"/>
      <c r="M10" s="576"/>
      <c r="N10" s="577"/>
      <c r="O10" s="614"/>
      <c r="P10" s="615"/>
      <c r="Q10" s="616"/>
      <c r="T10" s="76" t="s">
        <v>338</v>
      </c>
      <c r="V10" s="341"/>
    </row>
    <row r="11" spans="1:28" s="76" customFormat="1" ht="12.75">
      <c r="A11" s="337"/>
      <c r="B11" s="337" t="s">
        <v>56</v>
      </c>
      <c r="C11" s="473"/>
      <c r="D11" s="476"/>
      <c r="E11" s="481">
        <f>SUM(E9:E10)</f>
        <v>79979.789525324988</v>
      </c>
      <c r="F11" s="514">
        <f t="shared" ref="F11:H11" si="7">SUM(F9:F10)</f>
        <v>356107836</v>
      </c>
      <c r="G11" s="522">
        <f t="shared" si="7"/>
        <v>356.10783599999996</v>
      </c>
      <c r="H11" s="523">
        <f t="shared" si="7"/>
        <v>30625.273895999999</v>
      </c>
      <c r="I11" s="543"/>
      <c r="J11" s="296"/>
      <c r="K11" s="545">
        <f t="shared" si="6"/>
        <v>0.38291265928253965</v>
      </c>
      <c r="L11" s="578">
        <v>9494663</v>
      </c>
      <c r="M11" s="581">
        <f>L11/1000000</f>
        <v>9.4946629999999992</v>
      </c>
      <c r="N11" s="582">
        <f>M11*86</f>
        <v>816.54101799999989</v>
      </c>
      <c r="O11" s="617">
        <f>F11-L11</f>
        <v>346613173</v>
      </c>
      <c r="P11" s="619">
        <f>O11/1000000</f>
        <v>346.61317300000002</v>
      </c>
      <c r="Q11" s="500">
        <f>P11*86</f>
        <v>29808.732878000003</v>
      </c>
      <c r="U11" s="76" t="s">
        <v>417</v>
      </c>
      <c r="V11" s="76" t="s">
        <v>418</v>
      </c>
    </row>
    <row r="12" spans="1:28" s="76" customFormat="1" ht="12.75">
      <c r="A12" s="338" t="s">
        <v>322</v>
      </c>
      <c r="B12" s="337" t="s">
        <v>57</v>
      </c>
      <c r="C12" s="482">
        <v>14684368</v>
      </c>
      <c r="D12" s="476">
        <f>C12*$Y$6/1000</f>
        <v>12378.922224</v>
      </c>
      <c r="E12" s="477">
        <f>D12*$U$6</f>
        <v>12812.184501839998</v>
      </c>
      <c r="F12" s="308">
        <v>53075748</v>
      </c>
      <c r="G12" s="518">
        <f t="shared" si="2"/>
        <v>53.075747999999997</v>
      </c>
      <c r="H12" s="519">
        <f>G12*$U$8</f>
        <v>4564.5143280000002</v>
      </c>
      <c r="I12" s="543">
        <f>C12/F12</f>
        <v>0.27666813098894055</v>
      </c>
      <c r="J12" s="544">
        <f>F12/C12</f>
        <v>3.6144387010731411</v>
      </c>
      <c r="K12" s="545">
        <f t="shared" si="6"/>
        <v>0.35626354954102291</v>
      </c>
      <c r="L12" s="578">
        <v>1280308</v>
      </c>
      <c r="M12" s="581">
        <f>L12/1000000</f>
        <v>1.280308</v>
      </c>
      <c r="N12" s="582">
        <f>M12*86</f>
        <v>110.106488</v>
      </c>
      <c r="O12" s="617">
        <f>F12-L12</f>
        <v>51795440</v>
      </c>
      <c r="P12" s="619">
        <f>O12/1000000</f>
        <v>51.795439999999999</v>
      </c>
      <c r="Q12" s="500">
        <f>P12*86</f>
        <v>4454.4078399999999</v>
      </c>
      <c r="R12" s="357">
        <f>G7+G10</f>
        <v>384.21595199999996</v>
      </c>
      <c r="S12" s="76" t="s">
        <v>414</v>
      </c>
      <c r="U12" s="357">
        <f>$M$14*R12/$R$14</f>
        <v>11.309881175896486</v>
      </c>
      <c r="V12" s="357">
        <f>R12-U12</f>
        <v>372.90607082410349</v>
      </c>
      <c r="X12" s="76">
        <v>51915917</v>
      </c>
    </row>
    <row r="13" spans="1:28" s="76" customFormat="1" ht="13.5" thickBot="1">
      <c r="A13" s="785" t="s">
        <v>409</v>
      </c>
      <c r="B13" s="337" t="s">
        <v>57</v>
      </c>
      <c r="C13" s="482">
        <v>154749</v>
      </c>
      <c r="D13" s="476">
        <f>C13*$Y$6/1000</f>
        <v>130.453407</v>
      </c>
      <c r="E13" s="477">
        <f>D13*$U$6</f>
        <v>135.01927624499999</v>
      </c>
      <c r="F13" s="786">
        <v>563423</v>
      </c>
      <c r="G13" s="787">
        <f t="shared" ref="G13" si="8">F13/1000000</f>
        <v>0.56342300000000001</v>
      </c>
      <c r="H13" s="788">
        <f>G13*$U$8</f>
        <v>48.454377999999998</v>
      </c>
      <c r="I13" s="543">
        <f>C13/F13</f>
        <v>0.27465864900793896</v>
      </c>
      <c r="J13" s="544">
        <f>F13/C13</f>
        <v>3.6408829782421859</v>
      </c>
      <c r="K13" s="545">
        <f t="shared" si="6"/>
        <v>0.35887007653690006</v>
      </c>
      <c r="L13" s="578"/>
      <c r="M13" s="581"/>
      <c r="N13" s="582"/>
      <c r="O13" s="617">
        <f>F13-L13</f>
        <v>563423</v>
      </c>
      <c r="P13" s="619">
        <f>O13/1000000</f>
        <v>0.56342300000000001</v>
      </c>
      <c r="Q13" s="500">
        <f>P13*86</f>
        <v>48.454377999999998</v>
      </c>
      <c r="R13" s="797">
        <f>G6+G9+G12+G13</f>
        <v>54.171920999999998</v>
      </c>
      <c r="S13" s="76" t="s">
        <v>415</v>
      </c>
      <c r="U13" s="798">
        <f>$M$14*R13/$R$14</f>
        <v>1.5946188241035126</v>
      </c>
      <c r="V13" s="798">
        <f>R13-U13</f>
        <v>52.577302175896484</v>
      </c>
    </row>
    <row r="14" spans="1:28" s="76" customFormat="1" ht="12.75">
      <c r="A14" s="374" t="s">
        <v>56</v>
      </c>
      <c r="B14" s="340"/>
      <c r="C14" s="483"/>
      <c r="D14" s="484"/>
      <c r="E14" s="485">
        <f>E8+E11+E12+E13</f>
        <v>99194.292335159989</v>
      </c>
      <c r="F14" s="524">
        <f t="shared" ref="F14:H14" si="9">F8+F11+F12+F13</f>
        <v>438387873</v>
      </c>
      <c r="G14" s="525">
        <f t="shared" si="9"/>
        <v>438.38787299999996</v>
      </c>
      <c r="H14" s="526">
        <f t="shared" si="9"/>
        <v>37701.357078000001</v>
      </c>
      <c r="I14" s="549"/>
      <c r="J14" s="549"/>
      <c r="K14" s="550">
        <f>H14/E14</f>
        <v>0.38007587120651837</v>
      </c>
      <c r="L14" s="583">
        <f t="shared" ref="L14:Q14" si="10">L8+L11+L12</f>
        <v>12904500</v>
      </c>
      <c r="M14" s="584">
        <f t="shared" si="10"/>
        <v>12.904499999999999</v>
      </c>
      <c r="N14" s="585">
        <f t="shared" si="10"/>
        <v>1109.7869999999998</v>
      </c>
      <c r="O14" s="502">
        <f t="shared" si="10"/>
        <v>424919950</v>
      </c>
      <c r="P14" s="503">
        <f t="shared" si="10"/>
        <v>424.91995000000003</v>
      </c>
      <c r="Q14" s="504">
        <f t="shared" si="10"/>
        <v>36543.115700000002</v>
      </c>
      <c r="R14" s="357">
        <f>SUM(R12:R13)</f>
        <v>438.38787299999996</v>
      </c>
      <c r="S14" s="76" t="s">
        <v>416</v>
      </c>
      <c r="U14" s="357">
        <f>SUM(U12:U13)</f>
        <v>12.904499999999999</v>
      </c>
      <c r="V14" s="357">
        <f>SUM(V12:V13)</f>
        <v>425.48337299999997</v>
      </c>
    </row>
    <row r="15" spans="1:28">
      <c r="F15" s="10"/>
    </row>
    <row r="16" spans="1:28" s="76" customFormat="1">
      <c r="A16" s="75" t="s">
        <v>263</v>
      </c>
      <c r="C16" s="486" t="s">
        <v>74</v>
      </c>
      <c r="D16" s="487" t="s">
        <v>320</v>
      </c>
      <c r="E16" s="341"/>
      <c r="F16" s="848" t="s">
        <v>277</v>
      </c>
      <c r="G16" s="849"/>
      <c r="H16" s="850"/>
      <c r="I16" s="844" t="s">
        <v>70</v>
      </c>
      <c r="J16" s="844"/>
      <c r="K16" s="844"/>
      <c r="L16" s="833" t="s">
        <v>321</v>
      </c>
      <c r="M16" s="834"/>
      <c r="N16" s="835"/>
      <c r="O16" s="830" t="s">
        <v>60</v>
      </c>
      <c r="P16" s="831"/>
      <c r="Q16" s="832"/>
      <c r="R16" s="799">
        <f>P18</f>
        <v>3.7088899999999998</v>
      </c>
      <c r="S16" s="789" t="s">
        <v>419</v>
      </c>
    </row>
    <row r="17" spans="1:21" s="76" customFormat="1" ht="12.75">
      <c r="A17" s="459" t="s">
        <v>284</v>
      </c>
      <c r="C17" s="488" t="s">
        <v>61</v>
      </c>
      <c r="D17" s="489" t="s">
        <v>75</v>
      </c>
      <c r="E17" s="341"/>
      <c r="F17" s="505" t="s">
        <v>62</v>
      </c>
      <c r="G17" s="506" t="s">
        <v>64</v>
      </c>
      <c r="H17" s="507" t="s">
        <v>53</v>
      </c>
      <c r="I17" s="551" t="s">
        <v>273</v>
      </c>
      <c r="J17" s="552" t="s">
        <v>103</v>
      </c>
      <c r="K17" s="295"/>
      <c r="L17" s="586" t="s">
        <v>62</v>
      </c>
      <c r="M17" s="587" t="s">
        <v>64</v>
      </c>
      <c r="N17" s="588" t="s">
        <v>53</v>
      </c>
      <c r="O17" s="608" t="s">
        <v>62</v>
      </c>
      <c r="P17" s="609" t="s">
        <v>64</v>
      </c>
      <c r="Q17" s="610" t="s">
        <v>53</v>
      </c>
      <c r="R17" s="799">
        <f>P25</f>
        <v>3.9731670000000001</v>
      </c>
      <c r="S17" s="789" t="s">
        <v>420</v>
      </c>
    </row>
    <row r="18" spans="1:21" s="76" customFormat="1">
      <c r="A18" s="459" t="s">
        <v>285</v>
      </c>
      <c r="C18" s="490">
        <v>6000</v>
      </c>
      <c r="D18" s="491">
        <f>365*24</f>
        <v>8760</v>
      </c>
      <c r="E18" s="343"/>
      <c r="F18" s="527">
        <v>3708890</v>
      </c>
      <c r="G18" s="794">
        <f t="shared" ref="G18" si="11">F18/1000000</f>
        <v>3.7088899999999998</v>
      </c>
      <c r="H18" s="521">
        <f>G18*$U$8</f>
        <v>318.96454</v>
      </c>
      <c r="I18" s="553">
        <f>F18/(C18*D18)</f>
        <v>7.0564878234398776E-2</v>
      </c>
      <c r="J18" s="554">
        <f>F18/C18</f>
        <v>618.14833333333331</v>
      </c>
      <c r="K18" s="299"/>
      <c r="L18" s="589"/>
      <c r="M18" s="590">
        <f>L18/1000000</f>
        <v>0</v>
      </c>
      <c r="N18" s="591">
        <f>M18*86</f>
        <v>0</v>
      </c>
      <c r="O18" s="620">
        <f>F18-L18</f>
        <v>3708890</v>
      </c>
      <c r="P18" s="796">
        <f>O18/1000000</f>
        <v>3.7088899999999998</v>
      </c>
      <c r="Q18" s="501">
        <f>P18*86</f>
        <v>318.96454</v>
      </c>
      <c r="S18" s="789"/>
    </row>
    <row r="19" spans="1:21">
      <c r="F19" s="10"/>
      <c r="S19" s="789"/>
      <c r="T19" s="76"/>
      <c r="U19" s="76"/>
    </row>
    <row r="20" spans="1:21" s="76" customFormat="1">
      <c r="A20" s="75" t="s">
        <v>76</v>
      </c>
      <c r="B20" s="375"/>
      <c r="C20" s="774" t="s">
        <v>74</v>
      </c>
      <c r="D20" s="775" t="s">
        <v>320</v>
      </c>
      <c r="E20" s="341"/>
      <c r="F20" s="848" t="s">
        <v>277</v>
      </c>
      <c r="G20" s="849"/>
      <c r="H20" s="850"/>
      <c r="I20" s="851" t="s">
        <v>70</v>
      </c>
      <c r="J20" s="851"/>
      <c r="K20" s="852"/>
      <c r="L20" s="833" t="s">
        <v>321</v>
      </c>
      <c r="M20" s="834"/>
      <c r="N20" s="835"/>
      <c r="O20" s="830" t="s">
        <v>60</v>
      </c>
      <c r="P20" s="831"/>
      <c r="Q20" s="832"/>
    </row>
    <row r="21" spans="1:21" s="76" customFormat="1" ht="12.75">
      <c r="A21" s="460" t="s">
        <v>278</v>
      </c>
      <c r="B21" s="375"/>
      <c r="C21" s="464" t="s">
        <v>61</v>
      </c>
      <c r="D21" s="466" t="s">
        <v>75</v>
      </c>
      <c r="E21" s="341"/>
      <c r="F21" s="505" t="s">
        <v>62</v>
      </c>
      <c r="G21" s="506" t="s">
        <v>64</v>
      </c>
      <c r="H21" s="507" t="s">
        <v>53</v>
      </c>
      <c r="I21" s="552" t="s">
        <v>273</v>
      </c>
      <c r="J21" s="552" t="s">
        <v>103</v>
      </c>
      <c r="K21" s="294"/>
      <c r="L21" s="586" t="s">
        <v>62</v>
      </c>
      <c r="M21" s="587" t="s">
        <v>64</v>
      </c>
      <c r="N21" s="588" t="s">
        <v>53</v>
      </c>
      <c r="O21" s="609" t="s">
        <v>62</v>
      </c>
      <c r="P21" s="609" t="s">
        <v>64</v>
      </c>
      <c r="Q21" s="610" t="s">
        <v>53</v>
      </c>
    </row>
    <row r="22" spans="1:21" s="76" customFormat="1" ht="12.75">
      <c r="A22" s="459" t="s">
        <v>314</v>
      </c>
      <c r="B22" s="375"/>
      <c r="C22" s="492">
        <v>3729</v>
      </c>
      <c r="D22" s="489">
        <f>365*24</f>
        <v>8760</v>
      </c>
      <c r="E22" s="458"/>
      <c r="F22" s="528">
        <v>3396284</v>
      </c>
      <c r="G22" s="509">
        <f t="shared" ref="G22:G24" si="12">F22/1000000</f>
        <v>3.3962840000000001</v>
      </c>
      <c r="H22" s="519">
        <f>G22*$U$8</f>
        <v>292.08042399999999</v>
      </c>
      <c r="I22" s="555">
        <f>F22/(C22*D22)</f>
        <v>0.10396987207509695</v>
      </c>
      <c r="J22" s="556">
        <f>F22/C22</f>
        <v>910.77607937784933</v>
      </c>
      <c r="K22" s="296"/>
      <c r="L22" s="569">
        <v>0</v>
      </c>
      <c r="M22" s="579">
        <f>L22/1000000</f>
        <v>0</v>
      </c>
      <c r="N22" s="580">
        <f>M22*86</f>
        <v>0</v>
      </c>
      <c r="O22" s="621">
        <f>F22-L22</f>
        <v>3396284</v>
      </c>
      <c r="P22" s="619">
        <f>O22/1000000</f>
        <v>3.3962840000000001</v>
      </c>
      <c r="Q22" s="500">
        <f>P22*86</f>
        <v>292.08042399999999</v>
      </c>
    </row>
    <row r="23" spans="1:21" s="76" customFormat="1" ht="12.75">
      <c r="A23" s="459" t="s">
        <v>315</v>
      </c>
      <c r="B23" s="375"/>
      <c r="C23" s="492">
        <v>584</v>
      </c>
      <c r="D23" s="489">
        <f t="shared" ref="D23:D24" si="13">365*24</f>
        <v>8760</v>
      </c>
      <c r="E23" s="458"/>
      <c r="F23" s="528">
        <v>576883</v>
      </c>
      <c r="G23" s="509">
        <f t="shared" si="12"/>
        <v>0.57688300000000003</v>
      </c>
      <c r="H23" s="519">
        <f t="shared" ref="H23:H24" si="14">G23*$U$8</f>
        <v>49.611938000000002</v>
      </c>
      <c r="I23" s="555">
        <f t="shared" ref="I23:I24" si="15">F23/(C23*D23)</f>
        <v>0.11276408175392506</v>
      </c>
      <c r="J23" s="556">
        <f t="shared" ref="J23:J24" si="16">F23/C23</f>
        <v>987.81335616438355</v>
      </c>
      <c r="K23" s="296"/>
      <c r="L23" s="569">
        <v>0</v>
      </c>
      <c r="M23" s="579">
        <f>L23/1000000</f>
        <v>0</v>
      </c>
      <c r="N23" s="580">
        <f>M23*86</f>
        <v>0</v>
      </c>
      <c r="O23" s="621">
        <f>F23-L23</f>
        <v>576883</v>
      </c>
      <c r="P23" s="619">
        <f>O23/1000000</f>
        <v>0.57688300000000003</v>
      </c>
      <c r="Q23" s="500">
        <f>P23*86</f>
        <v>49.611938000000002</v>
      </c>
    </row>
    <row r="24" spans="1:21" s="76" customFormat="1" ht="12.75">
      <c r="A24" s="459" t="s">
        <v>316</v>
      </c>
      <c r="B24" s="375"/>
      <c r="C24" s="493">
        <v>87</v>
      </c>
      <c r="D24" s="489">
        <f t="shared" si="13"/>
        <v>8760</v>
      </c>
      <c r="E24" s="458"/>
      <c r="F24" s="527">
        <v>50957</v>
      </c>
      <c r="G24" s="512">
        <f t="shared" si="12"/>
        <v>5.0957000000000002E-2</v>
      </c>
      <c r="H24" s="521">
        <f t="shared" si="14"/>
        <v>4.3823020000000001</v>
      </c>
      <c r="I24" s="555">
        <f t="shared" si="15"/>
        <v>6.686217393586312E-2</v>
      </c>
      <c r="J24" s="556">
        <f t="shared" si="16"/>
        <v>585.71264367816093</v>
      </c>
      <c r="K24" s="296"/>
      <c r="L24" s="592">
        <v>0</v>
      </c>
      <c r="M24" s="590">
        <f>L24/1000000</f>
        <v>0</v>
      </c>
      <c r="N24" s="591">
        <f>M24*86</f>
        <v>0</v>
      </c>
      <c r="O24" s="621"/>
      <c r="P24" s="619"/>
      <c r="Q24" s="500"/>
    </row>
    <row r="25" spans="1:21" s="76" customFormat="1">
      <c r="A25" s="364" t="s">
        <v>109</v>
      </c>
      <c r="C25" s="780">
        <f>SUM(C22:C24)</f>
        <v>4400</v>
      </c>
      <c r="D25" s="491">
        <v>8760</v>
      </c>
      <c r="F25" s="532">
        <f>SUM(F22:F24)</f>
        <v>4024124</v>
      </c>
      <c r="G25" s="781">
        <f t="shared" ref="G25:H25" si="17">SUM(G22:G23)</f>
        <v>3.9731670000000001</v>
      </c>
      <c r="H25" s="782">
        <f t="shared" si="17"/>
        <v>341.692362</v>
      </c>
      <c r="I25" s="557">
        <f>F25/(C25*D25)</f>
        <v>0.10440338314653383</v>
      </c>
      <c r="J25" s="558">
        <f>F25/C25</f>
        <v>914.57363636363641</v>
      </c>
      <c r="K25" s="296"/>
      <c r="L25" s="456"/>
      <c r="M25" s="456"/>
      <c r="N25" s="456"/>
      <c r="O25" s="622">
        <f t="shared" ref="O25:Q25" si="18">SUM(O22:O23)</f>
        <v>3973167</v>
      </c>
      <c r="P25" s="795">
        <f t="shared" si="18"/>
        <v>3.9731670000000001</v>
      </c>
      <c r="Q25" s="623">
        <f t="shared" si="18"/>
        <v>341.692362</v>
      </c>
    </row>
    <row r="26" spans="1:21" s="76" customFormat="1">
      <c r="A26" s="460" t="s">
        <v>279</v>
      </c>
      <c r="C26"/>
      <c r="D26"/>
      <c r="F26"/>
      <c r="G26"/>
      <c r="H26"/>
      <c r="I26" s="542" t="s">
        <v>273</v>
      </c>
      <c r="J26" s="542" t="s">
        <v>103</v>
      </c>
      <c r="K26" s="559"/>
      <c r="L26" s="364" t="s">
        <v>276</v>
      </c>
      <c r="M26" s="76" t="s">
        <v>73</v>
      </c>
      <c r="O26" s="346"/>
      <c r="P26" s="346"/>
      <c r="Q26" s="346"/>
    </row>
    <row r="27" spans="1:21" s="76" customFormat="1" ht="12.75">
      <c r="A27" s="375" t="s">
        <v>317</v>
      </c>
      <c r="C27" s="776">
        <v>25.38</v>
      </c>
      <c r="D27" s="466">
        <v>8760</v>
      </c>
      <c r="F27" s="777">
        <v>38171</v>
      </c>
      <c r="G27" s="778">
        <f>F27/1000000</f>
        <v>3.8170999999999997E-2</v>
      </c>
      <c r="H27" s="779">
        <f>G27*$U$8</f>
        <v>3.2827059999999997</v>
      </c>
      <c r="I27" s="555">
        <f>F27/(C27*D27)</f>
        <v>0.17168715883862101</v>
      </c>
      <c r="J27" s="560">
        <f>F27/C27</f>
        <v>1503.97951142632</v>
      </c>
      <c r="K27" s="297"/>
      <c r="L27" s="364" t="s">
        <v>275</v>
      </c>
      <c r="M27" s="76" t="s">
        <v>274</v>
      </c>
      <c r="N27" s="344"/>
      <c r="O27" s="346"/>
      <c r="P27" s="346"/>
      <c r="Q27" s="346"/>
    </row>
    <row r="28" spans="1:21" s="76" customFormat="1">
      <c r="A28" s="375" t="s">
        <v>319</v>
      </c>
      <c r="C28" s="494"/>
      <c r="D28" s="495"/>
      <c r="F28" s="529"/>
      <c r="G28" s="530"/>
      <c r="H28" s="510"/>
      <c r="I28" s="296"/>
      <c r="J28" s="296"/>
      <c r="K28" s="297"/>
      <c r="L28" s="457"/>
      <c r="N28" s="456"/>
      <c r="O28" s="456"/>
    </row>
    <row r="29" spans="1:21" s="76" customFormat="1">
      <c r="A29" s="375" t="s">
        <v>318</v>
      </c>
      <c r="C29" s="496">
        <v>752</v>
      </c>
      <c r="D29" s="491">
        <v>8760</v>
      </c>
      <c r="F29" s="527">
        <f>C29*J29</f>
        <v>1052800</v>
      </c>
      <c r="G29" s="531">
        <f>F29/1000000</f>
        <v>1.0528</v>
      </c>
      <c r="H29" s="513">
        <f>G29*$U$8</f>
        <v>90.54079999999999</v>
      </c>
      <c r="I29" s="296"/>
      <c r="J29" s="560">
        <v>1400</v>
      </c>
      <c r="K29" s="297"/>
      <c r="L29" s="457"/>
      <c r="N29" s="456"/>
      <c r="O29" s="456"/>
      <c r="Q29" s="345"/>
    </row>
    <row r="30" spans="1:21" s="76" customFormat="1">
      <c r="A30" s="364" t="s">
        <v>56</v>
      </c>
      <c r="C30" s="497">
        <f>SUM(C27:C29)</f>
        <v>777.38</v>
      </c>
      <c r="D30" s="498">
        <v>8760</v>
      </c>
      <c r="F30" s="532">
        <f>SUM(F27:F29)</f>
        <v>1090971</v>
      </c>
      <c r="G30" s="533">
        <f t="shared" ref="G30:H30" si="19">SUM(G27:G29)</f>
        <v>1.0909709999999999</v>
      </c>
      <c r="H30" s="534">
        <f t="shared" si="19"/>
        <v>93.823505999999995</v>
      </c>
      <c r="I30" s="298"/>
      <c r="J30" s="298"/>
      <c r="K30" s="299"/>
      <c r="L30" s="457"/>
      <c r="N30" s="456"/>
      <c r="O30" s="456"/>
      <c r="Q30" s="345"/>
    </row>
    <row r="31" spans="1:21">
      <c r="L31" s="457"/>
      <c r="N31" s="456"/>
      <c r="O31" s="456"/>
    </row>
    <row r="32" spans="1:21" ht="15.75">
      <c r="A32" s="335" t="s">
        <v>280</v>
      </c>
      <c r="F32" s="12"/>
      <c r="N32" s="456"/>
      <c r="O32" s="456"/>
      <c r="R32" s="457"/>
    </row>
    <row r="34" spans="1:12" s="76" customFormat="1" ht="12.75">
      <c r="A34" s="347" t="s">
        <v>167</v>
      </c>
      <c r="B34" s="86" t="s">
        <v>64</v>
      </c>
      <c r="C34" s="347" t="s">
        <v>158</v>
      </c>
    </row>
    <row r="35" spans="1:12" s="76" customFormat="1" ht="12.75">
      <c r="A35" s="348" t="s">
        <v>281</v>
      </c>
      <c r="B35" s="365">
        <f>(F7+F10)/1000000</f>
        <v>384.21595200000002</v>
      </c>
      <c r="C35" s="349">
        <f>$B35/$B$39</f>
        <v>0.86022007890837004</v>
      </c>
    </row>
    <row r="36" spans="1:12" s="76" customFormat="1" ht="12.75">
      <c r="A36" s="348" t="s">
        <v>282</v>
      </c>
      <c r="B36" s="365">
        <f>(F6+F9+F12)/1000000</f>
        <v>53.608497999999997</v>
      </c>
      <c r="C36" s="349">
        <f>$B36/$B$39</f>
        <v>0.12002392440936235</v>
      </c>
    </row>
    <row r="37" spans="1:12" s="76" customFormat="1" ht="12.75">
      <c r="A37" s="348" t="s">
        <v>283</v>
      </c>
      <c r="B37" s="365">
        <f>F18/1000000</f>
        <v>3.7088899999999998</v>
      </c>
      <c r="C37" s="349">
        <f>$B37/$B$39</f>
        <v>8.303824013174926E-3</v>
      </c>
    </row>
    <row r="38" spans="1:12" s="76" customFormat="1" ht="12.75">
      <c r="A38" s="348" t="s">
        <v>91</v>
      </c>
      <c r="B38" s="365">
        <f>(F25+F30)/1000000</f>
        <v>5.1150950000000002</v>
      </c>
      <c r="C38" s="349">
        <f>$B38/$B$39</f>
        <v>1.1452172669092639E-2</v>
      </c>
    </row>
    <row r="39" spans="1:12" s="76" customFormat="1" ht="12.75">
      <c r="A39" s="347" t="s">
        <v>56</v>
      </c>
      <c r="B39" s="366">
        <f>SUM(B35:B38)</f>
        <v>446.64843500000001</v>
      </c>
      <c r="C39" s="350">
        <f>$B39/$B$39</f>
        <v>1</v>
      </c>
    </row>
    <row r="40" spans="1:12" s="76" customFormat="1" ht="12.75"/>
    <row r="41" spans="1:12" s="76" customFormat="1" ht="12.75">
      <c r="A41" s="76" t="s">
        <v>111</v>
      </c>
      <c r="H41" s="351"/>
    </row>
    <row r="42" spans="1:12" s="76" customFormat="1" ht="12.75">
      <c r="B42" s="352" t="s">
        <v>83</v>
      </c>
      <c r="C42" s="352" t="s">
        <v>68</v>
      </c>
      <c r="D42" s="352" t="s">
        <v>56</v>
      </c>
      <c r="G42" s="351"/>
    </row>
    <row r="43" spans="1:12" s="76" customFormat="1" ht="12.75">
      <c r="A43" s="360" t="s">
        <v>104</v>
      </c>
      <c r="B43" s="367">
        <f>G8+G11</f>
        <v>384.74870199999998</v>
      </c>
      <c r="C43" s="368">
        <f>G12</f>
        <v>53.075747999999997</v>
      </c>
      <c r="D43" s="368">
        <f>B43+C43</f>
        <v>437.82444999999996</v>
      </c>
      <c r="G43" s="351"/>
    </row>
    <row r="44" spans="1:12" s="76" customFormat="1" ht="12.75">
      <c r="A44" s="360" t="s">
        <v>105</v>
      </c>
      <c r="B44" s="367">
        <f>G18+G22</f>
        <v>7.1051739999999999</v>
      </c>
      <c r="C44" s="368">
        <f>G23</f>
        <v>0.57688300000000003</v>
      </c>
      <c r="D44" s="368">
        <f t="shared" ref="D44" si="20">B44+C44</f>
        <v>7.6820570000000004</v>
      </c>
      <c r="G44" s="351"/>
    </row>
    <row r="45" spans="1:12" s="76" customFormat="1" ht="12.75">
      <c r="A45" s="360" t="s">
        <v>109</v>
      </c>
      <c r="B45" s="367">
        <f>B43+B44</f>
        <v>391.85387599999996</v>
      </c>
      <c r="C45" s="367">
        <f t="shared" ref="C45:D45" si="21">C43+C44</f>
        <v>53.652631</v>
      </c>
      <c r="D45" s="367">
        <f t="shared" si="21"/>
        <v>445.50650699999994</v>
      </c>
    </row>
    <row r="46" spans="1:12" s="76" customFormat="1" ht="12.75">
      <c r="A46" s="461" t="s">
        <v>327</v>
      </c>
      <c r="B46" s="607">
        <f>B44*0.2248</f>
        <v>1.5972431152</v>
      </c>
      <c r="C46" s="607">
        <f>C44*0.2248</f>
        <v>0.12968329840000001</v>
      </c>
      <c r="D46" s="607">
        <f>B46+C46</f>
        <v>1.7269264136</v>
      </c>
      <c r="E46" s="357"/>
    </row>
    <row r="47" spans="1:12" s="76" customFormat="1" ht="12.75">
      <c r="A47" s="91" t="s">
        <v>328</v>
      </c>
      <c r="L47" s="190"/>
    </row>
    <row r="48" spans="1:12" s="76" customFormat="1" ht="12.75">
      <c r="L48" s="190"/>
    </row>
    <row r="49" spans="1:17" s="76" customFormat="1" ht="12.75">
      <c r="A49" s="76" t="s">
        <v>325</v>
      </c>
      <c r="B49" s="356"/>
      <c r="C49" s="357"/>
      <c r="D49" s="357"/>
      <c r="E49" s="357"/>
    </row>
    <row r="50" spans="1:17" s="76" customFormat="1" ht="12.75">
      <c r="B50" s="352" t="s">
        <v>83</v>
      </c>
      <c r="C50" s="352" t="s">
        <v>68</v>
      </c>
      <c r="D50" s="352" t="s">
        <v>56</v>
      </c>
      <c r="E50" s="344" t="s">
        <v>326</v>
      </c>
    </row>
    <row r="51" spans="1:17" s="76" customFormat="1" ht="12.75">
      <c r="A51" s="360" t="s">
        <v>108</v>
      </c>
      <c r="B51" s="353">
        <f>(M8+M11+M18+M22)</f>
        <v>11.624191999999999</v>
      </c>
      <c r="C51" s="354">
        <f>M12+M23</f>
        <v>1.280308</v>
      </c>
      <c r="D51" s="354">
        <f>B51+C51</f>
        <v>12.904499999999999</v>
      </c>
      <c r="E51" s="395">
        <f>D51*86</f>
        <v>1109.7869999999998</v>
      </c>
    </row>
    <row r="52" spans="1:17" s="76" customFormat="1" ht="12.75">
      <c r="A52" s="360" t="s">
        <v>107</v>
      </c>
      <c r="B52" s="353">
        <f>B45-B51</f>
        <v>380.22968399999996</v>
      </c>
      <c r="C52" s="354">
        <f>C45-C51</f>
        <v>52.372323000000002</v>
      </c>
      <c r="D52" s="354">
        <f>B52+C52</f>
        <v>432.60200699999996</v>
      </c>
      <c r="E52" s="395">
        <f t="shared" ref="E52:E54" si="22">D52*86</f>
        <v>37203.772601999997</v>
      </c>
    </row>
    <row r="53" spans="1:17" s="76" customFormat="1" ht="12.75">
      <c r="A53" s="361" t="s">
        <v>106</v>
      </c>
      <c r="B53" s="358">
        <v>354.28327200000001</v>
      </c>
      <c r="C53" s="358">
        <v>46.056669999999997</v>
      </c>
      <c r="D53" s="354">
        <f>B53+C53</f>
        <v>400.33994200000001</v>
      </c>
      <c r="E53" s="395">
        <f t="shared" si="22"/>
        <v>34429.235011999997</v>
      </c>
    </row>
    <row r="54" spans="1:17" s="76" customFormat="1" ht="15" customHeight="1">
      <c r="A54" s="360" t="s">
        <v>110</v>
      </c>
      <c r="B54" s="355">
        <f>B52-B53</f>
        <v>25.946411999999953</v>
      </c>
      <c r="C54" s="355">
        <f>C52-C53</f>
        <v>6.3156530000000046</v>
      </c>
      <c r="D54" s="354">
        <f>B54+C54</f>
        <v>32.262064999999957</v>
      </c>
      <c r="E54" s="395">
        <f t="shared" si="22"/>
        <v>2774.5375899999963</v>
      </c>
    </row>
    <row r="55" spans="1:17" ht="15" customHeight="1">
      <c r="A55" s="360" t="s">
        <v>112</v>
      </c>
      <c r="B55" s="359">
        <f>B54/B45</f>
        <v>6.6214509002330127E-2</v>
      </c>
      <c r="C55" s="359">
        <f>C54/C45</f>
        <v>0.11771376132514368</v>
      </c>
      <c r="D55" s="359">
        <f>D54/D45</f>
        <v>7.2416596599788746E-2</v>
      </c>
      <c r="E55" s="76"/>
    </row>
    <row r="57" spans="1:17" ht="15.75">
      <c r="A57" s="363" t="s">
        <v>330</v>
      </c>
      <c r="N57" s="645"/>
      <c r="O57" s="646" t="s">
        <v>62</v>
      </c>
      <c r="P57" s="647" t="s">
        <v>64</v>
      </c>
    </row>
    <row r="58" spans="1:17">
      <c r="H58" s="842" t="s">
        <v>130</v>
      </c>
      <c r="I58" s="843"/>
      <c r="J58" s="634"/>
      <c r="K58" s="634"/>
      <c r="L58" s="657">
        <f>F59</f>
        <v>134538602.44</v>
      </c>
      <c r="N58" s="648" t="s">
        <v>130</v>
      </c>
      <c r="O58" s="649">
        <f>L58</f>
        <v>134538602.44</v>
      </c>
      <c r="P58" s="650">
        <f>O58/1000000</f>
        <v>134.53860244000001</v>
      </c>
    </row>
    <row r="59" spans="1:17">
      <c r="A59" s="633" t="s">
        <v>130</v>
      </c>
      <c r="B59" s="634"/>
      <c r="C59" s="635">
        <v>134538602.44</v>
      </c>
      <c r="E59" s="645" t="s">
        <v>130</v>
      </c>
      <c r="F59" s="657">
        <f>C59</f>
        <v>134538602.44</v>
      </c>
      <c r="H59" s="651"/>
      <c r="I59" s="637"/>
      <c r="J59" s="637"/>
      <c r="K59" s="637"/>
      <c r="L59" s="652"/>
      <c r="N59" s="651"/>
      <c r="O59" s="637"/>
      <c r="P59" s="652"/>
    </row>
    <row r="60" spans="1:17">
      <c r="A60" s="636" t="s">
        <v>295</v>
      </c>
      <c r="B60" s="637"/>
      <c r="C60" s="638">
        <v>119570298</v>
      </c>
      <c r="E60" s="651"/>
      <c r="F60" s="652"/>
      <c r="H60" s="836" t="s">
        <v>297</v>
      </c>
      <c r="I60" s="837"/>
      <c r="J60" s="837"/>
      <c r="K60" s="838"/>
      <c r="L60" s="644">
        <f>0.27*F61</f>
        <v>58673462.086800002</v>
      </c>
      <c r="N60" s="648" t="s">
        <v>20</v>
      </c>
      <c r="O60" s="649">
        <f>L60</f>
        <v>58673462.086800002</v>
      </c>
      <c r="P60" s="650">
        <f>O60/1000000</f>
        <v>58.673462086800001</v>
      </c>
    </row>
    <row r="61" spans="1:17">
      <c r="A61" s="636" t="s">
        <v>296</v>
      </c>
      <c r="B61" s="637"/>
      <c r="C61" s="638">
        <v>97738820.840000004</v>
      </c>
      <c r="E61" s="648" t="s">
        <v>163</v>
      </c>
      <c r="F61" s="644">
        <f>C60+C61</f>
        <v>217309118.84</v>
      </c>
      <c r="H61" s="651"/>
      <c r="I61" s="637"/>
      <c r="J61" s="637"/>
      <c r="K61" s="637"/>
      <c r="L61" s="652"/>
      <c r="N61" s="651"/>
      <c r="O61" s="637"/>
      <c r="P61" s="652"/>
    </row>
    <row r="62" spans="1:17">
      <c r="A62" s="636" t="s">
        <v>131</v>
      </c>
      <c r="B62" s="637"/>
      <c r="C62" s="638">
        <v>26368176</v>
      </c>
      <c r="E62" s="651"/>
      <c r="F62" s="652"/>
      <c r="H62" s="836" t="s">
        <v>298</v>
      </c>
      <c r="I62" s="837"/>
      <c r="J62" s="837"/>
      <c r="K62" s="838"/>
      <c r="L62" s="644">
        <f>F61-L60</f>
        <v>158635656.75319999</v>
      </c>
      <c r="N62" s="651"/>
      <c r="O62" s="637"/>
      <c r="P62" s="652"/>
    </row>
    <row r="63" spans="1:17">
      <c r="A63" s="636" t="s">
        <v>77</v>
      </c>
      <c r="B63" s="637"/>
      <c r="C63" s="638">
        <v>20958017</v>
      </c>
      <c r="E63" s="648" t="s">
        <v>192</v>
      </c>
      <c r="F63" s="652"/>
      <c r="H63" s="651"/>
      <c r="I63" s="637"/>
      <c r="J63" s="637"/>
      <c r="K63" s="637"/>
      <c r="L63" s="652"/>
      <c r="N63" s="648" t="s">
        <v>97</v>
      </c>
      <c r="O63" s="644">
        <f>L62+L64</f>
        <v>207106168.75319999</v>
      </c>
      <c r="P63" s="650">
        <f>O63/1000000</f>
        <v>207.1061687532</v>
      </c>
      <c r="Q63" s="11">
        <f>P63*86</f>
        <v>17811.130512775198</v>
      </c>
    </row>
    <row r="64" spans="1:17">
      <c r="A64" s="636" t="s">
        <v>99</v>
      </c>
      <c r="B64" s="637"/>
      <c r="C64" s="638">
        <v>1144319</v>
      </c>
      <c r="E64" s="651"/>
      <c r="F64" s="660">
        <f>SUM(C62:C64)</f>
        <v>48470512</v>
      </c>
      <c r="H64" s="840" t="s">
        <v>192</v>
      </c>
      <c r="I64" s="841"/>
      <c r="J64" s="637"/>
      <c r="K64" s="637"/>
      <c r="L64" s="644">
        <f>F64</f>
        <v>48470512</v>
      </c>
      <c r="N64" s="651"/>
      <c r="O64" s="637"/>
      <c r="P64" s="652"/>
    </row>
    <row r="65" spans="1:19">
      <c r="A65" s="639" t="s">
        <v>294</v>
      </c>
      <c r="B65" s="640"/>
      <c r="C65" s="641">
        <v>21709.4</v>
      </c>
      <c r="E65" s="651"/>
      <c r="F65" s="653"/>
      <c r="H65" s="651"/>
      <c r="I65" s="637"/>
      <c r="J65" s="637"/>
      <c r="K65" s="637"/>
      <c r="L65" s="658"/>
      <c r="N65" s="651"/>
      <c r="O65" s="640"/>
      <c r="P65" s="653"/>
      <c r="S65" s="9"/>
    </row>
    <row r="66" spans="1:19">
      <c r="A66" s="642" t="s">
        <v>56</v>
      </c>
      <c r="B66" s="640"/>
      <c r="C66" s="643">
        <f>SUM(C59:C65)</f>
        <v>400339942.67999995</v>
      </c>
      <c r="E66" s="654"/>
      <c r="F66" s="659">
        <f>F59+F61+F64</f>
        <v>400318233.27999997</v>
      </c>
      <c r="H66" s="654"/>
      <c r="I66" s="640"/>
      <c r="J66" s="640"/>
      <c r="K66" s="640"/>
      <c r="L66" s="659">
        <f>L58+L60+L62+L64</f>
        <v>400318233.27999997</v>
      </c>
      <c r="N66" s="654"/>
      <c r="O66" s="655">
        <f>O58+O60+O63</f>
        <v>400318233.27999997</v>
      </c>
      <c r="P66" s="656">
        <f>O66/1000000</f>
        <v>400.31823327999996</v>
      </c>
      <c r="S66" s="9"/>
    </row>
    <row r="68" spans="1:19">
      <c r="H68" t="s">
        <v>430</v>
      </c>
      <c r="L68" s="19"/>
      <c r="M68" s="19"/>
    </row>
    <row r="69" spans="1:19" ht="18.75">
      <c r="A69" s="66" t="s">
        <v>331</v>
      </c>
      <c r="C69" s="73"/>
      <c r="H69" t="s">
        <v>429</v>
      </c>
    </row>
    <row r="71" spans="1:19">
      <c r="A71" s="86" t="s">
        <v>286</v>
      </c>
      <c r="B71" s="379" t="s">
        <v>69</v>
      </c>
      <c r="C71" s="845" t="s">
        <v>55</v>
      </c>
      <c r="D71" s="846"/>
      <c r="E71" s="847"/>
      <c r="F71" s="848" t="s">
        <v>277</v>
      </c>
      <c r="G71" s="849"/>
      <c r="H71" s="850"/>
      <c r="I71" s="844" t="s">
        <v>70</v>
      </c>
      <c r="J71" s="844"/>
      <c r="K71" s="844"/>
      <c r="L71" s="833" t="s">
        <v>287</v>
      </c>
      <c r="M71" s="834"/>
      <c r="N71" s="835"/>
      <c r="O71" s="830" t="s">
        <v>288</v>
      </c>
      <c r="P71" s="831"/>
      <c r="Q71" s="832"/>
    </row>
    <row r="72" spans="1:19" ht="15.75">
      <c r="A72" s="378"/>
      <c r="B72" s="373"/>
      <c r="C72" s="465" t="s">
        <v>272</v>
      </c>
      <c r="D72" s="465" t="s">
        <v>52</v>
      </c>
      <c r="E72" s="466" t="s">
        <v>53</v>
      </c>
      <c r="F72" s="505" t="s">
        <v>62</v>
      </c>
      <c r="G72" s="506" t="s">
        <v>64</v>
      </c>
      <c r="H72" s="506" t="s">
        <v>53</v>
      </c>
      <c r="I72" s="551" t="s">
        <v>66</v>
      </c>
      <c r="J72" s="552" t="s">
        <v>292</v>
      </c>
      <c r="K72" s="561" t="s">
        <v>71</v>
      </c>
      <c r="L72" s="569" t="s">
        <v>62</v>
      </c>
      <c r="M72" s="570" t="s">
        <v>64</v>
      </c>
      <c r="N72" s="571" t="s">
        <v>53</v>
      </c>
      <c r="O72" s="608" t="s">
        <v>62</v>
      </c>
      <c r="P72" s="609" t="s">
        <v>64</v>
      </c>
      <c r="Q72" s="610" t="s">
        <v>53</v>
      </c>
    </row>
    <row r="73" spans="1:19">
      <c r="A73" s="336" t="s">
        <v>79</v>
      </c>
      <c r="B73" s="337" t="s">
        <v>57</v>
      </c>
      <c r="C73" s="597">
        <v>17075937</v>
      </c>
      <c r="D73" s="598">
        <f>C73*$T$6/1000</f>
        <v>14311.3427997</v>
      </c>
      <c r="E73" s="599">
        <f>D73*$U$6</f>
        <v>14812.239797689499</v>
      </c>
      <c r="F73" s="535">
        <f>J73*C73</f>
        <v>59765779.5</v>
      </c>
      <c r="G73" s="536">
        <f>F73/1000000</f>
        <v>59.765779500000001</v>
      </c>
      <c r="H73" s="537">
        <f>G73*86</f>
        <v>5139.8570369999998</v>
      </c>
      <c r="I73" s="562">
        <f>1/J73</f>
        <v>0.2857142857142857</v>
      </c>
      <c r="J73" s="542">
        <v>3.5</v>
      </c>
      <c r="K73" s="563">
        <f>H73/E73</f>
        <v>0.3470006634514346</v>
      </c>
      <c r="L73" s="569"/>
      <c r="M73" s="570"/>
      <c r="N73" s="571"/>
      <c r="O73" s="624">
        <f>F73</f>
        <v>59765779.5</v>
      </c>
      <c r="P73" s="625">
        <f>O73/1000000</f>
        <v>59.765779500000001</v>
      </c>
      <c r="Q73" s="626">
        <f>P73*86</f>
        <v>5139.8570369999998</v>
      </c>
    </row>
    <row r="74" spans="1:19">
      <c r="A74" s="336" t="s">
        <v>289</v>
      </c>
      <c r="B74" s="337" t="s">
        <v>57</v>
      </c>
      <c r="C74" s="597">
        <v>2945908</v>
      </c>
      <c r="D74" s="598">
        <f t="shared" ref="D74:D77" si="23">C74*$T$6/1000</f>
        <v>2468.9654947999998</v>
      </c>
      <c r="E74" s="599">
        <f t="shared" ref="E74:E77" si="24">D74*$U$6</f>
        <v>2555.3792871179994</v>
      </c>
      <c r="F74" s="535">
        <f t="shared" ref="F74:F77" si="25">J74*C74</f>
        <v>10310678</v>
      </c>
      <c r="G74" s="536">
        <f t="shared" ref="G74:G77" si="26">F74/1000000</f>
        <v>10.310677999999999</v>
      </c>
      <c r="H74" s="537">
        <f t="shared" ref="H74:H77" si="27">G74*86</f>
        <v>886.71830799999998</v>
      </c>
      <c r="I74" s="562">
        <f t="shared" ref="I74:I77" si="28">1/J74</f>
        <v>0.2857142857142857</v>
      </c>
      <c r="J74" s="542">
        <v>3.5</v>
      </c>
      <c r="K74" s="563">
        <f t="shared" ref="K74:K77" si="29">H74/E74</f>
        <v>0.34700066345143465</v>
      </c>
      <c r="L74" s="569"/>
      <c r="M74" s="570"/>
      <c r="N74" s="571"/>
      <c r="O74" s="624">
        <f>F74</f>
        <v>10310678</v>
      </c>
      <c r="P74" s="625">
        <f>O74/1000000</f>
        <v>10.310677999999999</v>
      </c>
      <c r="Q74" s="626">
        <f>P74*86</f>
        <v>886.71830799999998</v>
      </c>
    </row>
    <row r="75" spans="1:19">
      <c r="A75" s="336" t="s">
        <v>197</v>
      </c>
      <c r="B75" s="337" t="s">
        <v>57</v>
      </c>
      <c r="C75" s="597">
        <v>1629471.4234578214</v>
      </c>
      <c r="D75" s="598">
        <f t="shared" si="23"/>
        <v>1365.66</v>
      </c>
      <c r="E75" s="599">
        <f t="shared" si="24"/>
        <v>1413.4581000000001</v>
      </c>
      <c r="F75" s="535">
        <f t="shared" si="25"/>
        <v>5703149.9821023745</v>
      </c>
      <c r="G75" s="536">
        <f t="shared" si="26"/>
        <v>5.7031499821023743</v>
      </c>
      <c r="H75" s="537">
        <f t="shared" si="27"/>
        <v>490.47089846080416</v>
      </c>
      <c r="I75" s="562">
        <f t="shared" si="28"/>
        <v>0.2857142857142857</v>
      </c>
      <c r="J75" s="542">
        <v>3.5</v>
      </c>
      <c r="K75" s="563">
        <f t="shared" si="29"/>
        <v>0.34700066345143454</v>
      </c>
      <c r="L75" s="593">
        <f>F75</f>
        <v>5703149.9821023745</v>
      </c>
      <c r="M75" s="594">
        <f>L75/1000000</f>
        <v>5.7031499821023743</v>
      </c>
      <c r="N75" s="595">
        <f>M75*86</f>
        <v>490.47089846080416</v>
      </c>
      <c r="O75" s="608"/>
      <c r="P75" s="609"/>
      <c r="Q75" s="610"/>
    </row>
    <row r="76" spans="1:19">
      <c r="A76" s="336" t="s">
        <v>290</v>
      </c>
      <c r="B76" s="337" t="s">
        <v>57</v>
      </c>
      <c r="C76" s="597">
        <v>1510000</v>
      </c>
      <c r="D76" s="598">
        <f t="shared" si="23"/>
        <v>1265.5309999999999</v>
      </c>
      <c r="E76" s="599">
        <f t="shared" si="24"/>
        <v>1309.8245849999998</v>
      </c>
      <c r="F76" s="535">
        <f t="shared" si="25"/>
        <v>5285000</v>
      </c>
      <c r="G76" s="536">
        <f t="shared" si="26"/>
        <v>5.2850000000000001</v>
      </c>
      <c r="H76" s="537">
        <f t="shared" si="27"/>
        <v>454.51</v>
      </c>
      <c r="I76" s="562">
        <f t="shared" si="28"/>
        <v>0.2857142857142857</v>
      </c>
      <c r="J76" s="542">
        <v>3.5</v>
      </c>
      <c r="K76" s="563">
        <f t="shared" si="29"/>
        <v>0.34700066345143465</v>
      </c>
      <c r="L76" s="569"/>
      <c r="M76" s="570"/>
      <c r="N76" s="571"/>
      <c r="O76" s="624">
        <f>F76</f>
        <v>5285000</v>
      </c>
      <c r="P76" s="625">
        <f t="shared" ref="P76:P77" si="30">O76/1000000</f>
        <v>5.2850000000000001</v>
      </c>
      <c r="Q76" s="626">
        <f>P76*86</f>
        <v>454.51</v>
      </c>
    </row>
    <row r="77" spans="1:19">
      <c r="A77" s="377" t="s">
        <v>408</v>
      </c>
      <c r="B77" s="339" t="s">
        <v>57</v>
      </c>
      <c r="C77" s="600">
        <v>10000</v>
      </c>
      <c r="D77" s="601">
        <f t="shared" si="23"/>
        <v>8.3810000000000002</v>
      </c>
      <c r="E77" s="602">
        <f t="shared" si="24"/>
        <v>8.6743349999999992</v>
      </c>
      <c r="F77" s="538">
        <f t="shared" si="25"/>
        <v>35000</v>
      </c>
      <c r="G77" s="539">
        <f t="shared" si="26"/>
        <v>3.5000000000000003E-2</v>
      </c>
      <c r="H77" s="540">
        <f t="shared" si="27"/>
        <v>3.0100000000000002</v>
      </c>
      <c r="I77" s="564">
        <f t="shared" si="28"/>
        <v>0.2857142857142857</v>
      </c>
      <c r="J77" s="565">
        <v>3.5</v>
      </c>
      <c r="K77" s="566">
        <f t="shared" si="29"/>
        <v>0.34700066345143465</v>
      </c>
      <c r="L77" s="569"/>
      <c r="M77" s="570"/>
      <c r="N77" s="570"/>
      <c r="O77" s="624">
        <f>F77</f>
        <v>35000</v>
      </c>
      <c r="P77" s="625">
        <f t="shared" si="30"/>
        <v>3.5000000000000003E-2</v>
      </c>
      <c r="Q77" s="626">
        <f>P77*86</f>
        <v>3.0100000000000002</v>
      </c>
    </row>
    <row r="78" spans="1:19">
      <c r="A78" s="380" t="s">
        <v>56</v>
      </c>
      <c r="B78" s="381"/>
      <c r="C78" s="603">
        <f t="shared" ref="C78:H78" si="31">SUM(C73:C77)</f>
        <v>23171316.42345782</v>
      </c>
      <c r="D78" s="603">
        <f t="shared" si="31"/>
        <v>19419.880294499999</v>
      </c>
      <c r="E78" s="603">
        <f t="shared" si="31"/>
        <v>20099.576104807496</v>
      </c>
      <c r="F78" s="541">
        <f t="shared" si="31"/>
        <v>81099607.482102379</v>
      </c>
      <c r="G78" s="541">
        <f t="shared" si="31"/>
        <v>81.099607482102371</v>
      </c>
      <c r="H78" s="541">
        <f t="shared" si="31"/>
        <v>6974.5662434608039</v>
      </c>
      <c r="I78" s="567"/>
      <c r="J78" s="547"/>
      <c r="K78" s="568"/>
      <c r="L78" s="596">
        <f>SUM(L73:L77)</f>
        <v>5703149.9821023745</v>
      </c>
      <c r="M78" s="596">
        <f t="shared" ref="M78:Q78" si="32">SUM(M73:M77)</f>
        <v>5.7031499821023743</v>
      </c>
      <c r="N78" s="596">
        <f t="shared" si="32"/>
        <v>490.47089846080416</v>
      </c>
      <c r="O78" s="627">
        <f t="shared" si="32"/>
        <v>75396457.5</v>
      </c>
      <c r="P78" s="627">
        <f t="shared" si="32"/>
        <v>75.396457499999997</v>
      </c>
      <c r="Q78" s="627">
        <f t="shared" si="32"/>
        <v>6484.0953449999997</v>
      </c>
    </row>
    <row r="79" spans="1:19">
      <c r="A79" s="91" t="s">
        <v>291</v>
      </c>
    </row>
    <row r="80" spans="1:19">
      <c r="A80" s="382" t="s">
        <v>293</v>
      </c>
      <c r="D80" t="s">
        <v>428</v>
      </c>
      <c r="E80" s="773">
        <f>E73+E74+E76+E77</f>
        <v>18686.118004807497</v>
      </c>
    </row>
    <row r="82" spans="1:10" ht="15.75">
      <c r="A82" s="66" t="s">
        <v>300</v>
      </c>
    </row>
    <row r="84" spans="1:10">
      <c r="A84" t="s">
        <v>329</v>
      </c>
      <c r="B84" s="383" t="s">
        <v>77</v>
      </c>
      <c r="C84" s="383" t="s">
        <v>299</v>
      </c>
      <c r="D84" s="376" t="s">
        <v>56</v>
      </c>
      <c r="E84" s="82" t="s">
        <v>332</v>
      </c>
    </row>
    <row r="85" spans="1:10">
      <c r="B85" s="384" t="s">
        <v>64</v>
      </c>
      <c r="C85" s="384" t="s">
        <v>64</v>
      </c>
      <c r="D85" s="384" t="s">
        <v>64</v>
      </c>
      <c r="E85" s="384" t="s">
        <v>53</v>
      </c>
    </row>
    <row r="86" spans="1:10">
      <c r="A86" s="385" t="s">
        <v>130</v>
      </c>
      <c r="B86" s="386">
        <f>O58/1000000</f>
        <v>134.53860244000001</v>
      </c>
      <c r="C86" s="386"/>
      <c r="D86" s="387">
        <f>B86+C86</f>
        <v>134.53860244000001</v>
      </c>
      <c r="E86" s="388">
        <f>D86*86</f>
        <v>11570.319809840001</v>
      </c>
      <c r="F86" s="54"/>
    </row>
    <row r="87" spans="1:10">
      <c r="A87" s="389" t="s">
        <v>20</v>
      </c>
      <c r="B87" s="31">
        <f>O60/1000000</f>
        <v>58.673462086800001</v>
      </c>
      <c r="C87" s="31">
        <f>M78</f>
        <v>5.7031499821023743</v>
      </c>
      <c r="D87" s="37">
        <f t="shared" ref="D87:D88" si="33">B87+C87</f>
        <v>64.376612068902375</v>
      </c>
      <c r="E87" s="390">
        <f t="shared" ref="E87:E88" si="34">D87*86</f>
        <v>5536.3886379256046</v>
      </c>
      <c r="F87" s="54"/>
      <c r="H87">
        <f>Table4[[#This Row],[PUC]]*86</f>
        <v>5045.9177394648004</v>
      </c>
    </row>
    <row r="88" spans="1:10">
      <c r="A88" s="391" t="s">
        <v>97</v>
      </c>
      <c r="B88" s="392">
        <f>O63/1000000</f>
        <v>207.1061687532</v>
      </c>
      <c r="C88" s="392">
        <f>P78</f>
        <v>75.396457499999997</v>
      </c>
      <c r="D88" s="393">
        <f t="shared" si="33"/>
        <v>282.50262625319999</v>
      </c>
      <c r="E88" s="394">
        <f t="shared" si="34"/>
        <v>24295.2258577752</v>
      </c>
      <c r="F88" s="54"/>
      <c r="H88">
        <f>Table4[[#This Row],[PUC]]*86</f>
        <v>17811.130512775198</v>
      </c>
      <c r="J88">
        <f>Table4[[#This Row],[PUC]]*86</f>
        <v>17811.130512775198</v>
      </c>
    </row>
    <row r="89" spans="1:10">
      <c r="A89" s="97" t="s">
        <v>56</v>
      </c>
      <c r="B89" s="462">
        <f>SUM(B86:B88)</f>
        <v>400.31823328000002</v>
      </c>
      <c r="C89" s="462">
        <f>SUM(C86:C88)</f>
        <v>81.099607482102371</v>
      </c>
      <c r="D89" s="462">
        <f>SUM(D86:D88)</f>
        <v>481.4178407621024</v>
      </c>
      <c r="E89" s="463">
        <f>SUM(E86:E88)</f>
        <v>41401.93430554081</v>
      </c>
      <c r="F89" s="54"/>
      <c r="G89" s="2"/>
      <c r="H89" s="2"/>
      <c r="I89" s="2"/>
      <c r="J89" s="2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2"/>
    </row>
    <row r="92" spans="1:10">
      <c r="A92" s="18"/>
      <c r="B92" s="18"/>
      <c r="D92" s="11"/>
      <c r="E92" s="11">
        <f>B87*86</f>
        <v>5045.9177394648004</v>
      </c>
      <c r="F92" s="11"/>
      <c r="G92" s="11"/>
      <c r="H92" s="11"/>
      <c r="I92" s="11"/>
      <c r="J92" s="11"/>
    </row>
    <row r="93" spans="1:10">
      <c r="A93" s="18"/>
      <c r="B93" s="18"/>
      <c r="D93" s="11"/>
      <c r="E93" s="11"/>
      <c r="F93" s="11"/>
      <c r="G93" s="11"/>
      <c r="H93" s="11"/>
      <c r="I93" s="11"/>
      <c r="J93" s="11"/>
    </row>
    <row r="94" spans="1:10">
      <c r="A94" s="18"/>
      <c r="B94" s="18"/>
      <c r="D94" s="11"/>
      <c r="E94" s="11"/>
      <c r="F94" s="11"/>
      <c r="G94" s="11"/>
      <c r="H94" s="11"/>
      <c r="I94" s="11"/>
      <c r="J94" s="11"/>
    </row>
    <row r="95" spans="1:10">
      <c r="A95" s="18"/>
      <c r="B95" s="18"/>
      <c r="D95" s="11"/>
      <c r="E95" s="11"/>
      <c r="F95" s="11"/>
      <c r="G95" s="11"/>
      <c r="H95" s="11"/>
      <c r="I95" s="11"/>
      <c r="J95" s="11"/>
    </row>
    <row r="96" spans="1:10">
      <c r="A96" s="18"/>
      <c r="B96" s="18"/>
      <c r="D96" s="11"/>
      <c r="E96" s="11"/>
      <c r="F96" s="11"/>
      <c r="G96" s="11"/>
      <c r="H96" s="11"/>
      <c r="I96" s="11"/>
      <c r="J96" s="11"/>
    </row>
    <row r="97" spans="1:10">
      <c r="D97" s="11"/>
      <c r="E97" s="11"/>
      <c r="F97" s="11"/>
      <c r="G97" s="11"/>
      <c r="H97" s="11"/>
      <c r="I97" s="11"/>
      <c r="J97" s="11"/>
    </row>
    <row r="98" spans="1:10">
      <c r="A98" s="23"/>
      <c r="B98" s="23"/>
      <c r="C98" s="23"/>
      <c r="D98" s="67"/>
      <c r="E98" s="67"/>
      <c r="F98" s="67"/>
      <c r="G98" s="67"/>
      <c r="H98" s="67"/>
      <c r="I98" s="67"/>
      <c r="J98" s="67"/>
    </row>
    <row r="108" spans="1:10">
      <c r="C108" s="47"/>
      <c r="G108" s="11"/>
    </row>
  </sheetData>
  <mergeCells count="24">
    <mergeCell ref="F1:G1"/>
    <mergeCell ref="C71:E71"/>
    <mergeCell ref="F71:H71"/>
    <mergeCell ref="I71:K71"/>
    <mergeCell ref="L71:N71"/>
    <mergeCell ref="C4:E4"/>
    <mergeCell ref="F4:H4"/>
    <mergeCell ref="I4:K4"/>
    <mergeCell ref="F20:H20"/>
    <mergeCell ref="I20:K20"/>
    <mergeCell ref="L20:N20"/>
    <mergeCell ref="F16:H16"/>
    <mergeCell ref="O16:Q16"/>
    <mergeCell ref="L4:N4"/>
    <mergeCell ref="H60:K60"/>
    <mergeCell ref="O71:Q71"/>
    <mergeCell ref="H1:L1"/>
    <mergeCell ref="O20:Q20"/>
    <mergeCell ref="O4:Q4"/>
    <mergeCell ref="H62:K62"/>
    <mergeCell ref="H64:I64"/>
    <mergeCell ref="H58:I58"/>
    <mergeCell ref="I16:K16"/>
    <mergeCell ref="L16:N16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6"/>
  <sheetViews>
    <sheetView workbookViewId="0">
      <selection activeCell="L61" sqref="L61"/>
    </sheetView>
  </sheetViews>
  <sheetFormatPr defaultRowHeight="15"/>
  <cols>
    <col min="1" max="1" width="15" customWidth="1"/>
    <col min="4" max="4" width="10.28515625" customWidth="1"/>
    <col min="5" max="5" width="11.28515625" customWidth="1"/>
    <col min="6" max="6" width="13.28515625" customWidth="1"/>
    <col min="7" max="7" width="14.85546875" customWidth="1"/>
    <col min="8" max="8" width="12.7109375" customWidth="1"/>
    <col min="9" max="9" width="11.85546875" customWidth="1"/>
    <col min="10" max="10" width="11.7109375" customWidth="1"/>
    <col min="11" max="11" width="10.42578125" customWidth="1"/>
    <col min="12" max="12" width="10.85546875" customWidth="1"/>
    <col min="13" max="13" width="13" customWidth="1"/>
    <col min="15" max="15" width="13.28515625" customWidth="1"/>
    <col min="16" max="16" width="9.5703125" bestFit="1" customWidth="1"/>
    <col min="24" max="24" width="11.5703125" customWidth="1"/>
  </cols>
  <sheetData>
    <row r="1" spans="1:18" ht="18.75">
      <c r="D1" s="734" t="s">
        <v>368</v>
      </c>
    </row>
    <row r="3" spans="1:18">
      <c r="A3" s="668" t="s">
        <v>172</v>
      </c>
    </row>
    <row r="4" spans="1:18">
      <c r="A4" s="76" t="s">
        <v>340</v>
      </c>
    </row>
    <row r="5" spans="1:18">
      <c r="A5" s="76"/>
      <c r="Q5" s="19"/>
      <c r="R5" s="19"/>
    </row>
    <row r="6" spans="1:18">
      <c r="A6" s="77"/>
      <c r="B6" s="733" t="s">
        <v>173</v>
      </c>
      <c r="C6" s="78"/>
      <c r="D6" s="78"/>
      <c r="G6" s="662" t="s">
        <v>140</v>
      </c>
      <c r="H6" s="667" t="s">
        <v>366</v>
      </c>
      <c r="I6" s="98"/>
      <c r="J6" s="98"/>
      <c r="K6" s="98"/>
      <c r="L6" s="98"/>
      <c r="M6" s="98"/>
      <c r="N6" s="98"/>
      <c r="O6" s="98"/>
      <c r="P6" s="663"/>
      <c r="Q6" s="19"/>
      <c r="R6" s="19"/>
    </row>
    <row r="7" spans="1:18">
      <c r="B7" s="733" t="s">
        <v>174</v>
      </c>
      <c r="G7" s="670" t="s">
        <v>341</v>
      </c>
      <c r="H7" s="671"/>
      <c r="I7" s="671"/>
      <c r="J7" s="671"/>
      <c r="K7" s="671"/>
      <c r="L7" s="671"/>
      <c r="M7" s="671"/>
      <c r="N7" s="671"/>
      <c r="O7" s="671"/>
      <c r="P7" s="678"/>
      <c r="Q7" s="375"/>
      <c r="R7" s="19"/>
    </row>
    <row r="8" spans="1:18">
      <c r="G8" s="670" t="s">
        <v>141</v>
      </c>
      <c r="H8" s="671"/>
      <c r="I8" s="671"/>
      <c r="J8" s="671"/>
      <c r="K8" s="671"/>
      <c r="L8" s="671"/>
      <c r="M8" s="671"/>
      <c r="N8" s="671"/>
      <c r="O8" s="671"/>
      <c r="P8" s="678"/>
      <c r="Q8" s="671"/>
      <c r="R8" s="19"/>
    </row>
    <row r="9" spans="1:18">
      <c r="A9" s="732" t="s">
        <v>369</v>
      </c>
      <c r="B9" s="853">
        <v>2002</v>
      </c>
      <c r="C9" s="854"/>
      <c r="D9" s="855">
        <v>2010</v>
      </c>
      <c r="E9" s="856"/>
      <c r="G9" s="670" t="s">
        <v>137</v>
      </c>
      <c r="H9" s="687">
        <v>1</v>
      </c>
      <c r="I9" s="671" t="s">
        <v>133</v>
      </c>
      <c r="J9" s="692" t="s">
        <v>142</v>
      </c>
      <c r="K9" s="375"/>
      <c r="L9" s="19"/>
      <c r="M9" s="672" t="s">
        <v>143</v>
      </c>
      <c r="N9" s="375"/>
      <c r="O9" s="671">
        <f>2.5*365</f>
        <v>912.5</v>
      </c>
      <c r="P9" s="678" t="s">
        <v>133</v>
      </c>
      <c r="Q9" s="671"/>
      <c r="R9" s="691"/>
    </row>
    <row r="10" spans="1:18">
      <c r="A10" s="378" t="s">
        <v>146</v>
      </c>
      <c r="B10" s="713">
        <v>18211</v>
      </c>
      <c r="C10" s="714">
        <f>B10/$B$18</f>
        <v>0.86996608226245642</v>
      </c>
      <c r="D10" s="721">
        <v>22650</v>
      </c>
      <c r="E10" s="722">
        <f t="shared" ref="E10:E18" si="0">D10/$D$18</f>
        <v>0.91441259588211543</v>
      </c>
      <c r="G10" s="670" t="s">
        <v>138</v>
      </c>
      <c r="H10" s="687">
        <v>1</v>
      </c>
      <c r="I10" s="671" t="s">
        <v>133</v>
      </c>
      <c r="J10" s="375" t="s">
        <v>349</v>
      </c>
      <c r="K10" s="375"/>
      <c r="L10" s="375" t="s">
        <v>350</v>
      </c>
      <c r="M10" s="671"/>
      <c r="N10" s="673"/>
      <c r="O10" s="671">
        <f>O9/1000</f>
        <v>0.91249999999999998</v>
      </c>
      <c r="P10" s="678" t="s">
        <v>348</v>
      </c>
      <c r="Q10" s="671"/>
      <c r="R10" s="19"/>
    </row>
    <row r="11" spans="1:18">
      <c r="A11" s="336" t="s">
        <v>93</v>
      </c>
      <c r="B11" s="713">
        <v>1556</v>
      </c>
      <c r="C11" s="714">
        <f>B11/$B$18</f>
        <v>7.4332393827927196E-2</v>
      </c>
      <c r="D11" s="721">
        <v>1052</v>
      </c>
      <c r="E11" s="722">
        <f t="shared" si="0"/>
        <v>4.2470730722648363E-2</v>
      </c>
      <c r="G11" s="670" t="s">
        <v>139</v>
      </c>
      <c r="H11" s="688">
        <v>0.5</v>
      </c>
      <c r="I11" s="671" t="s">
        <v>133</v>
      </c>
      <c r="J11" s="19"/>
      <c r="K11" s="671"/>
      <c r="L11" s="676"/>
      <c r="M11" s="671"/>
      <c r="N11" s="671"/>
      <c r="O11" s="671">
        <f>O10/0.5</f>
        <v>1.825</v>
      </c>
      <c r="P11" s="678" t="s">
        <v>135</v>
      </c>
      <c r="Q11" s="671"/>
      <c r="R11" s="691"/>
    </row>
    <row r="12" spans="1:18">
      <c r="A12" s="336" t="s">
        <v>147</v>
      </c>
      <c r="B12" s="713"/>
      <c r="C12" s="714"/>
      <c r="D12" s="721">
        <v>215</v>
      </c>
      <c r="E12" s="722">
        <f t="shared" si="0"/>
        <v>8.6798546628986673E-3</v>
      </c>
      <c r="G12" s="689"/>
      <c r="H12" s="688">
        <f>SUM(H9:H11)</f>
        <v>2.5</v>
      </c>
      <c r="I12" s="669" t="s">
        <v>133</v>
      </c>
      <c r="J12" s="675" t="s">
        <v>351</v>
      </c>
      <c r="K12" s="690"/>
      <c r="L12" s="669"/>
      <c r="M12" s="675"/>
      <c r="N12" s="669"/>
      <c r="O12" s="711">
        <f>O11*0.233</f>
        <v>0.42522500000000002</v>
      </c>
      <c r="P12" s="693" t="s">
        <v>354</v>
      </c>
      <c r="Q12" s="671"/>
      <c r="R12" s="691"/>
    </row>
    <row r="13" spans="1:18">
      <c r="A13" s="336" t="s">
        <v>54</v>
      </c>
      <c r="B13" s="713">
        <v>432</v>
      </c>
      <c r="C13" s="714">
        <f t="shared" ref="C13:C18" si="1">B13/$B$18</f>
        <v>2.0637271294128887E-2</v>
      </c>
      <c r="D13" s="721">
        <v>19</v>
      </c>
      <c r="E13" s="722">
        <f t="shared" si="0"/>
        <v>7.6705692369802183E-4</v>
      </c>
      <c r="Q13" s="671"/>
      <c r="R13" s="19"/>
    </row>
    <row r="14" spans="1:18">
      <c r="A14" s="729" t="s">
        <v>134</v>
      </c>
      <c r="B14" s="715">
        <v>192</v>
      </c>
      <c r="C14" s="716">
        <f t="shared" si="1"/>
        <v>9.1721205751683944E-3</v>
      </c>
      <c r="D14" s="723">
        <v>125</v>
      </c>
      <c r="E14" s="716">
        <f t="shared" si="0"/>
        <v>5.0464271295922484E-3</v>
      </c>
      <c r="G14" s="662" t="s">
        <v>144</v>
      </c>
      <c r="H14" s="667" t="s">
        <v>367</v>
      </c>
      <c r="I14" s="98"/>
      <c r="J14" s="98"/>
      <c r="K14" s="98"/>
      <c r="L14" s="98"/>
      <c r="M14" s="98"/>
      <c r="N14" s="98"/>
      <c r="O14" s="98"/>
      <c r="P14" s="663"/>
      <c r="Q14" s="375"/>
      <c r="R14" s="19"/>
    </row>
    <row r="15" spans="1:18">
      <c r="A15" s="729" t="s">
        <v>136</v>
      </c>
      <c r="B15" s="715">
        <v>22</v>
      </c>
      <c r="C15" s="716">
        <f t="shared" si="1"/>
        <v>1.0509721492380452E-3</v>
      </c>
      <c r="D15" s="723">
        <v>9</v>
      </c>
      <c r="E15" s="724">
        <f t="shared" si="0"/>
        <v>3.633427533306419E-4</v>
      </c>
      <c r="G15" s="670" t="s">
        <v>342</v>
      </c>
      <c r="H15" s="671"/>
      <c r="I15" s="375"/>
      <c r="J15" s="671"/>
      <c r="K15" s="671"/>
      <c r="L15" s="671"/>
      <c r="M15" s="671"/>
      <c r="N15" s="671"/>
      <c r="O15" s="375"/>
      <c r="P15" s="102"/>
      <c r="Q15" s="19"/>
      <c r="R15" s="19"/>
    </row>
    <row r="16" spans="1:18">
      <c r="A16" s="336" t="s">
        <v>148</v>
      </c>
      <c r="B16" s="713">
        <v>197</v>
      </c>
      <c r="C16" s="714">
        <f t="shared" si="1"/>
        <v>9.4109778818134045E-3</v>
      </c>
      <c r="D16" s="721">
        <v>257</v>
      </c>
      <c r="E16" s="722">
        <f t="shared" si="0"/>
        <v>1.0375454178441663E-2</v>
      </c>
      <c r="G16" s="670" t="s">
        <v>141</v>
      </c>
      <c r="H16" s="671"/>
      <c r="I16" s="671"/>
      <c r="J16" s="671"/>
      <c r="K16" s="375"/>
      <c r="L16" s="375"/>
      <c r="M16" s="375"/>
      <c r="N16" s="375"/>
      <c r="O16" s="375"/>
      <c r="P16" s="102"/>
      <c r="Q16" s="19"/>
    </row>
    <row r="17" spans="1:18">
      <c r="A17" s="730" t="s">
        <v>149</v>
      </c>
      <c r="B17" s="717">
        <v>323</v>
      </c>
      <c r="C17" s="718">
        <f t="shared" si="1"/>
        <v>1.5430182009267664E-2</v>
      </c>
      <c r="D17" s="725">
        <v>443</v>
      </c>
      <c r="E17" s="726">
        <f t="shared" si="0"/>
        <v>1.7884537747274928E-2</v>
      </c>
      <c r="G17" s="670" t="s">
        <v>137</v>
      </c>
      <c r="H17" s="687">
        <v>0.5</v>
      </c>
      <c r="I17" s="671" t="s">
        <v>133</v>
      </c>
      <c r="J17" s="375" t="s">
        <v>142</v>
      </c>
      <c r="K17" s="375"/>
      <c r="L17" s="19"/>
      <c r="M17" s="672" t="s">
        <v>145</v>
      </c>
      <c r="N17" s="375"/>
      <c r="O17" s="671">
        <f>1.3*365</f>
        <v>474.5</v>
      </c>
      <c r="P17" s="678" t="s">
        <v>343</v>
      </c>
      <c r="Q17" s="19"/>
    </row>
    <row r="18" spans="1:18">
      <c r="A18" s="731" t="s">
        <v>56</v>
      </c>
      <c r="B18" s="719">
        <f>SUM(B10:B17)</f>
        <v>20933</v>
      </c>
      <c r="C18" s="720">
        <f t="shared" si="1"/>
        <v>1</v>
      </c>
      <c r="D18" s="727">
        <f>SUM(D10:D17)</f>
        <v>24770</v>
      </c>
      <c r="E18" s="728">
        <f t="shared" si="0"/>
        <v>1</v>
      </c>
      <c r="G18" s="670" t="s">
        <v>138</v>
      </c>
      <c r="H18" s="687">
        <v>0.5</v>
      </c>
      <c r="I18" s="671" t="s">
        <v>133</v>
      </c>
      <c r="J18" s="671" t="s">
        <v>352</v>
      </c>
      <c r="K18" s="19"/>
      <c r="L18" s="19"/>
      <c r="M18" s="19"/>
      <c r="N18" s="19"/>
      <c r="O18" s="140">
        <f>O17/1000</f>
        <v>0.47449999999999998</v>
      </c>
      <c r="P18" s="102" t="s">
        <v>348</v>
      </c>
      <c r="Q18" s="19"/>
    </row>
    <row r="19" spans="1:18">
      <c r="A19" s="90" t="s">
        <v>169</v>
      </c>
      <c r="G19" s="670" t="s">
        <v>139</v>
      </c>
      <c r="H19" s="688">
        <v>0.3</v>
      </c>
      <c r="I19" s="671" t="s">
        <v>133</v>
      </c>
      <c r="J19" s="375" t="s">
        <v>353</v>
      </c>
      <c r="K19" s="375"/>
      <c r="L19" s="375"/>
      <c r="M19" s="375"/>
      <c r="N19" s="375"/>
      <c r="O19" s="712">
        <f>0.69*O18</f>
        <v>0.32740499999999995</v>
      </c>
      <c r="P19" s="693" t="s">
        <v>354</v>
      </c>
      <c r="Q19" s="19"/>
    </row>
    <row r="20" spans="1:18">
      <c r="A20" s="76" t="s">
        <v>170</v>
      </c>
      <c r="G20" s="689"/>
      <c r="H20" s="688">
        <f>SUM(H17:H19)</f>
        <v>1.3</v>
      </c>
      <c r="I20" s="669" t="s">
        <v>133</v>
      </c>
      <c r="J20" s="49"/>
      <c r="K20" s="675"/>
      <c r="L20" s="675"/>
      <c r="M20" s="669"/>
      <c r="N20" s="694"/>
      <c r="O20" s="669"/>
      <c r="P20" s="664"/>
      <c r="Q20" s="19"/>
    </row>
    <row r="21" spans="1:18">
      <c r="A21" s="76" t="s">
        <v>171</v>
      </c>
    </row>
    <row r="22" spans="1:18">
      <c r="A22" s="76"/>
      <c r="G22" s="662" t="s">
        <v>40</v>
      </c>
      <c r="H22" s="98"/>
      <c r="I22" s="667" t="s">
        <v>160</v>
      </c>
      <c r="J22" s="98"/>
      <c r="K22" s="98"/>
      <c r="L22" s="98"/>
      <c r="M22" s="663"/>
    </row>
    <row r="23" spans="1:18">
      <c r="A23" s="76"/>
      <c r="G23" s="665" t="s">
        <v>161</v>
      </c>
      <c r="H23" s="375"/>
      <c r="I23" s="375"/>
      <c r="J23" s="375"/>
      <c r="K23" s="375"/>
      <c r="L23" s="375"/>
      <c r="M23" s="677"/>
    </row>
    <row r="24" spans="1:18">
      <c r="C24" s="605"/>
      <c r="G24" s="666" t="s">
        <v>142</v>
      </c>
      <c r="H24" s="375"/>
      <c r="I24" s="375"/>
      <c r="J24" s="375" t="s">
        <v>162</v>
      </c>
      <c r="K24" s="375"/>
      <c r="L24" s="375">
        <f>0.5*365</f>
        <v>182.5</v>
      </c>
      <c r="M24" s="677" t="s">
        <v>359</v>
      </c>
    </row>
    <row r="25" spans="1:18">
      <c r="B25" s="604"/>
      <c r="D25" s="605"/>
      <c r="F25" s="74"/>
      <c r="G25" s="666" t="s">
        <v>357</v>
      </c>
      <c r="H25" s="375"/>
      <c r="I25" s="375" t="s">
        <v>358</v>
      </c>
      <c r="J25" s="375"/>
      <c r="K25" s="19"/>
      <c r="L25" s="140">
        <f>L24*0.784</f>
        <v>143.08000000000001</v>
      </c>
      <c r="M25" s="677" t="s">
        <v>361</v>
      </c>
      <c r="N25" s="375"/>
      <c r="O25" s="375"/>
      <c r="P25" s="19"/>
    </row>
    <row r="26" spans="1:18">
      <c r="C26" s="606"/>
      <c r="E26" s="606"/>
      <c r="F26" s="375"/>
      <c r="G26" s="674" t="s">
        <v>360</v>
      </c>
      <c r="H26" s="675"/>
      <c r="I26" s="675"/>
      <c r="J26" s="675"/>
      <c r="K26" s="49"/>
      <c r="L26" s="712">
        <f>L25/1000*1.045</f>
        <v>0.1495186</v>
      </c>
      <c r="M26" s="705" t="s">
        <v>354</v>
      </c>
      <c r="N26" s="375"/>
      <c r="O26" s="375"/>
      <c r="P26" s="375"/>
      <c r="Q26" s="375"/>
      <c r="R26" s="375"/>
    </row>
    <row r="27" spans="1:18">
      <c r="C27" s="606"/>
      <c r="E27" s="606"/>
      <c r="F27" s="375"/>
      <c r="G27" s="375"/>
      <c r="H27" s="375"/>
      <c r="I27" s="375"/>
      <c r="J27" s="375"/>
      <c r="K27" s="19"/>
      <c r="L27" s="375"/>
      <c r="M27" s="692"/>
      <c r="N27" s="375"/>
      <c r="O27" s="375"/>
      <c r="P27" s="375"/>
      <c r="Q27" s="375"/>
      <c r="R27" s="375"/>
    </row>
    <row r="28" spans="1:18">
      <c r="C28" s="606"/>
      <c r="E28" s="606"/>
      <c r="F28" s="375"/>
      <c r="G28" s="375"/>
      <c r="H28" s="375"/>
      <c r="I28" s="375"/>
      <c r="J28" s="375"/>
      <c r="K28" s="19"/>
      <c r="L28" s="375"/>
      <c r="M28" s="692"/>
      <c r="N28" s="375"/>
      <c r="O28" s="375"/>
      <c r="P28" s="375"/>
      <c r="Q28" s="375"/>
      <c r="R28" s="375"/>
    </row>
    <row r="29" spans="1:18"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5"/>
      <c r="R29" s="375"/>
    </row>
    <row r="30" spans="1:18" ht="42.75" customHeight="1">
      <c r="A30" s="682" t="s">
        <v>344</v>
      </c>
      <c r="B30" s="682" t="s">
        <v>345</v>
      </c>
      <c r="C30" s="682" t="s">
        <v>347</v>
      </c>
      <c r="D30" s="682" t="s">
        <v>346</v>
      </c>
      <c r="E30" s="703" t="s">
        <v>355</v>
      </c>
      <c r="F30" s="703" t="s">
        <v>365</v>
      </c>
      <c r="G30" s="704" t="s">
        <v>356</v>
      </c>
      <c r="H30" s="704" t="s">
        <v>364</v>
      </c>
      <c r="I30" s="706" t="s">
        <v>362</v>
      </c>
      <c r="J30" s="706" t="s">
        <v>363</v>
      </c>
      <c r="K30" s="740" t="s">
        <v>379</v>
      </c>
      <c r="L30" s="740" t="s">
        <v>390</v>
      </c>
      <c r="M30" s="706" t="s">
        <v>407</v>
      </c>
      <c r="N30" s="375"/>
      <c r="O30" s="375"/>
      <c r="P30" s="375"/>
      <c r="Q30" s="375"/>
      <c r="R30" s="375"/>
    </row>
    <row r="31" spans="1:18">
      <c r="A31" s="679">
        <v>2010</v>
      </c>
      <c r="B31" s="685">
        <v>89770</v>
      </c>
      <c r="C31" s="681">
        <f>B31/D31</f>
        <v>3.6241421073879692</v>
      </c>
      <c r="D31" s="685">
        <v>24770</v>
      </c>
      <c r="E31" s="695">
        <f>0.5%*D31</f>
        <v>123.85000000000001</v>
      </c>
      <c r="F31" s="697">
        <f t="shared" ref="F31:F40" si="2">E31*$O$12</f>
        <v>52.664116250000006</v>
      </c>
      <c r="G31" s="699">
        <f>0.04%*D31</f>
        <v>9.9080000000000013</v>
      </c>
      <c r="H31" s="701">
        <f t="shared" ref="H31:H40" si="3">G31*$O$19</f>
        <v>3.2439287399999999</v>
      </c>
      <c r="I31" s="707">
        <f>0.1%*D31</f>
        <v>24.77</v>
      </c>
      <c r="J31" s="708">
        <f t="shared" ref="J31:J40" si="4">I31*$L$26</f>
        <v>3.7035757220000001</v>
      </c>
      <c r="K31" s="741">
        <f>16.7%*D31</f>
        <v>4136.5899999999992</v>
      </c>
      <c r="L31" s="741">
        <f t="shared" ref="L31:L40" si="5">K31*$G$62</f>
        <v>71.618691105378787</v>
      </c>
      <c r="M31" s="773">
        <f>F31+H31</f>
        <v>55.908044990000008</v>
      </c>
    </row>
    <row r="32" spans="1:18">
      <c r="A32" s="679">
        <v>2011</v>
      </c>
      <c r="B32" s="685">
        <v>87441</v>
      </c>
      <c r="C32" s="681">
        <v>3.7</v>
      </c>
      <c r="D32" s="685">
        <f>B32/C32</f>
        <v>23632.7027027027</v>
      </c>
      <c r="E32" s="696">
        <f t="shared" ref="E32:E40" si="6">0.5%*D32</f>
        <v>118.16351351351351</v>
      </c>
      <c r="F32" s="698">
        <f t="shared" si="2"/>
        <v>50.246080033783784</v>
      </c>
      <c r="G32" s="700">
        <f t="shared" ref="G32:G40" si="7">0.04%*D32</f>
        <v>9.4530810810810806</v>
      </c>
      <c r="H32" s="702">
        <f t="shared" si="3"/>
        <v>3.0949860113513505</v>
      </c>
      <c r="I32" s="709">
        <f t="shared" ref="I32:I40" si="8">0.1%*D32</f>
        <v>23.632702702702701</v>
      </c>
      <c r="J32" s="710">
        <f t="shared" si="4"/>
        <v>3.5335286223243241</v>
      </c>
      <c r="K32" s="742">
        <f t="shared" ref="K32:K40" si="9">16.7%*D32</f>
        <v>3946.6613513513503</v>
      </c>
      <c r="L32" s="742">
        <f t="shared" si="5"/>
        <v>68.330368786843579</v>
      </c>
      <c r="M32" s="773">
        <f t="shared" ref="M32:M40" si="10">F32+H32</f>
        <v>53.341066045135136</v>
      </c>
    </row>
    <row r="33" spans="1:17">
      <c r="A33" s="679">
        <v>2012</v>
      </c>
      <c r="B33" s="685">
        <v>88303</v>
      </c>
      <c r="C33" s="681">
        <v>3.7</v>
      </c>
      <c r="D33" s="685">
        <f t="shared" ref="D33:D40" si="11">B33/C33</f>
        <v>23865.675675675673</v>
      </c>
      <c r="E33" s="696">
        <f t="shared" si="6"/>
        <v>119.32837837837837</v>
      </c>
      <c r="F33" s="698">
        <f t="shared" si="2"/>
        <v>50.741409695945947</v>
      </c>
      <c r="G33" s="700">
        <f t="shared" si="7"/>
        <v>9.54627027027027</v>
      </c>
      <c r="H33" s="702">
        <f t="shared" si="3"/>
        <v>3.1254966178378374</v>
      </c>
      <c r="I33" s="709">
        <f t="shared" si="8"/>
        <v>23.865675675675675</v>
      </c>
      <c r="J33" s="710">
        <f t="shared" si="4"/>
        <v>3.5683624150810811</v>
      </c>
      <c r="K33" s="742">
        <f t="shared" si="9"/>
        <v>3985.567837837837</v>
      </c>
      <c r="L33" s="742">
        <f t="shared" si="5"/>
        <v>69.003974737075836</v>
      </c>
      <c r="M33" s="773">
        <f t="shared" si="10"/>
        <v>53.866906313783787</v>
      </c>
    </row>
    <row r="34" spans="1:17">
      <c r="A34" s="679">
        <v>2013</v>
      </c>
      <c r="B34" s="685">
        <v>89949</v>
      </c>
      <c r="C34" s="681">
        <v>3.7</v>
      </c>
      <c r="D34" s="685">
        <f t="shared" si="11"/>
        <v>24310.54054054054</v>
      </c>
      <c r="E34" s="696">
        <f t="shared" si="6"/>
        <v>121.5527027027027</v>
      </c>
      <c r="F34" s="698">
        <f t="shared" si="2"/>
        <v>51.687248006756761</v>
      </c>
      <c r="G34" s="700">
        <f t="shared" si="7"/>
        <v>9.7242162162162167</v>
      </c>
      <c r="H34" s="702">
        <f t="shared" si="3"/>
        <v>3.1837570102702699</v>
      </c>
      <c r="I34" s="709">
        <f t="shared" si="8"/>
        <v>24.31054054054054</v>
      </c>
      <c r="J34" s="710">
        <f t="shared" si="4"/>
        <v>3.6348779868648649</v>
      </c>
      <c r="K34" s="742">
        <f t="shared" si="9"/>
        <v>4059.8602702702697</v>
      </c>
      <c r="L34" s="742">
        <f t="shared" si="5"/>
        <v>70.290233894943938</v>
      </c>
      <c r="M34" s="773">
        <f t="shared" si="10"/>
        <v>54.871005017027031</v>
      </c>
    </row>
    <row r="35" spans="1:17">
      <c r="A35" s="679">
        <v>2014</v>
      </c>
      <c r="B35" s="684">
        <v>91359</v>
      </c>
      <c r="C35" s="681">
        <v>3.7</v>
      </c>
      <c r="D35" s="685">
        <f t="shared" si="11"/>
        <v>24691.62162162162</v>
      </c>
      <c r="E35" s="696">
        <f t="shared" si="6"/>
        <v>123.45810810810811</v>
      </c>
      <c r="F35" s="698">
        <f t="shared" si="2"/>
        <v>52.497474020270275</v>
      </c>
      <c r="G35" s="700">
        <f t="shared" si="7"/>
        <v>9.8766486486486489</v>
      </c>
      <c r="H35" s="702">
        <f t="shared" si="3"/>
        <v>3.2336641508108102</v>
      </c>
      <c r="I35" s="709">
        <f t="shared" si="8"/>
        <v>24.691621621621621</v>
      </c>
      <c r="J35" s="710">
        <f t="shared" si="4"/>
        <v>3.6918566965945945</v>
      </c>
      <c r="K35" s="742">
        <f t="shared" si="9"/>
        <v>4123.5008108108104</v>
      </c>
      <c r="L35" s="742">
        <f t="shared" si="5"/>
        <v>71.392071934186973</v>
      </c>
      <c r="M35" s="773">
        <f t="shared" si="10"/>
        <v>55.731138171081085</v>
      </c>
    </row>
    <row r="36" spans="1:17">
      <c r="A36" s="679">
        <v>2015</v>
      </c>
      <c r="B36" s="684">
        <v>93419</v>
      </c>
      <c r="C36" s="681">
        <f>B36/D36</f>
        <v>3.7714574081550261</v>
      </c>
      <c r="D36" s="683">
        <v>24770</v>
      </c>
      <c r="E36" s="696">
        <f t="shared" si="6"/>
        <v>123.85000000000001</v>
      </c>
      <c r="F36" s="698">
        <f t="shared" si="2"/>
        <v>52.664116250000006</v>
      </c>
      <c r="G36" s="700">
        <f t="shared" si="7"/>
        <v>9.9080000000000013</v>
      </c>
      <c r="H36" s="702">
        <f t="shared" si="3"/>
        <v>3.2439287399999999</v>
      </c>
      <c r="I36" s="709">
        <f t="shared" si="8"/>
        <v>24.77</v>
      </c>
      <c r="J36" s="710">
        <f t="shared" si="4"/>
        <v>3.7035757220000001</v>
      </c>
      <c r="K36" s="742">
        <f t="shared" si="9"/>
        <v>4136.5899999999992</v>
      </c>
      <c r="L36" s="742">
        <f t="shared" si="5"/>
        <v>71.618691105378787</v>
      </c>
      <c r="M36" s="773">
        <f t="shared" si="10"/>
        <v>55.908044990000008</v>
      </c>
    </row>
    <row r="37" spans="1:17">
      <c r="A37" s="679">
        <v>2016</v>
      </c>
      <c r="B37" s="684">
        <v>94597.8</v>
      </c>
      <c r="C37" s="686">
        <v>3.8</v>
      </c>
      <c r="D37" s="680">
        <f t="shared" si="11"/>
        <v>24894.157894736843</v>
      </c>
      <c r="E37" s="696">
        <f t="shared" si="6"/>
        <v>124.47078947368422</v>
      </c>
      <c r="F37" s="698">
        <f t="shared" si="2"/>
        <v>52.928091453947374</v>
      </c>
      <c r="G37" s="700">
        <f t="shared" si="7"/>
        <v>9.9576631578947374</v>
      </c>
      <c r="H37" s="702">
        <f t="shared" si="3"/>
        <v>3.2601887062105259</v>
      </c>
      <c r="I37" s="709">
        <f t="shared" si="8"/>
        <v>24.894157894736843</v>
      </c>
      <c r="J37" s="710">
        <f t="shared" si="4"/>
        <v>3.7221396366000001</v>
      </c>
      <c r="K37" s="742">
        <f t="shared" si="9"/>
        <v>4157.324368421052</v>
      </c>
      <c r="L37" s="742">
        <f t="shared" si="5"/>
        <v>71.977674791751511</v>
      </c>
      <c r="M37" s="773">
        <f t="shared" si="10"/>
        <v>56.188280160157902</v>
      </c>
    </row>
    <row r="38" spans="1:17">
      <c r="A38" s="679">
        <v>2017</v>
      </c>
      <c r="B38" s="684">
        <v>95800</v>
      </c>
      <c r="C38" s="686">
        <v>3.8</v>
      </c>
      <c r="D38" s="680">
        <f t="shared" si="11"/>
        <v>25210.526315789473</v>
      </c>
      <c r="E38" s="696">
        <f t="shared" si="6"/>
        <v>126.05263157894737</v>
      </c>
      <c r="F38" s="698">
        <f t="shared" si="2"/>
        <v>53.600730263157899</v>
      </c>
      <c r="G38" s="700">
        <f t="shared" si="7"/>
        <v>10.08421052631579</v>
      </c>
      <c r="H38" s="702">
        <f t="shared" si="3"/>
        <v>3.3016209473684204</v>
      </c>
      <c r="I38" s="709">
        <f t="shared" si="8"/>
        <v>25.210526315789473</v>
      </c>
      <c r="J38" s="710">
        <f t="shared" si="4"/>
        <v>3.7694426000000001</v>
      </c>
      <c r="K38" s="742">
        <f t="shared" si="9"/>
        <v>4210.1578947368416</v>
      </c>
      <c r="L38" s="742">
        <f t="shared" si="5"/>
        <v>72.892406007854248</v>
      </c>
      <c r="M38" s="773">
        <f t="shared" si="10"/>
        <v>56.902351210526319</v>
      </c>
    </row>
    <row r="39" spans="1:17">
      <c r="A39" s="679">
        <v>2018</v>
      </c>
      <c r="B39" s="684">
        <v>96800</v>
      </c>
      <c r="C39" s="686">
        <v>3.8</v>
      </c>
      <c r="D39" s="680">
        <f t="shared" si="11"/>
        <v>25473.684210526317</v>
      </c>
      <c r="E39" s="696">
        <f t="shared" si="6"/>
        <v>127.36842105263159</v>
      </c>
      <c r="F39" s="698">
        <f t="shared" si="2"/>
        <v>54.16023684210527</v>
      </c>
      <c r="G39" s="700">
        <f t="shared" si="7"/>
        <v>10.189473684210528</v>
      </c>
      <c r="H39" s="702">
        <f t="shared" si="3"/>
        <v>3.3360846315789474</v>
      </c>
      <c r="I39" s="709">
        <f t="shared" si="8"/>
        <v>25.473684210526319</v>
      </c>
      <c r="J39" s="710">
        <f t="shared" si="4"/>
        <v>3.8087896000000003</v>
      </c>
      <c r="K39" s="742">
        <f t="shared" si="9"/>
        <v>4254.1052631578941</v>
      </c>
      <c r="L39" s="742">
        <f t="shared" si="5"/>
        <v>73.653287072654393</v>
      </c>
      <c r="M39" s="773">
        <f t="shared" si="10"/>
        <v>57.496321473684219</v>
      </c>
    </row>
    <row r="40" spans="1:17">
      <c r="A40" s="679">
        <v>2019</v>
      </c>
      <c r="B40" s="684">
        <v>97739</v>
      </c>
      <c r="C40" s="686">
        <v>3.8</v>
      </c>
      <c r="D40" s="680">
        <f t="shared" si="11"/>
        <v>25720.78947368421</v>
      </c>
      <c r="E40" s="696">
        <f t="shared" si="6"/>
        <v>128.60394736842105</v>
      </c>
      <c r="F40" s="698">
        <f t="shared" si="2"/>
        <v>54.68561351973684</v>
      </c>
      <c r="G40" s="700">
        <f t="shared" si="7"/>
        <v>10.288315789473684</v>
      </c>
      <c r="H40" s="702">
        <f t="shared" si="3"/>
        <v>3.3684460310526307</v>
      </c>
      <c r="I40" s="709">
        <f t="shared" si="8"/>
        <v>25.72078947368421</v>
      </c>
      <c r="J40" s="710">
        <f t="shared" si="4"/>
        <v>3.8457364329999999</v>
      </c>
      <c r="K40" s="742">
        <f t="shared" si="9"/>
        <v>4295.3718421052627</v>
      </c>
      <c r="L40" s="742">
        <f t="shared" si="5"/>
        <v>74.367754392501737</v>
      </c>
      <c r="M40" s="773">
        <f t="shared" si="10"/>
        <v>58.054059550789468</v>
      </c>
    </row>
    <row r="41" spans="1:17">
      <c r="A41" s="679">
        <v>2020</v>
      </c>
      <c r="B41" s="684">
        <v>99276.986666666693</v>
      </c>
    </row>
    <row r="42" spans="1:17">
      <c r="A42" s="679">
        <v>2021</v>
      </c>
      <c r="B42" s="684">
        <v>100512.563809524</v>
      </c>
    </row>
    <row r="43" spans="1:17">
      <c r="A43" s="679">
        <v>2022</v>
      </c>
      <c r="B43" s="684">
        <v>101748.140952381</v>
      </c>
      <c r="N43" s="76" t="s">
        <v>377</v>
      </c>
    </row>
    <row r="44" spans="1:17">
      <c r="A44" s="679">
        <v>2023</v>
      </c>
      <c r="B44" s="684">
        <v>102983.718095238</v>
      </c>
      <c r="G44" s="19"/>
      <c r="H44" s="19"/>
      <c r="I44" s="19"/>
      <c r="J44" s="19"/>
      <c r="K44" s="19"/>
      <c r="L44" s="19"/>
      <c r="M44" s="19"/>
      <c r="N44" s="76" t="s">
        <v>378</v>
      </c>
      <c r="O44" s="19"/>
      <c r="P44" s="19"/>
      <c r="Q44" s="19"/>
    </row>
    <row r="45" spans="1:17" ht="18.75">
      <c r="F45" s="734" t="s">
        <v>370</v>
      </c>
    </row>
    <row r="47" spans="1:17">
      <c r="A47" s="76" t="s">
        <v>393</v>
      </c>
      <c r="L47" s="1">
        <f>1664/9953</f>
        <v>0.16718577313372851</v>
      </c>
    </row>
    <row r="48" spans="1:17">
      <c r="A48" s="76" t="s">
        <v>392</v>
      </c>
      <c r="L48" s="79">
        <f>24770*L47</f>
        <v>4141.1916005224548</v>
      </c>
    </row>
    <row r="49" spans="1:16">
      <c r="A49" s="76"/>
    </row>
    <row r="50" spans="1:16">
      <c r="A50" s="76" t="s">
        <v>151</v>
      </c>
      <c r="B50" s="76" t="s">
        <v>371</v>
      </c>
      <c r="G50" s="76">
        <v>2</v>
      </c>
      <c r="H50" s="76" t="s">
        <v>84</v>
      </c>
      <c r="O50" s="1"/>
      <c r="P50" s="11"/>
    </row>
    <row r="51" spans="1:16">
      <c r="B51" s="76" t="s">
        <v>372</v>
      </c>
      <c r="G51" s="76">
        <v>200</v>
      </c>
      <c r="H51" s="76" t="s">
        <v>65</v>
      </c>
    </row>
    <row r="52" spans="1:16">
      <c r="B52" s="76" t="s">
        <v>383</v>
      </c>
      <c r="G52" s="76">
        <v>43</v>
      </c>
      <c r="H52" s="76" t="s">
        <v>85</v>
      </c>
      <c r="I52" s="76" t="s">
        <v>394</v>
      </c>
    </row>
    <row r="53" spans="1:16">
      <c r="B53" s="76" t="s">
        <v>373</v>
      </c>
      <c r="G53" s="76">
        <v>30</v>
      </c>
      <c r="H53" s="76" t="s">
        <v>85</v>
      </c>
    </row>
    <row r="54" spans="1:16">
      <c r="J54" s="738" t="s">
        <v>395</v>
      </c>
      <c r="K54" s="76" t="s">
        <v>396</v>
      </c>
      <c r="L54" s="76" t="s">
        <v>374</v>
      </c>
    </row>
    <row r="55" spans="1:16">
      <c r="A55" s="76" t="s">
        <v>384</v>
      </c>
      <c r="G55" s="190">
        <f>G51*4.182*(G52-G53)</f>
        <v>10873.2</v>
      </c>
      <c r="H55" s="76" t="s">
        <v>381</v>
      </c>
      <c r="J55" s="76" t="s">
        <v>375</v>
      </c>
      <c r="K55" s="76"/>
      <c r="L55" s="76"/>
    </row>
    <row r="56" spans="1:16">
      <c r="A56" s="76" t="s">
        <v>376</v>
      </c>
      <c r="G56" s="735">
        <f>G55*365/1000000</f>
        <v>3.9687180000000004</v>
      </c>
      <c r="H56" s="76" t="s">
        <v>382</v>
      </c>
    </row>
    <row r="57" spans="1:16">
      <c r="A57" s="76" t="s">
        <v>385</v>
      </c>
      <c r="B57" s="76"/>
      <c r="G57" s="736">
        <f>G56/K57</f>
        <v>9.479120091716825E-2</v>
      </c>
      <c r="H57" s="737" t="s">
        <v>380</v>
      </c>
      <c r="J57" s="80" t="s">
        <v>152</v>
      </c>
      <c r="K57" s="81">
        <v>41.868000000000002</v>
      </c>
      <c r="L57" s="82" t="s">
        <v>153</v>
      </c>
    </row>
    <row r="59" spans="1:16">
      <c r="A59" s="76" t="s">
        <v>391</v>
      </c>
    </row>
    <row r="60" spans="1:16">
      <c r="A60" s="76" t="s">
        <v>386</v>
      </c>
      <c r="G60" s="190">
        <v>1600</v>
      </c>
      <c r="H60" s="76" t="s">
        <v>387</v>
      </c>
      <c r="I60" s="76"/>
    </row>
    <row r="61" spans="1:16">
      <c r="A61" s="76" t="s">
        <v>388</v>
      </c>
      <c r="G61" s="191">
        <f>G60/8760</f>
        <v>0.18264840182648401</v>
      </c>
      <c r="H61" s="76"/>
    </row>
    <row r="62" spans="1:16">
      <c r="A62" s="76" t="s">
        <v>389</v>
      </c>
      <c r="G62" s="736">
        <f>G57*G61</f>
        <v>1.7313461354733925E-2</v>
      </c>
      <c r="H62" s="737" t="s">
        <v>380</v>
      </c>
    </row>
    <row r="65" spans="1:13">
      <c r="A65" s="76" t="s">
        <v>421</v>
      </c>
      <c r="G65" s="5">
        <f>G55/3600</f>
        <v>3.0203333333333333</v>
      </c>
      <c r="H65" t="s">
        <v>422</v>
      </c>
      <c r="J65" t="s">
        <v>423</v>
      </c>
    </row>
    <row r="66" spans="1:13">
      <c r="A66" s="76" t="s">
        <v>425</v>
      </c>
      <c r="G66" s="11">
        <f>365*G65</f>
        <v>1102.4216666666666</v>
      </c>
      <c r="H66" t="s">
        <v>424</v>
      </c>
    </row>
    <row r="67" spans="1:13">
      <c r="A67" s="76" t="s">
        <v>426</v>
      </c>
      <c r="G67" s="10">
        <f>0.7*G66</f>
        <v>771.69516666666664</v>
      </c>
      <c r="H67" t="s">
        <v>427</v>
      </c>
    </row>
    <row r="68" spans="1:13">
      <c r="G68" s="9"/>
    </row>
    <row r="69" spans="1:13">
      <c r="D69" s="3"/>
      <c r="E69" s="3"/>
      <c r="F69" s="3"/>
    </row>
    <row r="70" spans="1:13">
      <c r="C70" s="21"/>
      <c r="D70" s="3"/>
      <c r="E70" s="3"/>
      <c r="F70" s="10"/>
      <c r="G70" s="10"/>
      <c r="H70" s="10"/>
      <c r="I70" s="10"/>
      <c r="J70" s="10"/>
    </row>
    <row r="71" spans="1:13">
      <c r="C71" s="3"/>
      <c r="D71" s="3"/>
      <c r="E71" s="3"/>
      <c r="F71" s="3"/>
      <c r="G71" s="383"/>
      <c r="H71" s="3"/>
      <c r="I71" s="3"/>
      <c r="J71" s="3"/>
      <c r="K71" s="3"/>
      <c r="L71" s="3"/>
      <c r="M71" s="3"/>
    </row>
    <row r="72" spans="1:13">
      <c r="G72" s="11"/>
      <c r="H72" s="10"/>
      <c r="I72" s="10"/>
      <c r="K72" s="22"/>
      <c r="L72" s="10"/>
      <c r="M72" s="9"/>
    </row>
    <row r="73" spans="1:13">
      <c r="G73" s="11"/>
      <c r="H73" s="10"/>
      <c r="I73" s="10"/>
      <c r="K73" s="22"/>
      <c r="L73" s="10"/>
      <c r="M73" s="9"/>
    </row>
    <row r="74" spans="1:13">
      <c r="G74" s="11"/>
      <c r="H74" s="10"/>
      <c r="I74" s="10"/>
      <c r="K74" s="22"/>
      <c r="L74" s="10"/>
      <c r="M74" s="9"/>
    </row>
    <row r="75" spans="1:13">
      <c r="G75" s="11"/>
      <c r="H75" s="10"/>
      <c r="I75" s="10"/>
      <c r="K75" s="22"/>
      <c r="L75" s="10"/>
      <c r="M75" s="9"/>
    </row>
    <row r="76" spans="1:13">
      <c r="I76" s="10"/>
      <c r="M76" s="20"/>
    </row>
  </sheetData>
  <mergeCells count="2">
    <mergeCell ref="B9:C9"/>
    <mergeCell ref="D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64"/>
  <sheetViews>
    <sheetView workbookViewId="0">
      <selection activeCell="W53" sqref="W53"/>
    </sheetView>
  </sheetViews>
  <sheetFormatPr defaultRowHeight="15"/>
  <sheetData>
    <row r="2" spans="2:2" ht="23.25">
      <c r="B2" s="772" t="s">
        <v>405</v>
      </c>
    </row>
    <row r="27" spans="2:7" ht="23.25">
      <c r="B27" s="772" t="s">
        <v>406</v>
      </c>
    </row>
    <row r="28" spans="2:7">
      <c r="C28" s="2"/>
    </row>
    <row r="30" spans="2:7">
      <c r="G30" s="63"/>
    </row>
    <row r="32" spans="2:7">
      <c r="G32" s="63"/>
    </row>
    <row r="34" spans="1:7">
      <c r="G34" s="63"/>
    </row>
    <row r="37" spans="1:7">
      <c r="A37" s="2"/>
    </row>
    <row r="64" spans="1:1">
      <c r="A64" s="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" sqref="C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Energy Balance-2019</vt:lpstr>
      <vt:lpstr>Petroleum Stat-2019</vt:lpstr>
      <vt:lpstr>Electricity Stat-2019</vt:lpstr>
      <vt:lpstr>Biomass, SWH &amp; Kero</vt:lpstr>
      <vt:lpstr>Charts</vt:lpstr>
      <vt:lpstr>e-Sankey Diag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2021-10-04T07:25:43Z</cp:lastPrinted>
  <dcterms:created xsi:type="dcterms:W3CDTF">2016-10-21T11:29:00Z</dcterms:created>
  <dcterms:modified xsi:type="dcterms:W3CDTF">2022-02-23T12:24:03Z</dcterms:modified>
</cp:coreProperties>
</file>