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8100" windowHeight="6375"/>
  </bookViews>
  <sheets>
    <sheet name="Energy Balance-2021" sheetId="1" r:id="rId1"/>
    <sheet name="Petroleum Stat-2021" sheetId="2" r:id="rId2"/>
    <sheet name="Electricity Stat-2021" sheetId="3" r:id="rId3"/>
    <sheet name="Biomass, SWH &amp; Kero" sheetId="7" r:id="rId4"/>
    <sheet name="Charts" sheetId="6" r:id="rId5"/>
  </sheets>
  <calcPr calcId="125725"/>
</workbook>
</file>

<file path=xl/calcChain.xml><?xml version="1.0" encoding="utf-8"?>
<calcChain xmlns="http://schemas.openxmlformats.org/spreadsheetml/2006/main">
  <c r="Q28" i="3"/>
  <c r="P28"/>
  <c r="O28"/>
  <c r="Q26"/>
  <c r="P26"/>
  <c r="O26"/>
  <c r="N26"/>
  <c r="M26"/>
  <c r="H29"/>
  <c r="G29"/>
  <c r="J28"/>
  <c r="J26"/>
  <c r="I26"/>
  <c r="G26"/>
  <c r="H26" s="1"/>
  <c r="D26"/>
  <c r="F29" l="1"/>
  <c r="C29"/>
  <c r="H35" l="1"/>
  <c r="G34"/>
  <c r="H34" s="1"/>
  <c r="G35"/>
  <c r="G36"/>
  <c r="H36" s="1"/>
  <c r="G11" i="1"/>
  <c r="J37"/>
  <c r="K37"/>
  <c r="L37"/>
  <c r="D39" i="2" l="1"/>
  <c r="F39"/>
  <c r="S70"/>
  <c r="S65"/>
  <c r="R73" l="1"/>
  <c r="R70"/>
  <c r="R65"/>
  <c r="H61"/>
  <c r="H39"/>
  <c r="C57"/>
  <c r="T66" i="3" l="1"/>
  <c r="D82" l="1"/>
  <c r="D83"/>
  <c r="D84"/>
  <c r="D81"/>
  <c r="D80"/>
  <c r="N15" l="1"/>
  <c r="M15"/>
  <c r="V47" l="1"/>
  <c r="Q43"/>
  <c r="P43"/>
  <c r="Q41"/>
  <c r="P41"/>
  <c r="R41" l="1"/>
  <c r="R43"/>
  <c r="D41" i="2" l="1"/>
  <c r="C41"/>
  <c r="D40"/>
  <c r="C40"/>
  <c r="N40"/>
  <c r="I61" i="3"/>
  <c r="I63" s="1"/>
  <c r="I62" l="1"/>
  <c r="U53" i="2"/>
  <c r="K68"/>
  <c r="M62"/>
  <c r="K71" s="1"/>
  <c r="M57"/>
  <c r="K70" s="1"/>
  <c r="M50"/>
  <c r="M40" s="1"/>
  <c r="F74"/>
  <c r="F70"/>
  <c r="F73"/>
  <c r="H56"/>
  <c r="F72" s="1"/>
  <c r="B89"/>
  <c r="C83"/>
  <c r="B94" s="1"/>
  <c r="K72" l="1"/>
  <c r="K69"/>
  <c r="M64"/>
  <c r="B43" i="3"/>
  <c r="S16" l="1"/>
  <c r="L16"/>
  <c r="M10"/>
  <c r="M6"/>
  <c r="F16" l="1"/>
  <c r="L12"/>
  <c r="L8"/>
  <c r="L17" l="1"/>
  <c r="G33"/>
  <c r="H33" s="1"/>
  <c r="O15"/>
  <c r="P15" s="1"/>
  <c r="Q15" s="1"/>
  <c r="J15"/>
  <c r="I15"/>
  <c r="G15"/>
  <c r="D15"/>
  <c r="E15" s="1"/>
  <c r="I7"/>
  <c r="J7"/>
  <c r="J6"/>
  <c r="I6"/>
  <c r="M32" i="7"/>
  <c r="M33"/>
  <c r="M34"/>
  <c r="M35"/>
  <c r="M36"/>
  <c r="M37"/>
  <c r="M38"/>
  <c r="M39"/>
  <c r="M40"/>
  <c r="M31"/>
  <c r="H15" i="3" l="1"/>
  <c r="K15" s="1"/>
  <c r="D50"/>
  <c r="I5" i="1"/>
  <c r="K5"/>
  <c r="N29"/>
  <c r="N37" s="1"/>
  <c r="I29"/>
  <c r="I37" s="1"/>
  <c r="L48" i="7"/>
  <c r="L47"/>
  <c r="G61"/>
  <c r="K36"/>
  <c r="K31"/>
  <c r="G55"/>
  <c r="I36"/>
  <c r="I31"/>
  <c r="G36" l="1"/>
  <c r="G31"/>
  <c r="E36"/>
  <c r="E31"/>
  <c r="C36"/>
  <c r="D40"/>
  <c r="D39"/>
  <c r="D38"/>
  <c r="D37"/>
  <c r="D33"/>
  <c r="D34"/>
  <c r="D35"/>
  <c r="D32"/>
  <c r="C31"/>
  <c r="I32" l="1"/>
  <c r="K32"/>
  <c r="I37"/>
  <c r="K37"/>
  <c r="I33"/>
  <c r="K33"/>
  <c r="I40"/>
  <c r="K40"/>
  <c r="I34"/>
  <c r="K34"/>
  <c r="I39"/>
  <c r="K39"/>
  <c r="I35"/>
  <c r="K35"/>
  <c r="I38"/>
  <c r="K38"/>
  <c r="E39"/>
  <c r="E35"/>
  <c r="G37"/>
  <c r="G33"/>
  <c r="E40"/>
  <c r="E32"/>
  <c r="G38"/>
  <c r="G34"/>
  <c r="E37"/>
  <c r="E33"/>
  <c r="G39"/>
  <c r="G35"/>
  <c r="E38"/>
  <c r="E34"/>
  <c r="G40"/>
  <c r="G32"/>
  <c r="F37" i="3" l="1"/>
  <c r="B45" s="1"/>
  <c r="C37"/>
  <c r="M28"/>
  <c r="N28" s="1"/>
  <c r="J27"/>
  <c r="G27"/>
  <c r="H27" s="1"/>
  <c r="G28"/>
  <c r="D27"/>
  <c r="I27" s="1"/>
  <c r="D28"/>
  <c r="I28" s="1"/>
  <c r="H28" l="1"/>
  <c r="D51"/>
  <c r="G31" i="1"/>
  <c r="F66" i="3"/>
  <c r="L65" s="1"/>
  <c r="L71"/>
  <c r="L67"/>
  <c r="O67" s="1"/>
  <c r="D53" l="1"/>
  <c r="D52"/>
  <c r="P67"/>
  <c r="B94"/>
  <c r="O65"/>
  <c r="F73"/>
  <c r="L69"/>
  <c r="O70" s="1"/>
  <c r="G81"/>
  <c r="H81" s="1"/>
  <c r="J81" s="1"/>
  <c r="N81" s="1"/>
  <c r="O81" s="1"/>
  <c r="G82"/>
  <c r="H82" s="1"/>
  <c r="J82" s="1"/>
  <c r="L82" s="1"/>
  <c r="M82" s="1"/>
  <c r="G83"/>
  <c r="H83" s="1"/>
  <c r="J83" s="1"/>
  <c r="L83" s="1"/>
  <c r="M83" s="1"/>
  <c r="G84"/>
  <c r="H84" s="1"/>
  <c r="J84" s="1"/>
  <c r="N84" s="1"/>
  <c r="O84" s="1"/>
  <c r="G80"/>
  <c r="H80" s="1"/>
  <c r="J80" s="1"/>
  <c r="N80" s="1"/>
  <c r="C85"/>
  <c r="E81"/>
  <c r="E82"/>
  <c r="E84"/>
  <c r="E80"/>
  <c r="K82" l="1"/>
  <c r="I82" s="1"/>
  <c r="K83"/>
  <c r="K80"/>
  <c r="I80" s="1"/>
  <c r="K84"/>
  <c r="I84" s="1"/>
  <c r="P70"/>
  <c r="B95"/>
  <c r="B93"/>
  <c r="O73"/>
  <c r="P73" s="1"/>
  <c r="P65"/>
  <c r="D85"/>
  <c r="K81"/>
  <c r="I81" s="1"/>
  <c r="L73"/>
  <c r="E83"/>
  <c r="E85" s="1"/>
  <c r="C16" i="1" s="1"/>
  <c r="N83" i="3"/>
  <c r="O83" s="1"/>
  <c r="I83" l="1"/>
  <c r="J85"/>
  <c r="T56" s="1"/>
  <c r="T57" s="1"/>
  <c r="D93"/>
  <c r="B96"/>
  <c r="K85"/>
  <c r="M16" i="1" s="1"/>
  <c r="N85" i="3"/>
  <c r="C95" s="1"/>
  <c r="D95" s="1"/>
  <c r="E95" s="1"/>
  <c r="M30" i="1" s="1"/>
  <c r="O80" i="3"/>
  <c r="O85" s="1"/>
  <c r="L85" l="1"/>
  <c r="C94" s="1"/>
  <c r="M85"/>
  <c r="E93"/>
  <c r="G30" i="1"/>
  <c r="C96" i="3" l="1"/>
  <c r="D94"/>
  <c r="M29" i="1"/>
  <c r="B101" i="2"/>
  <c r="L79"/>
  <c r="H50"/>
  <c r="W49"/>
  <c r="P57"/>
  <c r="P56"/>
  <c r="P55"/>
  <c r="R51"/>
  <c r="H72"/>
  <c r="H73"/>
  <c r="H74"/>
  <c r="B31" i="1" s="1"/>
  <c r="H70" i="2"/>
  <c r="B32" i="1" s="1"/>
  <c r="W50" i="2" l="1"/>
  <c r="U54"/>
  <c r="U55" s="1"/>
  <c r="V53" s="1"/>
  <c r="R57"/>
  <c r="R56"/>
  <c r="R55"/>
  <c r="R58" s="1"/>
  <c r="E33" i="1" s="1"/>
  <c r="E37" s="1"/>
  <c r="B30"/>
  <c r="B37" s="1"/>
  <c r="H71" i="2"/>
  <c r="B34" i="1" s="1"/>
  <c r="H66" i="2"/>
  <c r="F71"/>
  <c r="E94" i="3"/>
  <c r="D96"/>
  <c r="P58" i="2"/>
  <c r="Q57" s="1"/>
  <c r="C74"/>
  <c r="B93" s="1"/>
  <c r="D93" s="1"/>
  <c r="C35" i="1" s="1"/>
  <c r="C63" i="2"/>
  <c r="B91" s="1"/>
  <c r="B90"/>
  <c r="D90" s="1"/>
  <c r="C32" i="1" s="1"/>
  <c r="C70" i="2"/>
  <c r="B92" s="1"/>
  <c r="D92" s="1"/>
  <c r="C31" i="1" s="1"/>
  <c r="C50" i="2"/>
  <c r="B88" s="1"/>
  <c r="F75"/>
  <c r="G74" s="1"/>
  <c r="M69"/>
  <c r="M70"/>
  <c r="F31" i="1" s="1"/>
  <c r="M71" i="2"/>
  <c r="M68"/>
  <c r="F29" i="1" s="1"/>
  <c r="W53" i="2"/>
  <c r="D89"/>
  <c r="D91"/>
  <c r="C34" i="1" s="1"/>
  <c r="D94" i="2"/>
  <c r="C30" i="1" s="1"/>
  <c r="D88" i="2"/>
  <c r="C37" i="1" l="1"/>
  <c r="W54" i="2"/>
  <c r="D31" i="1" s="1"/>
  <c r="D37" s="1"/>
  <c r="Q56" i="2"/>
  <c r="Q55"/>
  <c r="Q58" s="1"/>
  <c r="H75"/>
  <c r="B95"/>
  <c r="C91" s="1"/>
  <c r="F30" i="1"/>
  <c r="F37" s="1"/>
  <c r="M31"/>
  <c r="M37" s="1"/>
  <c r="E96" i="3"/>
  <c r="C85" i="2"/>
  <c r="L72"/>
  <c r="M72"/>
  <c r="L69"/>
  <c r="D95"/>
  <c r="L68"/>
  <c r="G75"/>
  <c r="G71"/>
  <c r="G72"/>
  <c r="G70"/>
  <c r="V55"/>
  <c r="L71"/>
  <c r="G73"/>
  <c r="V54"/>
  <c r="L70"/>
  <c r="W55" l="1"/>
  <c r="C94"/>
  <c r="C89"/>
  <c r="C92"/>
  <c r="C95"/>
  <c r="C90"/>
  <c r="C88"/>
  <c r="C93"/>
  <c r="C35"/>
  <c r="D35"/>
  <c r="E35"/>
  <c r="F35"/>
  <c r="G35"/>
  <c r="H35"/>
  <c r="I35"/>
  <c r="J35"/>
  <c r="D33"/>
  <c r="E33"/>
  <c r="F33"/>
  <c r="G33"/>
  <c r="H33" i="1" s="1"/>
  <c r="H37" s="1"/>
  <c r="H33" i="2"/>
  <c r="I33"/>
  <c r="J33"/>
  <c r="C26"/>
  <c r="D26"/>
  <c r="E26"/>
  <c r="F26"/>
  <c r="G26"/>
  <c r="H26"/>
  <c r="I26"/>
  <c r="J26"/>
  <c r="C27"/>
  <c r="D27"/>
  <c r="E27"/>
  <c r="F27"/>
  <c r="G27"/>
  <c r="H27"/>
  <c r="I27"/>
  <c r="J27"/>
  <c r="C29"/>
  <c r="D29"/>
  <c r="C10" i="1" s="1"/>
  <c r="E29" i="2"/>
  <c r="E10" i="1" s="1"/>
  <c r="F29" i="2"/>
  <c r="D10" i="1" s="1"/>
  <c r="G29" i="2"/>
  <c r="H10" i="1" s="1"/>
  <c r="H29" i="2"/>
  <c r="F10" i="1" s="1"/>
  <c r="I29" i="2"/>
  <c r="B10" i="1" s="1"/>
  <c r="J29" i="2"/>
  <c r="G10" i="1" s="1"/>
  <c r="C30" i="2"/>
  <c r="B11" i="1" s="1"/>
  <c r="D30" i="2"/>
  <c r="E30"/>
  <c r="F30"/>
  <c r="G30"/>
  <c r="H30"/>
  <c r="I30"/>
  <c r="J30"/>
  <c r="D25"/>
  <c r="E25"/>
  <c r="F25"/>
  <c r="G25"/>
  <c r="H6" i="1" s="1"/>
  <c r="H25" i="2"/>
  <c r="I25"/>
  <c r="J25"/>
  <c r="D9"/>
  <c r="D12" s="1"/>
  <c r="E9"/>
  <c r="E12" s="1"/>
  <c r="F9"/>
  <c r="F28" s="1"/>
  <c r="D9" i="1" s="1"/>
  <c r="G9" i="2"/>
  <c r="G28" s="1"/>
  <c r="H9"/>
  <c r="H12" s="1"/>
  <c r="I9"/>
  <c r="I12" s="1"/>
  <c r="J9"/>
  <c r="J28" s="1"/>
  <c r="G9" i="1" s="1"/>
  <c r="G12" l="1"/>
  <c r="B54" s="1"/>
  <c r="H28" i="2"/>
  <c r="F9" i="1" s="1"/>
  <c r="J31" i="2"/>
  <c r="F31"/>
  <c r="D28"/>
  <c r="C9" i="1" s="1"/>
  <c r="G31" i="2"/>
  <c r="H9" i="1"/>
  <c r="H12" s="1"/>
  <c r="B56" s="1"/>
  <c r="F12" i="2"/>
  <c r="G12"/>
  <c r="I28"/>
  <c r="E28"/>
  <c r="E9" i="1" s="1"/>
  <c r="J12" i="2"/>
  <c r="C28"/>
  <c r="I31" l="1"/>
  <c r="B9" i="1"/>
  <c r="H31" i="2"/>
  <c r="D31"/>
  <c r="E31"/>
  <c r="D60" i="3"/>
  <c r="E60" s="1"/>
  <c r="C33" i="2" l="1"/>
  <c r="D18"/>
  <c r="E18"/>
  <c r="F18"/>
  <c r="G18"/>
  <c r="H18"/>
  <c r="I18"/>
  <c r="J18"/>
  <c r="B44" i="3" l="1"/>
  <c r="B42"/>
  <c r="L24" i="7" l="1"/>
  <c r="L25" s="1"/>
  <c r="L26" s="1"/>
  <c r="J31" l="1"/>
  <c r="J36"/>
  <c r="J34"/>
  <c r="J32"/>
  <c r="J40"/>
  <c r="G29" i="1" s="1"/>
  <c r="G37" s="1"/>
  <c r="J38" i="7"/>
  <c r="J33"/>
  <c r="J35"/>
  <c r="J39"/>
  <c r="J37"/>
  <c r="G56"/>
  <c r="G57" s="1"/>
  <c r="G62" s="1"/>
  <c r="O17"/>
  <c r="O18" s="1"/>
  <c r="O19" s="1"/>
  <c r="H20"/>
  <c r="D18"/>
  <c r="E18" s="1"/>
  <c r="B18"/>
  <c r="C15" s="1"/>
  <c r="C17"/>
  <c r="O9"/>
  <c r="O10" s="1"/>
  <c r="O11" s="1"/>
  <c r="O12" s="1"/>
  <c r="H12"/>
  <c r="C13"/>
  <c r="C10"/>
  <c r="L34" l="1"/>
  <c r="L31"/>
  <c r="L39"/>
  <c r="L37"/>
  <c r="L40"/>
  <c r="L35"/>
  <c r="L33"/>
  <c r="L36"/>
  <c r="L38"/>
  <c r="L32"/>
  <c r="K12" i="1"/>
  <c r="B53" s="1"/>
  <c r="H36" i="7"/>
  <c r="H31"/>
  <c r="H37"/>
  <c r="H40"/>
  <c r="H34"/>
  <c r="H39"/>
  <c r="H32"/>
  <c r="H33"/>
  <c r="H35"/>
  <c r="H38"/>
  <c r="F36"/>
  <c r="F31"/>
  <c r="F32"/>
  <c r="F34"/>
  <c r="F39"/>
  <c r="F35"/>
  <c r="F33"/>
  <c r="F40"/>
  <c r="F37"/>
  <c r="F38"/>
  <c r="E12"/>
  <c r="C14"/>
  <c r="C16"/>
  <c r="C18"/>
  <c r="E11"/>
  <c r="E15"/>
  <c r="C11"/>
  <c r="E13"/>
  <c r="E17"/>
  <c r="E16"/>
  <c r="E10"/>
  <c r="E14"/>
  <c r="I12" i="1" l="1"/>
  <c r="B55" s="1"/>
  <c r="O34" l="1"/>
  <c r="B103" s="1"/>
  <c r="O21" i="3" l="1"/>
  <c r="C8" i="1" l="1"/>
  <c r="E8"/>
  <c r="C6"/>
  <c r="E6"/>
  <c r="D6"/>
  <c r="F6"/>
  <c r="F12" s="1"/>
  <c r="B49" s="1"/>
  <c r="B6"/>
  <c r="B12" s="1"/>
  <c r="B48" l="1"/>
  <c r="C12"/>
  <c r="B47" s="1"/>
  <c r="E12"/>
  <c r="B50" s="1"/>
  <c r="H37" i="2"/>
  <c r="I37"/>
  <c r="E37"/>
  <c r="B85" i="1"/>
  <c r="J37" i="2"/>
  <c r="F37"/>
  <c r="G37"/>
  <c r="B83" i="1"/>
  <c r="B87"/>
  <c r="D37" i="2"/>
  <c r="O33" i="1" l="1"/>
  <c r="B104" l="1"/>
  <c r="B78" l="1"/>
  <c r="O24" l="1"/>
  <c r="E21"/>
  <c r="F21"/>
  <c r="G21"/>
  <c r="H21"/>
  <c r="H27" s="1"/>
  <c r="H38" s="1"/>
  <c r="H39" s="1"/>
  <c r="I21"/>
  <c r="J31" i="3"/>
  <c r="I31"/>
  <c r="G31"/>
  <c r="G37" s="1"/>
  <c r="E51" s="1"/>
  <c r="B21" i="1"/>
  <c r="M12"/>
  <c r="N12"/>
  <c r="O7"/>
  <c r="M27" i="3"/>
  <c r="N27" s="1"/>
  <c r="O27"/>
  <c r="O25"/>
  <c r="P25" s="1"/>
  <c r="M25"/>
  <c r="N25" s="1"/>
  <c r="J25"/>
  <c r="G25"/>
  <c r="H25" s="1"/>
  <c r="D25"/>
  <c r="I25" s="1"/>
  <c r="M21"/>
  <c r="N21" s="1"/>
  <c r="P21"/>
  <c r="Q21" s="1"/>
  <c r="J21"/>
  <c r="G21"/>
  <c r="D21"/>
  <c r="I21" s="1"/>
  <c r="O14"/>
  <c r="M14"/>
  <c r="M12"/>
  <c r="N12" s="1"/>
  <c r="M8"/>
  <c r="F12"/>
  <c r="O12" s="1"/>
  <c r="P12" s="1"/>
  <c r="Q12" s="1"/>
  <c r="F8"/>
  <c r="J14"/>
  <c r="J11"/>
  <c r="J10"/>
  <c r="I14"/>
  <c r="I11"/>
  <c r="I10"/>
  <c r="D14"/>
  <c r="E14" s="1"/>
  <c r="E16" s="1"/>
  <c r="D11"/>
  <c r="E11" s="1"/>
  <c r="D10"/>
  <c r="E10" s="1"/>
  <c r="D7"/>
  <c r="D6"/>
  <c r="G7"/>
  <c r="G10"/>
  <c r="H10" s="1"/>
  <c r="G11"/>
  <c r="G14"/>
  <c r="G6"/>
  <c r="H6" s="1"/>
  <c r="D8" i="1"/>
  <c r="D12" s="1"/>
  <c r="C25" i="2"/>
  <c r="H7" i="3" l="1"/>
  <c r="G18"/>
  <c r="E53"/>
  <c r="E52"/>
  <c r="P14"/>
  <c r="Q14" s="1"/>
  <c r="O16"/>
  <c r="F17"/>
  <c r="O8"/>
  <c r="B46" i="1"/>
  <c r="B58" s="1"/>
  <c r="S5"/>
  <c r="H31" i="3"/>
  <c r="B58"/>
  <c r="N14"/>
  <c r="C58"/>
  <c r="H14"/>
  <c r="C50"/>
  <c r="C51"/>
  <c r="C53" s="1"/>
  <c r="H21"/>
  <c r="L18" i="1" s="1"/>
  <c r="L21" s="1"/>
  <c r="B51" i="3"/>
  <c r="G12"/>
  <c r="O29"/>
  <c r="I27" i="1"/>
  <c r="C31" i="2"/>
  <c r="I29" i="3"/>
  <c r="M17"/>
  <c r="N8"/>
  <c r="H11"/>
  <c r="K11" s="1"/>
  <c r="G8"/>
  <c r="G17" s="1"/>
  <c r="E6"/>
  <c r="G27" i="1"/>
  <c r="G38" s="1"/>
  <c r="E27"/>
  <c r="E38" s="1"/>
  <c r="E39" s="1"/>
  <c r="H8" i="3"/>
  <c r="E12"/>
  <c r="E7"/>
  <c r="K10"/>
  <c r="P27"/>
  <c r="Q27" s="1"/>
  <c r="Q25"/>
  <c r="G38"/>
  <c r="J29"/>
  <c r="O8" i="1"/>
  <c r="O11"/>
  <c r="O10"/>
  <c r="O9"/>
  <c r="C37" i="2"/>
  <c r="B53" i="3" l="1"/>
  <c r="F53" s="1"/>
  <c r="F51"/>
  <c r="P8"/>
  <c r="Q8" s="1"/>
  <c r="Q17" s="1"/>
  <c r="O17"/>
  <c r="K7"/>
  <c r="E3"/>
  <c r="C15" i="1"/>
  <c r="E2" i="3"/>
  <c r="K14"/>
  <c r="K6"/>
  <c r="H37"/>
  <c r="J19" i="1" s="1"/>
  <c r="M19" s="1"/>
  <c r="O19" s="1"/>
  <c r="I38"/>
  <c r="I39" s="1"/>
  <c r="L5"/>
  <c r="L12" s="1"/>
  <c r="D58" i="3"/>
  <c r="E58" s="1"/>
  <c r="B81" i="1"/>
  <c r="N17" i="3"/>
  <c r="M23" i="1" s="1"/>
  <c r="O23" s="1"/>
  <c r="C52" i="3"/>
  <c r="C59" s="1"/>
  <c r="C61" s="1"/>
  <c r="C62" s="1"/>
  <c r="B50"/>
  <c r="F50" s="1"/>
  <c r="H12"/>
  <c r="K12" s="1"/>
  <c r="Q29"/>
  <c r="P29"/>
  <c r="E8"/>
  <c r="E17" s="1"/>
  <c r="F27" i="1"/>
  <c r="F38" s="1"/>
  <c r="F39" s="1"/>
  <c r="B80"/>
  <c r="M18"/>
  <c r="O18" s="1"/>
  <c r="D15"/>
  <c r="J17"/>
  <c r="M17" s="1"/>
  <c r="B46" i="3"/>
  <c r="O6" i="1"/>
  <c r="B27"/>
  <c r="P17" i="3" l="1"/>
  <c r="H17"/>
  <c r="K8"/>
  <c r="J5" i="1"/>
  <c r="J12" s="1"/>
  <c r="B52" s="1"/>
  <c r="L27"/>
  <c r="L38" s="1"/>
  <c r="B51"/>
  <c r="F52" i="3"/>
  <c r="B52"/>
  <c r="B59" s="1"/>
  <c r="B86" i="1"/>
  <c r="O35"/>
  <c r="B108" s="1"/>
  <c r="C45" i="3"/>
  <c r="C44"/>
  <c r="C43"/>
  <c r="C42"/>
  <c r="C46"/>
  <c r="O17" i="1"/>
  <c r="M15"/>
  <c r="S18" s="1"/>
  <c r="O32"/>
  <c r="D21"/>
  <c r="D27" s="1"/>
  <c r="D38" s="1"/>
  <c r="D39" s="1"/>
  <c r="J21"/>
  <c r="C21"/>
  <c r="C27" s="1"/>
  <c r="C38" s="1"/>
  <c r="C39" s="1"/>
  <c r="O16"/>
  <c r="K20"/>
  <c r="B102" l="1"/>
  <c r="B101" s="1"/>
  <c r="B59"/>
  <c r="S6"/>
  <c r="S7" s="1"/>
  <c r="O5"/>
  <c r="S19"/>
  <c r="B57"/>
  <c r="O15"/>
  <c r="D59" i="3"/>
  <c r="E59" s="1"/>
  <c r="B61"/>
  <c r="J27" i="1"/>
  <c r="J38" s="1"/>
  <c r="K17" i="3"/>
  <c r="M21" i="1"/>
  <c r="K21"/>
  <c r="N20"/>
  <c r="O12"/>
  <c r="S39" l="1"/>
  <c r="P14"/>
  <c r="P13"/>
  <c r="C52"/>
  <c r="C58"/>
  <c r="C59"/>
  <c r="C51"/>
  <c r="C49"/>
  <c r="C48"/>
  <c r="C47"/>
  <c r="C55"/>
  <c r="C50"/>
  <c r="C56"/>
  <c r="C54"/>
  <c r="C53"/>
  <c r="B79"/>
  <c r="S22"/>
  <c r="T5"/>
  <c r="T7"/>
  <c r="T6"/>
  <c r="C46"/>
  <c r="C57"/>
  <c r="B62" i="3"/>
  <c r="D61"/>
  <c r="B38" i="1"/>
  <c r="B39" s="1"/>
  <c r="B82"/>
  <c r="O13"/>
  <c r="O31"/>
  <c r="O30"/>
  <c r="K27"/>
  <c r="K38" s="1"/>
  <c r="S14"/>
  <c r="S10"/>
  <c r="S12"/>
  <c r="S13"/>
  <c r="S11"/>
  <c r="N21"/>
  <c r="N27" s="1"/>
  <c r="O20"/>
  <c r="O21" s="1"/>
  <c r="B105" l="1"/>
  <c r="D41"/>
  <c r="H41"/>
  <c r="L41"/>
  <c r="C41"/>
  <c r="G41"/>
  <c r="K41"/>
  <c r="B41"/>
  <c r="F41"/>
  <c r="J41"/>
  <c r="N41"/>
  <c r="E41"/>
  <c r="I41"/>
  <c r="M41"/>
  <c r="D62" i="3"/>
  <c r="S24" i="1" s="1"/>
  <c r="S23" s="1"/>
  <c r="E61" i="3"/>
  <c r="M26" i="1" s="1"/>
  <c r="S15"/>
  <c r="B107"/>
  <c r="O29"/>
  <c r="P29" s="1"/>
  <c r="S43" i="3" l="1"/>
  <c r="T43" s="1"/>
  <c r="T59" s="1"/>
  <c r="S41"/>
  <c r="T41" s="1"/>
  <c r="T58" s="1"/>
  <c r="N38" i="1"/>
  <c r="N39" s="1"/>
  <c r="S25"/>
  <c r="O26"/>
  <c r="O27" s="1"/>
  <c r="M27"/>
  <c r="M38" s="1"/>
  <c r="M39" s="1"/>
  <c r="O37"/>
  <c r="V51" i="3" s="1"/>
  <c r="B106" i="1"/>
  <c r="B84"/>
  <c r="B88" s="1"/>
  <c r="T60" i="3" l="1"/>
  <c r="T45"/>
  <c r="U27" i="1"/>
  <c r="S26"/>
  <c r="O38"/>
  <c r="O39" s="1"/>
  <c r="S32"/>
  <c r="S29"/>
  <c r="S35"/>
  <c r="B109"/>
  <c r="C106" s="1"/>
  <c r="S31"/>
  <c r="S34"/>
  <c r="C84"/>
  <c r="S30"/>
  <c r="S33"/>
  <c r="T49" i="3" l="1"/>
  <c r="V45"/>
  <c r="V53" s="1"/>
  <c r="T24" i="1"/>
  <c r="T23"/>
  <c r="T22"/>
  <c r="T25"/>
  <c r="S37"/>
  <c r="C83"/>
  <c r="C81"/>
  <c r="C87"/>
  <c r="C79"/>
  <c r="C85"/>
  <c r="C86"/>
  <c r="C80"/>
  <c r="C82"/>
  <c r="C78"/>
  <c r="C101"/>
  <c r="C103"/>
  <c r="C108"/>
  <c r="C104"/>
  <c r="C102"/>
  <c r="C105"/>
  <c r="C107"/>
  <c r="V24" l="1"/>
  <c r="C109"/>
  <c r="C88"/>
  <c r="T26"/>
</calcChain>
</file>

<file path=xl/comments1.xml><?xml version="1.0" encoding="utf-8"?>
<comments xmlns="http://schemas.openxmlformats.org/spreadsheetml/2006/main">
  <authors>
    <author>ACER</author>
  </authors>
  <commentList>
    <comment ref="H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 observed one afternoon a large pickup full of plastic tanks of 50 L capacity filling these tanks with gasoline at Grand Anse Retail station.  Possibly for fishing boats at Port Launay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Caution! this may happen only sometimes but not on a regular basis; we have to capture only regula uses of gasoline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B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possibly density after fuel treatment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 GWh = 86 TOE</t>
        </r>
      </text>
    </comment>
  </commentList>
</comments>
</file>

<file path=xl/sharedStrings.xml><?xml version="1.0" encoding="utf-8"?>
<sst xmlns="http://schemas.openxmlformats.org/spreadsheetml/2006/main" count="754" uniqueCount="436">
  <si>
    <t>PETROLEUM PRODUCTS</t>
  </si>
  <si>
    <t>Gasoil</t>
  </si>
  <si>
    <t>Fuel Oil</t>
  </si>
  <si>
    <t>Jet A1</t>
  </si>
  <si>
    <t>LPG</t>
  </si>
  <si>
    <t>Gasoline</t>
  </si>
  <si>
    <t>Fuelwood</t>
  </si>
  <si>
    <t>BIOMASS</t>
  </si>
  <si>
    <t>SOLAR</t>
  </si>
  <si>
    <t>WIND</t>
  </si>
  <si>
    <t>ELECTRICITY</t>
  </si>
  <si>
    <t>HEAT</t>
  </si>
  <si>
    <t>Imports</t>
  </si>
  <si>
    <t>Exports (-)</t>
  </si>
  <si>
    <t>Loss (-) or Gain (+)</t>
  </si>
  <si>
    <t>Electricity Generation from HFO and LFO by PUC</t>
  </si>
  <si>
    <t>Electricity Generation from LFO by Auto-producers</t>
  </si>
  <si>
    <t>Electricity Generation from Wind by PUC</t>
  </si>
  <si>
    <t>Electricity Generation from off-grid Solar PV</t>
  </si>
  <si>
    <t>Road Transports</t>
  </si>
  <si>
    <t>Industry</t>
  </si>
  <si>
    <t>Residential</t>
  </si>
  <si>
    <t>Electricity Generation from grid-connected Solar PV</t>
  </si>
  <si>
    <t>Prod. (+)                 Cons. (-)</t>
  </si>
  <si>
    <t>Primary Energy Production</t>
  </si>
  <si>
    <t>PRIMARY ENERGY PRODUCTION &amp; ENERGY SUPPLIES</t>
  </si>
  <si>
    <t>SECONDARY PRODUCTION</t>
  </si>
  <si>
    <t>DISTRIBUTION OF ENERGY</t>
  </si>
  <si>
    <t>Losses in transportation and distribution</t>
  </si>
  <si>
    <t>Electricity consumption for power stations</t>
  </si>
  <si>
    <t>Heat consumption for Fuel Oil Treatment</t>
  </si>
  <si>
    <t>SEYCHELLES</t>
  </si>
  <si>
    <t>TOTAL PRIMARY CONSUMPTION (1)</t>
  </si>
  <si>
    <t>TOTAL SECONDARY PRODUCTION (2)</t>
  </si>
  <si>
    <t>TOTAL FINAL DISTRIBUTION (1+2+Losses)</t>
  </si>
  <si>
    <t>MOGAS</t>
  </si>
  <si>
    <t>GAS OIL</t>
  </si>
  <si>
    <t>JET A1</t>
  </si>
  <si>
    <t>FUEL OIL</t>
  </si>
  <si>
    <t>AVGAS</t>
  </si>
  <si>
    <t>KEROSENE</t>
  </si>
  <si>
    <t>MSP (unleaded)</t>
  </si>
  <si>
    <t>A. Imports SEPEC</t>
  </si>
  <si>
    <t>B. Stock Change (1-2)</t>
  </si>
  <si>
    <t>C. Loss/Gain</t>
  </si>
  <si>
    <t>D. Inter Product Transfer</t>
  </si>
  <si>
    <t>E. Total Supply (A+B+C+D)</t>
  </si>
  <si>
    <t>F. Local Sales</t>
  </si>
  <si>
    <t>H. International sales</t>
  </si>
  <si>
    <t>I. Total Sales</t>
  </si>
  <si>
    <t>Inter Product Transfer</t>
  </si>
  <si>
    <t>Coversion Factor from MT to TOE</t>
  </si>
  <si>
    <t>MT</t>
  </si>
  <si>
    <t>TOE</t>
  </si>
  <si>
    <t>Kerosene</t>
  </si>
  <si>
    <t>Fuel Consumption</t>
  </si>
  <si>
    <t>Total</t>
  </si>
  <si>
    <t>LFO</t>
  </si>
  <si>
    <t>HFO</t>
  </si>
  <si>
    <t>Station Use</t>
  </si>
  <si>
    <t>Energy Sent out</t>
  </si>
  <si>
    <t>kW</t>
  </si>
  <si>
    <t>kWh</t>
  </si>
  <si>
    <t>TOTAL</t>
  </si>
  <si>
    <t>GWh</t>
  </si>
  <si>
    <t>Litre</t>
  </si>
  <si>
    <t>SFC  (L/kWh)</t>
  </si>
  <si>
    <t>kWh/L</t>
  </si>
  <si>
    <t>Praslin</t>
  </si>
  <si>
    <t>Fuel</t>
  </si>
  <si>
    <t>Performance Indicators</t>
  </si>
  <si>
    <t>Efficiency %</t>
  </si>
  <si>
    <t>Power Station</t>
  </si>
  <si>
    <t>Capacity Factor</t>
  </si>
  <si>
    <t>Capacity</t>
  </si>
  <si>
    <t>hr/yr</t>
  </si>
  <si>
    <t>SOLAR PV</t>
  </si>
  <si>
    <t>PUC</t>
  </si>
  <si>
    <t>Elec</t>
  </si>
  <si>
    <t>Hotels</t>
  </si>
  <si>
    <t>Industrials</t>
  </si>
  <si>
    <t>Construction</t>
  </si>
  <si>
    <t>Production of Solar Heat / Solar Water Heaters</t>
  </si>
  <si>
    <t>Mahe</t>
  </si>
  <si>
    <t>m2</t>
  </si>
  <si>
    <t>C</t>
  </si>
  <si>
    <t>ENERGY SECTOR OWN CONSUMPTION</t>
  </si>
  <si>
    <t>TOTAL FINAL ENERGY CONSUMPTION</t>
  </si>
  <si>
    <t>Statistical Difference</t>
  </si>
  <si>
    <t>THERMAL PLANTS</t>
  </si>
  <si>
    <t>Wind</t>
  </si>
  <si>
    <t>Solar PV</t>
  </si>
  <si>
    <t>Solar Thermal</t>
  </si>
  <si>
    <t>Electricity</t>
  </si>
  <si>
    <t>Road Transportation</t>
  </si>
  <si>
    <t>Energy Independence Rate</t>
  </si>
  <si>
    <t>Others</t>
  </si>
  <si>
    <t>Service</t>
  </si>
  <si>
    <t>SERVICE</t>
  </si>
  <si>
    <t>Street Lights</t>
  </si>
  <si>
    <t>Tourism</t>
  </si>
  <si>
    <t>Avgas</t>
  </si>
  <si>
    <t>International Marine &amp; Air Bunkers (-)</t>
  </si>
  <si>
    <t>FLH</t>
  </si>
  <si>
    <t>By Fossil Fuel</t>
  </si>
  <si>
    <t>By Renewable Sources</t>
  </si>
  <si>
    <t>Sold to Customers</t>
  </si>
  <si>
    <t>Sent to T&amp;D Network</t>
  </si>
  <si>
    <t>Station Units</t>
  </si>
  <si>
    <t>Sub-total</t>
  </si>
  <si>
    <t>Losses</t>
  </si>
  <si>
    <t>Summary of Generation by Island in GWh</t>
  </si>
  <si>
    <t>Losses (% Generation)</t>
  </si>
  <si>
    <t>FINAL ENERGY CONSUMPTION</t>
  </si>
  <si>
    <t>Domestic</t>
  </si>
  <si>
    <t>Government</t>
  </si>
  <si>
    <t>Maritime Transportation</t>
  </si>
  <si>
    <t>kg</t>
  </si>
  <si>
    <t>Wood</t>
  </si>
  <si>
    <t>m3</t>
  </si>
  <si>
    <t>Charcoal</t>
  </si>
  <si>
    <t>Lunch</t>
  </si>
  <si>
    <t>Dinner</t>
  </si>
  <si>
    <t>Breakfast</t>
  </si>
  <si>
    <t>FUELWOOD</t>
  </si>
  <si>
    <t>In a day, a household would consume the following amount of fuelwood:</t>
  </si>
  <si>
    <t>In a year, a household consumes</t>
  </si>
  <si>
    <t xml:space="preserve"> 2.5 kg x 365 days =</t>
  </si>
  <si>
    <t>CHARCOAL</t>
  </si>
  <si>
    <t xml:space="preserve"> 1.3 kg x 365 days =</t>
  </si>
  <si>
    <t>Gas (LPG)</t>
  </si>
  <si>
    <t>LPG/Electricity</t>
  </si>
  <si>
    <t>No Cooking</t>
  </si>
  <si>
    <t>Not Stated</t>
  </si>
  <si>
    <t>Fuelwood &amp; charcoal</t>
  </si>
  <si>
    <t>Assuming that:</t>
  </si>
  <si>
    <t>1 TOE =</t>
  </si>
  <si>
    <t>GJ</t>
  </si>
  <si>
    <t>Domestic Air Transportation</t>
  </si>
  <si>
    <t>Biomass</t>
  </si>
  <si>
    <t>Solar Heat</t>
  </si>
  <si>
    <t>SECTOR</t>
  </si>
  <si>
    <t>Share</t>
  </si>
  <si>
    <t>Energy Form</t>
  </si>
  <si>
    <t>Only 0.1% of households use kerosene for cooking in 2010</t>
  </si>
  <si>
    <t>Assuming a consumption of 0.5 litre/day of kerosene for a household</t>
  </si>
  <si>
    <t>0.5 litre x 365 days =</t>
  </si>
  <si>
    <t>Ind&amp;Com</t>
  </si>
  <si>
    <t>TRANSPORTS</t>
  </si>
  <si>
    <t>RESIDENTIAL</t>
  </si>
  <si>
    <t>INDUSTRY</t>
  </si>
  <si>
    <t>Technology</t>
  </si>
  <si>
    <t>Stock Change (+ taking from stock, - feeding into stock)</t>
  </si>
  <si>
    <t xml:space="preserve">Source: </t>
  </si>
  <si>
    <t xml:space="preserve">NBS, Population and Housing Census 2010, </t>
  </si>
  <si>
    <t>6.4 Energy for Lighting and Cooking</t>
  </si>
  <si>
    <t>Based on the Censuses in 2002 and 2010, the table below shows the numbers of households using the speficied energy for cooking.</t>
  </si>
  <si>
    <t xml:space="preserve">Number of households cooking with the </t>
  </si>
  <si>
    <t>specified type of energy in 2002 vs. 2010</t>
  </si>
  <si>
    <t>Retailers (Residential)</t>
  </si>
  <si>
    <t>A. Imports SEPEC in 2019</t>
  </si>
  <si>
    <t>Auto-Producers of Elec</t>
  </si>
  <si>
    <t>Road Transportation (incl SPTC)</t>
  </si>
  <si>
    <t>Marine Transportation</t>
  </si>
  <si>
    <t>Artisanal Fishing</t>
  </si>
  <si>
    <t>PUC Elec Generation</t>
  </si>
  <si>
    <t>Share %</t>
  </si>
  <si>
    <t>Public Services</t>
  </si>
  <si>
    <t>IDC</t>
  </si>
  <si>
    <t>Hotels &amp; IDC</t>
  </si>
  <si>
    <t>AUTO-PRODUCERS OF ELECTRICITY</t>
  </si>
  <si>
    <t>IDC (Island Development Company)</t>
  </si>
  <si>
    <t>IOT (Indian Ocean Tuna)</t>
  </si>
  <si>
    <t>CCCS (Central Common Cold Store)</t>
  </si>
  <si>
    <t>Construction (All Building Contractors)</t>
  </si>
  <si>
    <t>UCPS (United Concrete Products of Seychelles)</t>
  </si>
  <si>
    <t>LA GOGUE DAM EXTENSION PROJECT</t>
  </si>
  <si>
    <t>STC (All its divisions)</t>
  </si>
  <si>
    <t>Consumer (MAHE) - excluding those already listed above*</t>
  </si>
  <si>
    <t xml:space="preserve">ROAD TRANSPORTATION </t>
  </si>
  <si>
    <t>SPTC</t>
  </si>
  <si>
    <t>MARINE TRANSPORTATION</t>
  </si>
  <si>
    <t>All ferries for Passengers (Cat Cocos + Cat Rose + ….)</t>
  </si>
  <si>
    <t>Marine Charter Association + Gondwana</t>
  </si>
  <si>
    <t>All ferries for Cargo (Praslin Hero + Lady Genevieve,…)</t>
  </si>
  <si>
    <t>SeyParadise Offshore</t>
  </si>
  <si>
    <t>PUC elec generation</t>
  </si>
  <si>
    <t>SFA</t>
  </si>
  <si>
    <t>Retail Stations</t>
  </si>
  <si>
    <t>SLTA (Seychelles Land Transport Agency)</t>
  </si>
  <si>
    <t>Police + Army Camp + SPDF+Firebrigade</t>
  </si>
  <si>
    <t>Air Seychelles (Domestic) + IDC Air + SPDF Air + Helicopters</t>
  </si>
  <si>
    <t>Ports Authority</t>
  </si>
  <si>
    <t>Coast Guards</t>
  </si>
  <si>
    <t>Government/Public services (All org not listed in the preceding sheet)</t>
  </si>
  <si>
    <t>Airport/SCCA</t>
  </si>
  <si>
    <t>Retailer (MAHE)</t>
  </si>
  <si>
    <t>Retailer (PRASLIN)</t>
  </si>
  <si>
    <t>ARTISANAL FISHING</t>
  </si>
  <si>
    <t>TOTAL for Gasoil</t>
  </si>
  <si>
    <t>sub-total</t>
  </si>
  <si>
    <t>ROAD TRANSPORTATION</t>
  </si>
  <si>
    <t>Retailer (MAHE&amp;PRASLIN)</t>
  </si>
  <si>
    <t>TOTAL for Gasoline</t>
  </si>
  <si>
    <t>VENTILATION OF GASOIL</t>
  </si>
  <si>
    <t>VENTILATION OF GASOLINE</t>
  </si>
  <si>
    <t>SUMMARY</t>
  </si>
  <si>
    <t>Consumer</t>
  </si>
  <si>
    <t>SEYBREW (Seychelles Breweries)</t>
  </si>
  <si>
    <t>Public services</t>
  </si>
  <si>
    <t>RESIDENTIAL SECTOR</t>
  </si>
  <si>
    <t>TOTAL for LPG</t>
  </si>
  <si>
    <t>VENTILATION OF JET A-1</t>
  </si>
  <si>
    <t>SPDF</t>
  </si>
  <si>
    <t>Air Seychelles (Domestic) + Helicopters</t>
  </si>
  <si>
    <t>AIR TRANSPORTATION</t>
  </si>
  <si>
    <t xml:space="preserve">Consumer (MAHE) </t>
  </si>
  <si>
    <t>VENTILATION OF KEROSENE</t>
  </si>
  <si>
    <t>Air Sey&amp;Helicopters</t>
  </si>
  <si>
    <t>VENTILATION OF HEAVY FUEL OIL</t>
  </si>
  <si>
    <t>ELECTRICITY GENERATION BY PUC</t>
  </si>
  <si>
    <t>SEYPEC Ventilation Rule of Thumb for LPG</t>
  </si>
  <si>
    <t>SEYPEC Ventilation Rule of Thumb for Gasoil</t>
  </si>
  <si>
    <t>Hotel Auto-producers</t>
  </si>
  <si>
    <t>…</t>
  </si>
  <si>
    <t>?? We don't know if some small quantities of gasoline</t>
  </si>
  <si>
    <t>is used in small fishermen boats</t>
  </si>
  <si>
    <t>These data are used by the Energy Balance sheet in the upper part</t>
  </si>
  <si>
    <t xml:space="preserve">Retailer (MAHE) </t>
  </si>
  <si>
    <t xml:space="preserve">Retailer (PRASLIN) </t>
  </si>
  <si>
    <t xml:space="preserve">Government/Public services </t>
  </si>
  <si>
    <t>TOTAL for Jet A-1</t>
  </si>
  <si>
    <t>TOTAL for HFO</t>
  </si>
  <si>
    <t>Renewable</t>
  </si>
  <si>
    <t>Auto-producers (LFO)</t>
  </si>
  <si>
    <t>On-grid Solar PV</t>
  </si>
  <si>
    <t>Off-grid Solar PV</t>
  </si>
  <si>
    <t>WIND FARM</t>
  </si>
  <si>
    <t>Density</t>
  </si>
  <si>
    <t>TOE/ton</t>
  </si>
  <si>
    <t>kg/L</t>
  </si>
  <si>
    <t>NCV</t>
  </si>
  <si>
    <t>GJ/kg</t>
  </si>
  <si>
    <t>ELECTRICITY STATISTICS</t>
  </si>
  <si>
    <t>1. ELECTRICITY GENERATION (PUC )</t>
  </si>
  <si>
    <t>L</t>
  </si>
  <si>
    <t>CF</t>
  </si>
  <si>
    <t>Full-Load Hours</t>
  </si>
  <si>
    <t>FLH:</t>
  </si>
  <si>
    <t>CF:</t>
  </si>
  <si>
    <t>Energy Generated</t>
  </si>
  <si>
    <t>Grid-Connected PV Plants</t>
  </si>
  <si>
    <t>Off-Grid PV Plants</t>
  </si>
  <si>
    <t>ELECTRICITY GENERATION MIX IN PUC</t>
  </si>
  <si>
    <t>Diesel- Heavy Fuel Oil</t>
  </si>
  <si>
    <t>Diesel- Light Fuel Oil</t>
  </si>
  <si>
    <t>Wind Farm</t>
  </si>
  <si>
    <t>Ile De Romainville &amp;</t>
  </si>
  <si>
    <t>Ile du Port</t>
  </si>
  <si>
    <t>Auto-Producer</t>
  </si>
  <si>
    <t>Industrial Sector</t>
  </si>
  <si>
    <t>Commercial Sector</t>
  </si>
  <si>
    <t>IDC (Island Developmt Co.)</t>
  </si>
  <si>
    <t>CCCS*</t>
  </si>
  <si>
    <t>* Central Common Cold Store</t>
  </si>
  <si>
    <r>
      <t xml:space="preserve">kWh/L </t>
    </r>
    <r>
      <rPr>
        <vertAlign val="superscript"/>
        <sz val="10"/>
        <color theme="1"/>
        <rFont val="Calibri"/>
        <family val="2"/>
        <scheme val="minor"/>
      </rPr>
      <t>(a)</t>
    </r>
  </si>
  <si>
    <t>(a) the value of 3.5 kWh/L is based on average in hotels</t>
  </si>
  <si>
    <t>Prepaid</t>
  </si>
  <si>
    <t>Industrial &amp; Commercial HV</t>
  </si>
  <si>
    <r>
      <rPr>
        <b/>
        <sz val="11"/>
        <color theme="1"/>
        <rFont val="Calibri"/>
        <family val="2"/>
        <scheme val="minor"/>
      </rPr>
      <t xml:space="preserve">Industrial sector </t>
    </r>
    <r>
      <rPr>
        <sz val="11"/>
        <color theme="1"/>
        <rFont val="Calibri"/>
        <family val="2"/>
        <scheme val="minor"/>
      </rPr>
      <t>(27% of Ind&amp;Com)</t>
    </r>
  </si>
  <si>
    <r>
      <rPr>
        <b/>
        <sz val="11"/>
        <color theme="1"/>
        <rFont val="Calibri"/>
        <family val="2"/>
        <scheme val="minor"/>
      </rPr>
      <t xml:space="preserve">Private Services </t>
    </r>
    <r>
      <rPr>
        <sz val="11"/>
        <color theme="1"/>
        <rFont val="Calibri"/>
        <family val="2"/>
        <scheme val="minor"/>
      </rPr>
      <t>(73% of Ind&amp;Com)</t>
    </r>
  </si>
  <si>
    <t>Auto-Prod</t>
  </si>
  <si>
    <t xml:space="preserve">4. TOTAL ELECTRICITY CONSUMPTION BY SECTOR (FROM PUC &amp; AUTO-PRODUCERS) </t>
  </si>
  <si>
    <t>Statistical Difference in %</t>
  </si>
  <si>
    <t>Petroleum Fuel</t>
  </si>
  <si>
    <t>Biomass&amp;Heat</t>
  </si>
  <si>
    <t>Electricity Generation Mix</t>
  </si>
  <si>
    <t>PUC (HFO &amp; LFO)</t>
  </si>
  <si>
    <t>Share of Renewable in Elec Generation</t>
  </si>
  <si>
    <t>Shares of Sectors in FEC</t>
  </si>
  <si>
    <t>PRIMARY ENERGY CONSUMPTION  (PEC)</t>
  </si>
  <si>
    <t>FINAL ENERGY CONSUMPTION  (FEC)</t>
  </si>
  <si>
    <t>SECTORIAL FINAL ENERGY CONSUMPTION</t>
  </si>
  <si>
    <t>On Aldabra (SIF Research Centre)</t>
  </si>
  <si>
    <t>On Alphonse (IDC)</t>
  </si>
  <si>
    <t>On Curieuse (Environment Div)</t>
  </si>
  <si>
    <t>Annual Op. Hours</t>
  </si>
  <si>
    <t>Station Consumption</t>
  </si>
  <si>
    <t>Baie Ste Anne - Praslin</t>
  </si>
  <si>
    <t>Victoria C - Mahe</t>
  </si>
  <si>
    <t>Victoria B - Mahe</t>
  </si>
  <si>
    <t>Summary of Energy Flows by Island in GWh</t>
  </si>
  <si>
    <r>
      <t>Total (</t>
    </r>
    <r>
      <rPr>
        <b/>
        <sz val="10"/>
        <color rgb="FFFF0000"/>
        <rFont val="Calibri"/>
        <family val="2"/>
        <scheme val="minor"/>
      </rPr>
      <t>TOE</t>
    </r>
    <r>
      <rPr>
        <b/>
        <sz val="10"/>
        <color theme="1"/>
        <rFont val="Calibri"/>
        <family val="2"/>
        <scheme val="minor"/>
      </rPr>
      <t>)</t>
    </r>
  </si>
  <si>
    <t>LFO Savings due to RE on ML</t>
  </si>
  <si>
    <t>ML: million litres</t>
  </si>
  <si>
    <t>Column1</t>
  </si>
  <si>
    <t>3. ELECTRICITY GENERATION (AUTO-PRODUCERS )</t>
  </si>
  <si>
    <t>Total2</t>
  </si>
  <si>
    <t>Fuel  Density kg/L</t>
  </si>
  <si>
    <t>Source: SEYPEC</t>
  </si>
  <si>
    <t>Source: PUC Tariff review</t>
  </si>
  <si>
    <t>Conversion</t>
  </si>
  <si>
    <t>Factor</t>
  </si>
  <si>
    <t>NCV: Net Calorific Value</t>
  </si>
  <si>
    <t>Unit: TOE (Tonne of Oil Equivalent)</t>
  </si>
  <si>
    <t>In the Residential sector, the percentage of households cooking with biomass (wood or charcoal) has decreased from 1% to 0.5% between 2002 and 2010.</t>
  </si>
  <si>
    <t>Assuming that cooking a lunch or a dinner for a household requires 1 kg of fuel wood, and a breakfast requires 0.5 kg</t>
  </si>
  <si>
    <t>Assuming that cooking a lunch or a dinner for a household requires 0.5 kg of charcoal, and a breakfast requires 0.3 kg</t>
  </si>
  <si>
    <t xml:space="preserve">kg </t>
  </si>
  <si>
    <t>Year</t>
  </si>
  <si>
    <t>Population</t>
  </si>
  <si>
    <t>Households</t>
  </si>
  <si>
    <t>Average Household size</t>
  </si>
  <si>
    <t>ton</t>
  </si>
  <si>
    <t>Density of wood:</t>
  </si>
  <si>
    <t>0.5 g/cm3  or  0.5 ton/m3</t>
  </si>
  <si>
    <t>Net Calorific Value of wood: 0.233 TOE/m3</t>
  </si>
  <si>
    <t>Density of charcoal = 208 kg/m3</t>
  </si>
  <si>
    <r>
      <t xml:space="preserve">Net Calorific Value of charcoal: </t>
    </r>
    <r>
      <rPr>
        <b/>
        <sz val="10"/>
        <color theme="1"/>
        <rFont val="Calibri"/>
        <family val="2"/>
        <scheme val="minor"/>
      </rPr>
      <t>0.69 TOE/ton</t>
    </r>
  </si>
  <si>
    <t>TOE/hh.yr</t>
  </si>
  <si>
    <t>HH cooking with Wood 0.5%</t>
  </si>
  <si>
    <t>HH cooking with Charcoal 0.04%</t>
  </si>
  <si>
    <t>Density of Kerosene:</t>
  </si>
  <si>
    <t>0.784 kg/L</t>
  </si>
  <si>
    <t>L/hh.yr</t>
  </si>
  <si>
    <r>
      <t>Net Calorific Value of Kerosene: 1</t>
    </r>
    <r>
      <rPr>
        <b/>
        <sz val="10"/>
        <color theme="1"/>
        <rFont val="Calibri"/>
        <family val="2"/>
        <scheme val="minor"/>
      </rPr>
      <t>.045 TOE/ton</t>
    </r>
  </si>
  <si>
    <t>kg/hh.yr</t>
  </si>
  <si>
    <t>HH cooking with kerosene 0.1%</t>
  </si>
  <si>
    <t>Consumption of Kerosene in TOE</t>
  </si>
  <si>
    <t>Consumption of Charcoal in TOE</t>
  </si>
  <si>
    <t>Consumption of Fuelwood in TOE</t>
  </si>
  <si>
    <t>Only 0.5% of households used fuelwood for cooking in 2010</t>
  </si>
  <si>
    <t>Only 0.04% of households used charcoal for cooking in 2010</t>
  </si>
  <si>
    <t>Model for Estimation of Consumption of Biomass and Kerosene in the Residential sector</t>
  </si>
  <si>
    <t>Energy for cooking</t>
  </si>
  <si>
    <t>Estimation of Solar Heat Use in the Residential sector</t>
  </si>
  <si>
    <t>Solar collector size:</t>
  </si>
  <si>
    <t>Storage tank size:</t>
  </si>
  <si>
    <t>Average temperature of cold water from the mains:</t>
  </si>
  <si>
    <t>specific heat of water</t>
  </si>
  <si>
    <t>Q = m.Cp.(T2-T1)</t>
  </si>
  <si>
    <t xml:space="preserve">Heat required annually to assure each day the availability of this hot water </t>
  </si>
  <si>
    <t>HH: household</t>
  </si>
  <si>
    <t>SWH: solar water heater</t>
  </si>
  <si>
    <t>HH using a SWH 16.7%</t>
  </si>
  <si>
    <t>TOE/yr.swh</t>
  </si>
  <si>
    <t>kJ/day.swh</t>
  </si>
  <si>
    <t>GJ/yr.swh</t>
  </si>
  <si>
    <t>Maximum temperature of hot water reached in the evening:</t>
  </si>
  <si>
    <t>Heat required to heat this amount of water to 43 C</t>
  </si>
  <si>
    <t>Maximum amount of heat required annually for 1 solar water heater</t>
  </si>
  <si>
    <t>To take this into account, the number of full load hours for SWH is used</t>
  </si>
  <si>
    <t>hrs/yr</t>
  </si>
  <si>
    <t>The corresponding capacity factor is</t>
  </si>
  <si>
    <t>Heat actually provided by solar water heaters</t>
  </si>
  <si>
    <t>Solar Heat in TOE</t>
  </si>
  <si>
    <t>In practice, due to the fluctuations of solar radiation, for some days the temperature is lower in the range of 32-40C</t>
  </si>
  <si>
    <t>In 2010, the total number of households was 24,770, based on the sample above there would be in the whole country roughly 4141 SWH</t>
  </si>
  <si>
    <t>In 2010, in 9953 households surveyed, 1664 households were equipped with a solar water heater, which represents 16.7% of households</t>
  </si>
  <si>
    <t>From past experience this is the maximum temperature which may reach in some extremely sunny days in Seychelles after mixing well the hot water</t>
  </si>
  <si>
    <t>Cp = 4.182</t>
  </si>
  <si>
    <t>kJ/kg.K</t>
  </si>
  <si>
    <t>Breakdown of Primar Energy Cons</t>
  </si>
  <si>
    <t>Breakdown of Final Energy Consum</t>
  </si>
  <si>
    <t>Electricity from HFO &amp; LFO</t>
  </si>
  <si>
    <t>Electricity from renewable</t>
  </si>
  <si>
    <t>GDP</t>
  </si>
  <si>
    <t>Per Capita PEC in TOE</t>
  </si>
  <si>
    <t xml:space="preserve">Million SCR, 2006 market price </t>
  </si>
  <si>
    <t>Fuelwood &amp; Charcoal</t>
  </si>
  <si>
    <t>Airport/SCAA</t>
  </si>
  <si>
    <t>La Digue</t>
  </si>
  <si>
    <t>Fossile Fuel</t>
  </si>
  <si>
    <t>Renewable Energy</t>
  </si>
  <si>
    <t>Industrial &amp; Commercial C1 &amp; C2</t>
  </si>
  <si>
    <t>Grand Total</t>
  </si>
  <si>
    <t>For 2020</t>
  </si>
  <si>
    <t>Cons</t>
  </si>
  <si>
    <t>Manuf</t>
  </si>
  <si>
    <t>Consumer (Sundry consumers/ Car hire)</t>
  </si>
  <si>
    <t>VENTILATION OF LPG   MT</t>
  </si>
  <si>
    <t>Yr2020</t>
  </si>
  <si>
    <t>Yr 2020</t>
  </si>
  <si>
    <t>L/kWh</t>
  </si>
  <si>
    <t>MT/GWh</t>
  </si>
  <si>
    <t>SFC for LFO or gasoil</t>
  </si>
  <si>
    <t>Efficiency</t>
  </si>
  <si>
    <t>%</t>
  </si>
  <si>
    <t>Other islands</t>
  </si>
  <si>
    <t>1.12 bn US$ in 2020</t>
  </si>
  <si>
    <t xml:space="preserve">    1. Stock 01/01/20 SEPEC</t>
  </si>
  <si>
    <t xml:space="preserve">    2. Stock 31/12/20 SEPEC</t>
  </si>
  <si>
    <t>SHARE OF RENEWABLE ELECTRICITY IN FINAL ELECTRICITY CONSUMPTION</t>
  </si>
  <si>
    <t>Generation</t>
  </si>
  <si>
    <t>Station Cons</t>
  </si>
  <si>
    <t>Sent Out</t>
  </si>
  <si>
    <t>Grid loss</t>
  </si>
  <si>
    <t>Sold/consumed</t>
  </si>
  <si>
    <t>Total elec Sold</t>
  </si>
  <si>
    <t>RE share in Electricity Sold (or Final Electricity)</t>
  </si>
  <si>
    <t>RE share i total final energy consumption</t>
  </si>
  <si>
    <t>Year: 2021 draft</t>
  </si>
  <si>
    <t>Desroches (IDC)</t>
  </si>
  <si>
    <t>SEPEC SUPPLY AND SALES FOR 2021</t>
  </si>
  <si>
    <t>All in Metric Ton and from 01/01/21 to 31/12/21.</t>
  </si>
  <si>
    <t>SALES</t>
  </si>
  <si>
    <t>MAHE</t>
  </si>
  <si>
    <t>PRASLIN</t>
  </si>
  <si>
    <t>For 2021</t>
  </si>
  <si>
    <t>Yr2021</t>
  </si>
  <si>
    <t>Yr 2021</t>
  </si>
  <si>
    <t>2. ELECTRICITY SALES BY PUC (UPDATED TO 2021)</t>
  </si>
  <si>
    <t>SUMMARY FOR 2021</t>
  </si>
  <si>
    <t>GASOIL</t>
  </si>
  <si>
    <t>MSP (UNLEADED)</t>
  </si>
  <si>
    <t>NATIONAL ENERGY BALANCE FOR 2021</t>
  </si>
  <si>
    <t>YEAR:            2021</t>
  </si>
  <si>
    <t>Total Sold by PUC</t>
  </si>
  <si>
    <t>Produced and consumed by Autoproducers</t>
  </si>
  <si>
    <t>Total national Cons</t>
  </si>
  <si>
    <t>Wind share in total electricity consumption</t>
  </si>
  <si>
    <t>Solar PV share in total electricity consumption</t>
  </si>
  <si>
    <t>Oil share</t>
  </si>
  <si>
    <t>Structure of Primary Energy Consumption in 2021</t>
  </si>
  <si>
    <t>Structure of Final Energy Consumption in 2021</t>
  </si>
  <si>
    <t>If Auto-producers are Not considered</t>
  </si>
  <si>
    <t>If Auto-producers are considered</t>
  </si>
  <si>
    <t>Fuel non-consumed but Stocked by Consumers</t>
  </si>
  <si>
    <t>Primary Energy Intensity</t>
  </si>
  <si>
    <t>Astove (IDC)</t>
  </si>
  <si>
    <t>Yr instal</t>
  </si>
  <si>
    <t>On Mahe - Solar PV farm</t>
  </si>
  <si>
    <t>On Mahe - DG Solar PV</t>
  </si>
  <si>
    <t>On Praslin - DG solar PV</t>
  </si>
  <si>
    <t>On La Digue - DG solar PV</t>
  </si>
  <si>
    <t>Farquhar</t>
  </si>
</sst>
</file>

<file path=xl/styles.xml><?xml version="1.0" encoding="utf-8"?>
<styleSheet xmlns="http://schemas.openxmlformats.org/spreadsheetml/2006/main">
  <numFmts count="12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  <numFmt numFmtId="168" formatCode="_(* #,##0.0_);_(* \(#,##0.0\);_(* &quot;-&quot;??_);_(@_)"/>
    <numFmt numFmtId="169" formatCode="_(* #,##0.000_);_(* \(#,##0.000\);_(* &quot;-&quot;??_);_(@_)"/>
    <numFmt numFmtId="170" formatCode="0.000%"/>
    <numFmt numFmtId="171" formatCode="0_)"/>
    <numFmt numFmtId="172" formatCode="#,##0_ ;\-#,##0\ "/>
    <numFmt numFmtId="173" formatCode="0.000"/>
    <numFmt numFmtId="174" formatCode="#,##0.0"/>
    <numFmt numFmtId="175" formatCode="_-* #,##0_-;\-* #,##0_-;_-* &quot;-&quot;??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Maiandra GD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Maiandra GD"/>
      <family val="2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0" borderId="0"/>
    <xf numFmtId="0" fontId="1" fillId="0" borderId="0"/>
  </cellStyleXfs>
  <cellXfs count="960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164" fontId="0" fillId="0" borderId="0" xfId="2" applyFont="1"/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164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0" fillId="7" borderId="0" xfId="0" applyFill="1"/>
    <xf numFmtId="0" fontId="0" fillId="8" borderId="6" xfId="0" applyFill="1" applyBorder="1"/>
    <xf numFmtId="0" fontId="0" fillId="8" borderId="0" xfId="0" applyFill="1" applyBorder="1"/>
    <xf numFmtId="0" fontId="0" fillId="0" borderId="5" xfId="0" applyBorder="1"/>
    <xf numFmtId="0" fontId="2" fillId="0" borderId="7" xfId="0" applyFont="1" applyBorder="1"/>
    <xf numFmtId="0" fontId="0" fillId="0" borderId="0" xfId="0" applyFont="1"/>
    <xf numFmtId="0" fontId="0" fillId="0" borderId="0" xfId="0" applyBorder="1"/>
    <xf numFmtId="164" fontId="2" fillId="0" borderId="0" xfId="2" applyFont="1"/>
    <xf numFmtId="0" fontId="0" fillId="0" borderId="0" xfId="0" applyAlignment="1">
      <alignment horizontal="right"/>
    </xf>
    <xf numFmtId="9" fontId="0" fillId="0" borderId="0" xfId="1" applyFont="1"/>
    <xf numFmtId="0" fontId="12" fillId="0" borderId="0" xfId="0" applyFont="1"/>
    <xf numFmtId="168" fontId="0" fillId="0" borderId="0" xfId="0" applyNumberFormat="1" applyBorder="1"/>
    <xf numFmtId="0" fontId="0" fillId="2" borderId="15" xfId="0" applyFill="1" applyBorder="1"/>
    <xf numFmtId="168" fontId="0" fillId="0" borderId="8" xfId="2" applyNumberFormat="1" applyFont="1" applyBorder="1"/>
    <xf numFmtId="0" fontId="0" fillId="2" borderId="8" xfId="0" applyFill="1" applyBorder="1"/>
    <xf numFmtId="168" fontId="0" fillId="2" borderId="8" xfId="0" applyNumberFormat="1" applyFill="1" applyBorder="1"/>
    <xf numFmtId="168" fontId="2" fillId="12" borderId="8" xfId="2" applyNumberFormat="1" applyFont="1" applyFill="1" applyBorder="1"/>
    <xf numFmtId="0" fontId="0" fillId="2" borderId="19" xfId="0" applyFill="1" applyBorder="1"/>
    <xf numFmtId="168" fontId="0" fillId="0" borderId="0" xfId="2" applyNumberFormat="1" applyFont="1" applyBorder="1"/>
    <xf numFmtId="164" fontId="2" fillId="12" borderId="0" xfId="2" applyFont="1" applyFill="1" applyBorder="1"/>
    <xf numFmtId="0" fontId="0" fillId="2" borderId="0" xfId="0" applyFill="1" applyBorder="1"/>
    <xf numFmtId="166" fontId="0" fillId="0" borderId="0" xfId="2" applyNumberFormat="1" applyFont="1" applyBorder="1"/>
    <xf numFmtId="165" fontId="0" fillId="0" borderId="0" xfId="1" applyNumberFormat="1" applyFont="1" applyBorder="1"/>
    <xf numFmtId="166" fontId="0" fillId="0" borderId="0" xfId="0" applyNumberFormat="1" applyBorder="1"/>
    <xf numFmtId="164" fontId="0" fillId="0" borderId="0" xfId="0" applyNumberFormat="1" applyBorder="1"/>
    <xf numFmtId="168" fontId="0" fillId="0" borderId="0" xfId="1" applyNumberFormat="1" applyFont="1" applyBorder="1"/>
    <xf numFmtId="168" fontId="2" fillId="12" borderId="0" xfId="2" applyNumberFormat="1" applyFont="1" applyFill="1" applyBorder="1"/>
    <xf numFmtId="164" fontId="0" fillId="11" borderId="0" xfId="0" applyNumberFormat="1" applyFill="1" applyBorder="1"/>
    <xf numFmtId="0" fontId="0" fillId="11" borderId="0" xfId="0" applyFill="1" applyBorder="1"/>
    <xf numFmtId="168" fontId="0" fillId="2" borderId="0" xfId="0" applyNumberFormat="1" applyFill="1" applyBorder="1"/>
    <xf numFmtId="168" fontId="0" fillId="0" borderId="18" xfId="0" applyNumberFormat="1" applyBorder="1"/>
    <xf numFmtId="168" fontId="0" fillId="11" borderId="0" xfId="2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quotePrefix="1"/>
    <xf numFmtId="0" fontId="13" fillId="0" borderId="1" xfId="0" applyFont="1" applyBorder="1" applyAlignment="1">
      <alignment horizontal="center" vertical="center"/>
    </xf>
    <xf numFmtId="0" fontId="0" fillId="0" borderId="18" xfId="0" applyBorder="1"/>
    <xf numFmtId="0" fontId="9" fillId="0" borderId="0" xfId="0" applyFont="1" applyFill="1"/>
    <xf numFmtId="0" fontId="0" fillId="0" borderId="1" xfId="0" applyBorder="1" applyAlignment="1">
      <alignment horizontal="center"/>
    </xf>
    <xf numFmtId="0" fontId="0" fillId="11" borderId="0" xfId="0" applyFill="1"/>
    <xf numFmtId="165" fontId="0" fillId="0" borderId="1" xfId="1" applyNumberFormat="1" applyFont="1" applyBorder="1"/>
    <xf numFmtId="0" fontId="17" fillId="0" borderId="0" xfId="0" applyFont="1"/>
    <xf numFmtId="164" fontId="0" fillId="0" borderId="0" xfId="2" applyFont="1" applyBorder="1"/>
    <xf numFmtId="166" fontId="2" fillId="7" borderId="0" xfId="0" applyNumberFormat="1" applyFont="1" applyFill="1"/>
    <xf numFmtId="168" fontId="14" fillId="12" borderId="1" xfId="2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5" fontId="0" fillId="11" borderId="0" xfId="1" applyNumberFormat="1" applyFont="1" applyFill="1"/>
    <xf numFmtId="0" fontId="2" fillId="11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0" xfId="0" applyFill="1"/>
    <xf numFmtId="0" fontId="3" fillId="0" borderId="0" xfId="0" applyFont="1"/>
    <xf numFmtId="166" fontId="8" fillId="0" borderId="0" xfId="2" applyNumberFormat="1" applyFont="1"/>
    <xf numFmtId="166" fontId="0" fillId="0" borderId="1" xfId="2" applyNumberFormat="1" applyFont="1" applyBorder="1"/>
    <xf numFmtId="166" fontId="2" fillId="0" borderId="1" xfId="0" applyNumberFormat="1" applyFont="1" applyBorder="1"/>
    <xf numFmtId="10" fontId="0" fillId="0" borderId="1" xfId="1" applyNumberFormat="1" applyFont="1" applyBorder="1"/>
    <xf numFmtId="170" fontId="0" fillId="0" borderId="1" xfId="1" applyNumberFormat="1" applyFont="1" applyBorder="1"/>
    <xf numFmtId="168" fontId="0" fillId="0" borderId="0" xfId="2" applyNumberFormat="1" applyFont="1"/>
    <xf numFmtId="0" fontId="14" fillId="0" borderId="0" xfId="0" applyFont="1"/>
    <xf numFmtId="0" fontId="9" fillId="0" borderId="0" xfId="0" applyFont="1"/>
    <xf numFmtId="0" fontId="18" fillId="0" borderId="0" xfId="0" applyFont="1"/>
    <xf numFmtId="0" fontId="11" fillId="0" borderId="0" xfId="0" applyFont="1"/>
    <xf numFmtId="0" fontId="19" fillId="16" borderId="0" xfId="0" applyFont="1" applyFill="1" applyBorder="1" applyAlignment="1">
      <alignment horizontal="left" vertical="center" wrapText="1"/>
    </xf>
    <xf numFmtId="0" fontId="19" fillId="16" borderId="0" xfId="0" applyFont="1" applyFill="1" applyBorder="1" applyAlignment="1">
      <alignment horizontal="center" vertical="center" wrapText="1"/>
    </xf>
    <xf numFmtId="166" fontId="2" fillId="0" borderId="0" xfId="2" applyNumberFormat="1" applyFont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3" fillId="11" borderId="0" xfId="0" applyFont="1" applyFill="1" applyBorder="1"/>
    <xf numFmtId="170" fontId="0" fillId="0" borderId="0" xfId="1" applyNumberFormat="1" applyFont="1"/>
    <xf numFmtId="0" fontId="22" fillId="0" borderId="1" xfId="0" applyFont="1" applyBorder="1" applyAlignment="1">
      <alignment horizontal="center"/>
    </xf>
    <xf numFmtId="166" fontId="0" fillId="11" borderId="0" xfId="2" applyNumberFormat="1" applyFont="1" applyFill="1" applyBorder="1"/>
    <xf numFmtId="166" fontId="0" fillId="11" borderId="0" xfId="0" applyNumberFormat="1" applyFill="1" applyBorder="1"/>
    <xf numFmtId="0" fontId="0" fillId="19" borderId="0" xfId="0" applyFill="1"/>
    <xf numFmtId="0" fontId="23" fillId="0" borderId="0" xfId="0" applyFont="1"/>
    <xf numFmtId="0" fontId="24" fillId="0" borderId="0" xfId="0" applyFont="1"/>
    <xf numFmtId="164" fontId="21" fillId="14" borderId="0" xfId="2" applyFont="1" applyFill="1" applyBorder="1"/>
    <xf numFmtId="164" fontId="21" fillId="14" borderId="8" xfId="2" applyFont="1" applyFill="1" applyBorder="1"/>
    <xf numFmtId="168" fontId="12" fillId="11" borderId="0" xfId="2" applyNumberFormat="1" applyFont="1" applyFill="1" applyBorder="1"/>
    <xf numFmtId="0" fontId="0" fillId="0" borderId="14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14" borderId="6" xfId="0" applyFill="1" applyBorder="1"/>
    <xf numFmtId="0" fontId="0" fillId="14" borderId="0" xfId="0" applyFill="1" applyBorder="1"/>
    <xf numFmtId="164" fontId="9" fillId="0" borderId="0" xfId="2" applyFont="1" applyBorder="1"/>
    <xf numFmtId="164" fontId="9" fillId="0" borderId="8" xfId="2" applyFont="1" applyBorder="1"/>
    <xf numFmtId="164" fontId="24" fillId="0" borderId="0" xfId="2" applyFont="1" applyBorder="1"/>
    <xf numFmtId="164" fontId="25" fillId="0" borderId="0" xfId="2" applyFont="1" applyBorder="1"/>
    <xf numFmtId="164" fontId="24" fillId="0" borderId="8" xfId="2" applyFont="1" applyBorder="1"/>
    <xf numFmtId="0" fontId="0" fillId="14" borderId="18" xfId="0" applyFill="1" applyBorder="1"/>
    <xf numFmtId="0" fontId="2" fillId="0" borderId="7" xfId="0" applyFont="1" applyBorder="1" applyAlignment="1">
      <alignment horizontal="center"/>
    </xf>
    <xf numFmtId="164" fontId="0" fillId="0" borderId="5" xfId="2" applyFont="1" applyBorder="1"/>
    <xf numFmtId="164" fontId="9" fillId="14" borderId="5" xfId="2" applyFont="1" applyFill="1" applyBorder="1"/>
    <xf numFmtId="164" fontId="9" fillId="0" borderId="5" xfId="2" applyFont="1" applyBorder="1"/>
    <xf numFmtId="164" fontId="24" fillId="0" borderId="5" xfId="2" applyFont="1" applyBorder="1"/>
    <xf numFmtId="164" fontId="2" fillId="14" borderId="13" xfId="2" applyFont="1" applyFill="1" applyBorder="1"/>
    <xf numFmtId="164" fontId="25" fillId="0" borderId="5" xfId="2" applyFont="1" applyBorder="1"/>
    <xf numFmtId="164" fontId="21" fillId="14" borderId="5" xfId="2" applyFont="1" applyFill="1" applyBorder="1"/>
    <xf numFmtId="0" fontId="16" fillId="14" borderId="6" xfId="0" applyFont="1" applyFill="1" applyBorder="1"/>
    <xf numFmtId="171" fontId="1" fillId="0" borderId="8" xfId="0" applyNumberFormat="1" applyFont="1" applyBorder="1" applyAlignment="1">
      <alignment vertical="center"/>
    </xf>
    <xf numFmtId="164" fontId="1" fillId="14" borderId="5" xfId="2" applyFont="1" applyFill="1" applyBorder="1"/>
    <xf numFmtId="164" fontId="1" fillId="0" borderId="5" xfId="2" applyFont="1" applyBorder="1"/>
    <xf numFmtId="164" fontId="1" fillId="0" borderId="0" xfId="2" applyFont="1" applyBorder="1"/>
    <xf numFmtId="164" fontId="1" fillId="0" borderId="8" xfId="2" applyFont="1" applyBorder="1"/>
    <xf numFmtId="166" fontId="15" fillId="14" borderId="5" xfId="2" applyNumberFormat="1" applyFont="1" applyFill="1" applyBorder="1" applyAlignment="1" applyProtection="1">
      <alignment vertical="center"/>
    </xf>
    <xf numFmtId="166" fontId="15" fillId="14" borderId="5" xfId="2" applyNumberFormat="1" applyFont="1" applyFill="1" applyBorder="1" applyAlignment="1">
      <alignment vertical="center"/>
    </xf>
    <xf numFmtId="166" fontId="15" fillId="0" borderId="5" xfId="2" applyNumberFormat="1" applyFont="1" applyBorder="1" applyAlignment="1" applyProtection="1">
      <alignment vertical="center"/>
    </xf>
    <xf numFmtId="166" fontId="15" fillId="0" borderId="5" xfId="2" applyNumberFormat="1" applyFont="1" applyBorder="1" applyAlignment="1">
      <alignment vertical="center"/>
    </xf>
    <xf numFmtId="166" fontId="15" fillId="0" borderId="0" xfId="2" applyNumberFormat="1" applyFont="1" applyBorder="1" applyAlignment="1">
      <alignment vertical="center"/>
    </xf>
    <xf numFmtId="166" fontId="15" fillId="0" borderId="8" xfId="2" applyNumberFormat="1" applyFont="1" applyBorder="1" applyAlignment="1">
      <alignment vertical="center"/>
    </xf>
    <xf numFmtId="0" fontId="2" fillId="14" borderId="6" xfId="0" applyFont="1" applyFill="1" applyBorder="1"/>
    <xf numFmtId="0" fontId="2" fillId="14" borderId="0" xfId="0" applyFont="1" applyFill="1" applyBorder="1"/>
    <xf numFmtId="164" fontId="11" fillId="0" borderId="0" xfId="2" applyFont="1" applyBorder="1"/>
    <xf numFmtId="164" fontId="11" fillId="0" borderId="5" xfId="2" applyFont="1" applyBorder="1"/>
    <xf numFmtId="0" fontId="2" fillId="14" borderId="16" xfId="0" applyFont="1" applyFill="1" applyBorder="1"/>
    <xf numFmtId="0" fontId="8" fillId="5" borderId="4" xfId="0" applyFont="1" applyFill="1" applyBorder="1"/>
    <xf numFmtId="0" fontId="21" fillId="5" borderId="2" xfId="0" applyFont="1" applyFill="1" applyBorder="1"/>
    <xf numFmtId="164" fontId="11" fillId="8" borderId="5" xfId="2" applyFont="1" applyFill="1" applyBorder="1"/>
    <xf numFmtId="0" fontId="2" fillId="8" borderId="6" xfId="0" applyFont="1" applyFill="1" applyBorder="1"/>
    <xf numFmtId="0" fontId="2" fillId="8" borderId="0" xfId="0" applyFont="1" applyFill="1" applyBorder="1"/>
    <xf numFmtId="164" fontId="2" fillId="8" borderId="5" xfId="2" applyFont="1" applyFill="1" applyBorder="1"/>
    <xf numFmtId="164" fontId="0" fillId="8" borderId="5" xfId="2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164" fontId="2" fillId="8" borderId="13" xfId="2" applyFont="1" applyFill="1" applyBorder="1"/>
    <xf numFmtId="0" fontId="13" fillId="5" borderId="0" xfId="0" applyFont="1" applyFill="1" applyAlignment="1">
      <alignment horizontal="center"/>
    </xf>
    <xf numFmtId="0" fontId="6" fillId="0" borderId="0" xfId="0" applyFont="1"/>
    <xf numFmtId="166" fontId="11" fillId="0" borderId="0" xfId="2" applyNumberFormat="1" applyFont="1"/>
    <xf numFmtId="9" fontId="11" fillId="0" borderId="0" xfId="1" applyFont="1"/>
    <xf numFmtId="0" fontId="0" fillId="13" borderId="0" xfId="0" applyFill="1"/>
    <xf numFmtId="0" fontId="22" fillId="13" borderId="0" xfId="0" applyFont="1" applyFill="1"/>
    <xf numFmtId="0" fontId="11" fillId="13" borderId="0" xfId="0" applyFont="1" applyFill="1"/>
    <xf numFmtId="166" fontId="11" fillId="13" borderId="0" xfId="2" applyNumberFormat="1" applyFont="1" applyFill="1"/>
    <xf numFmtId="166" fontId="11" fillId="13" borderId="18" xfId="2" applyNumberFormat="1" applyFont="1" applyFill="1" applyBorder="1"/>
    <xf numFmtId="166" fontId="22" fillId="13" borderId="0" xfId="2" applyNumberFormat="1" applyFont="1" applyFill="1"/>
    <xf numFmtId="0" fontId="22" fillId="13" borderId="0" xfId="0" applyFont="1" applyFill="1" applyAlignment="1">
      <alignment horizontal="center"/>
    </xf>
    <xf numFmtId="0" fontId="0" fillId="20" borderId="0" xfId="0" applyFill="1"/>
    <xf numFmtId="0" fontId="22" fillId="20" borderId="0" xfId="0" applyFont="1" applyFill="1"/>
    <xf numFmtId="0" fontId="11" fillId="20" borderId="0" xfId="0" applyFont="1" applyFill="1"/>
    <xf numFmtId="166" fontId="11" fillId="20" borderId="0" xfId="2" applyNumberFormat="1" applyFont="1" applyFill="1"/>
    <xf numFmtId="166" fontId="11" fillId="20" borderId="18" xfId="2" applyNumberFormat="1" applyFont="1" applyFill="1" applyBorder="1"/>
    <xf numFmtId="166" fontId="22" fillId="20" borderId="0" xfId="2" applyNumberFormat="1" applyFont="1" applyFill="1"/>
    <xf numFmtId="0" fontId="22" fillId="7" borderId="0" xfId="0" applyFont="1" applyFill="1"/>
    <xf numFmtId="0" fontId="11" fillId="7" borderId="0" xfId="0" applyFont="1" applyFill="1"/>
    <xf numFmtId="166" fontId="11" fillId="7" borderId="0" xfId="2" applyNumberFormat="1" applyFont="1" applyFill="1"/>
    <xf numFmtId="166" fontId="11" fillId="7" borderId="18" xfId="2" applyNumberFormat="1" applyFont="1" applyFill="1" applyBorder="1"/>
    <xf numFmtId="0" fontId="11" fillId="7" borderId="0" xfId="0" applyFont="1" applyFill="1" applyAlignment="1">
      <alignment horizontal="right"/>
    </xf>
    <xf numFmtId="166" fontId="22" fillId="7" borderId="0" xfId="0" applyNumberFormat="1" applyFont="1" applyFill="1"/>
    <xf numFmtId="166" fontId="22" fillId="7" borderId="0" xfId="2" applyNumberFormat="1" applyFont="1" applyFill="1"/>
    <xf numFmtId="0" fontId="22" fillId="7" borderId="0" xfId="0" applyFont="1" applyFill="1" applyAlignment="1">
      <alignment horizontal="right"/>
    </xf>
    <xf numFmtId="166" fontId="22" fillId="7" borderId="20" xfId="0" applyNumberFormat="1" applyFont="1" applyFill="1" applyBorder="1"/>
    <xf numFmtId="0" fontId="22" fillId="7" borderId="0" xfId="0" applyFont="1" applyFill="1" applyAlignment="1">
      <alignment horizontal="center"/>
    </xf>
    <xf numFmtId="164" fontId="11" fillId="20" borderId="0" xfId="2" applyFont="1" applyFill="1"/>
    <xf numFmtId="0" fontId="28" fillId="5" borderId="1" xfId="0" applyFont="1" applyFill="1" applyBorder="1" applyAlignment="1">
      <alignment horizontal="center"/>
    </xf>
    <xf numFmtId="0" fontId="22" fillId="21" borderId="0" xfId="0" applyFont="1" applyFill="1"/>
    <xf numFmtId="0" fontId="11" fillId="21" borderId="0" xfId="0" applyFont="1" applyFill="1"/>
    <xf numFmtId="0" fontId="11" fillId="21" borderId="0" xfId="0" applyFont="1" applyFill="1" applyAlignment="1">
      <alignment horizontal="center"/>
    </xf>
    <xf numFmtId="166" fontId="11" fillId="21" borderId="0" xfId="2" applyNumberFormat="1" applyFont="1" applyFill="1"/>
    <xf numFmtId="9" fontId="11" fillId="21" borderId="0" xfId="1" applyFont="1" applyFill="1"/>
    <xf numFmtId="0" fontId="11" fillId="21" borderId="18" xfId="0" applyFont="1" applyFill="1" applyBorder="1"/>
    <xf numFmtId="166" fontId="11" fillId="21" borderId="18" xfId="2" applyNumberFormat="1" applyFont="1" applyFill="1" applyBorder="1"/>
    <xf numFmtId="165" fontId="11" fillId="21" borderId="18" xfId="1" applyNumberFormat="1" applyFont="1" applyFill="1" applyBorder="1"/>
    <xf numFmtId="166" fontId="22" fillId="21" borderId="0" xfId="0" applyNumberFormat="1" applyFont="1" applyFill="1"/>
    <xf numFmtId="9" fontId="22" fillId="21" borderId="0" xfId="1" applyFont="1" applyFill="1"/>
    <xf numFmtId="0" fontId="22" fillId="22" borderId="0" xfId="0" applyFont="1" applyFill="1"/>
    <xf numFmtId="0" fontId="11" fillId="22" borderId="0" xfId="0" applyFont="1" applyFill="1"/>
    <xf numFmtId="0" fontId="11" fillId="22" borderId="0" xfId="0" applyFont="1" applyFill="1" applyAlignment="1">
      <alignment horizontal="center"/>
    </xf>
    <xf numFmtId="166" fontId="11" fillId="22" borderId="0" xfId="2" applyNumberFormat="1" applyFont="1" applyFill="1"/>
    <xf numFmtId="9" fontId="11" fillId="22" borderId="0" xfId="1" applyFont="1" applyFill="1"/>
    <xf numFmtId="0" fontId="11" fillId="22" borderId="18" xfId="0" applyFont="1" applyFill="1" applyBorder="1"/>
    <xf numFmtId="166" fontId="11" fillId="22" borderId="18" xfId="2" applyNumberFormat="1" applyFont="1" applyFill="1" applyBorder="1"/>
    <xf numFmtId="9" fontId="11" fillId="22" borderId="18" xfId="1" applyFont="1" applyFill="1" applyBorder="1"/>
    <xf numFmtId="166" fontId="22" fillId="22" borderId="0" xfId="0" applyNumberFormat="1" applyFont="1" applyFill="1"/>
    <xf numFmtId="9" fontId="22" fillId="22" borderId="0" xfId="1" applyFont="1" applyFill="1"/>
    <xf numFmtId="0" fontId="22" fillId="12" borderId="0" xfId="0" applyFont="1" applyFill="1"/>
    <xf numFmtId="0" fontId="22" fillId="12" borderId="0" xfId="0" applyFont="1" applyFill="1" applyAlignment="1">
      <alignment horizontal="center"/>
    </xf>
    <xf numFmtId="0" fontId="11" fillId="12" borderId="0" xfId="0" applyFont="1" applyFill="1"/>
    <xf numFmtId="166" fontId="11" fillId="12" borderId="0" xfId="2" applyNumberFormat="1" applyFont="1" applyFill="1"/>
    <xf numFmtId="9" fontId="11" fillId="12" borderId="0" xfId="1" applyFont="1" applyFill="1"/>
    <xf numFmtId="0" fontId="11" fillId="12" borderId="18" xfId="0" applyFont="1" applyFill="1" applyBorder="1"/>
    <xf numFmtId="166" fontId="11" fillId="12" borderId="0" xfId="2" applyNumberFormat="1" applyFont="1" applyFill="1" applyBorder="1"/>
    <xf numFmtId="9" fontId="11" fillId="12" borderId="18" xfId="1" applyFont="1" applyFill="1" applyBorder="1"/>
    <xf numFmtId="0" fontId="11" fillId="12" borderId="0" xfId="0" applyFont="1" applyFill="1" applyAlignment="1">
      <alignment horizontal="right"/>
    </xf>
    <xf numFmtId="166" fontId="22" fillId="12" borderId="20" xfId="0" applyNumberFormat="1" applyFont="1" applyFill="1" applyBorder="1"/>
    <xf numFmtId="0" fontId="0" fillId="15" borderId="0" xfId="0" applyFill="1"/>
    <xf numFmtId="0" fontId="22" fillId="15" borderId="0" xfId="0" applyFont="1" applyFill="1" applyAlignment="1">
      <alignment horizontal="center"/>
    </xf>
    <xf numFmtId="0" fontId="22" fillId="15" borderId="0" xfId="0" applyFont="1" applyFill="1"/>
    <xf numFmtId="0" fontId="11" fillId="15" borderId="0" xfId="0" applyFont="1" applyFill="1"/>
    <xf numFmtId="166" fontId="11" fillId="15" borderId="0" xfId="2" applyNumberFormat="1" applyFont="1" applyFill="1"/>
    <xf numFmtId="0" fontId="11" fillId="15" borderId="0" xfId="0" applyFont="1" applyFill="1" applyAlignment="1">
      <alignment horizontal="center"/>
    </xf>
    <xf numFmtId="9" fontId="11" fillId="15" borderId="0" xfId="1" applyFont="1" applyFill="1"/>
    <xf numFmtId="166" fontId="22" fillId="15" borderId="0" xfId="0" applyNumberFormat="1" applyFont="1" applyFill="1"/>
    <xf numFmtId="9" fontId="22" fillId="15" borderId="0" xfId="1" applyFont="1" applyFill="1"/>
    <xf numFmtId="0" fontId="0" fillId="23" borderId="0" xfId="0" applyFill="1"/>
    <xf numFmtId="0" fontId="22" fillId="23" borderId="0" xfId="0" applyFont="1" applyFill="1"/>
    <xf numFmtId="0" fontId="11" fillId="23" borderId="0" xfId="0" applyFont="1" applyFill="1"/>
    <xf numFmtId="166" fontId="11" fillId="23" borderId="0" xfId="2" applyNumberFormat="1" applyFont="1" applyFill="1"/>
    <xf numFmtId="166" fontId="11" fillId="23" borderId="18" xfId="2" applyNumberFormat="1" applyFont="1" applyFill="1" applyBorder="1"/>
    <xf numFmtId="166" fontId="22" fillId="23" borderId="0" xfId="0" applyNumberFormat="1" applyFont="1" applyFill="1"/>
    <xf numFmtId="0" fontId="22" fillId="3" borderId="0" xfId="0" applyFont="1" applyFill="1"/>
    <xf numFmtId="0" fontId="11" fillId="3" borderId="0" xfId="0" applyFont="1" applyFill="1"/>
    <xf numFmtId="166" fontId="11" fillId="3" borderId="0" xfId="2" applyNumberFormat="1" applyFont="1" applyFill="1"/>
    <xf numFmtId="166" fontId="11" fillId="3" borderId="18" xfId="2" applyNumberFormat="1" applyFont="1" applyFill="1" applyBorder="1"/>
    <xf numFmtId="166" fontId="11" fillId="3" borderId="0" xfId="0" applyNumberFormat="1" applyFont="1" applyFill="1"/>
    <xf numFmtId="166" fontId="22" fillId="3" borderId="0" xfId="0" applyNumberFormat="1" applyFont="1" applyFill="1"/>
    <xf numFmtId="166" fontId="22" fillId="23" borderId="0" xfId="2" applyNumberFormat="1" applyFont="1" applyFill="1"/>
    <xf numFmtId="0" fontId="11" fillId="23" borderId="0" xfId="0" applyFont="1" applyFill="1" applyAlignment="1">
      <alignment horizontal="center"/>
    </xf>
    <xf numFmtId="9" fontId="11" fillId="23" borderId="0" xfId="1" applyFont="1" applyFill="1"/>
    <xf numFmtId="0" fontId="11" fillId="23" borderId="18" xfId="0" applyFont="1" applyFill="1" applyBorder="1"/>
    <xf numFmtId="9" fontId="11" fillId="23" borderId="18" xfId="1" applyFont="1" applyFill="1" applyBorder="1"/>
    <xf numFmtId="9" fontId="22" fillId="23" borderId="0" xfId="1" applyFont="1" applyFill="1"/>
    <xf numFmtId="0" fontId="22" fillId="19" borderId="0" xfId="0" applyFont="1" applyFill="1"/>
    <xf numFmtId="0" fontId="11" fillId="19" borderId="0" xfId="0" applyFont="1" applyFill="1"/>
    <xf numFmtId="9" fontId="11" fillId="19" borderId="0" xfId="1" applyFont="1" applyFill="1"/>
    <xf numFmtId="0" fontId="11" fillId="19" borderId="18" xfId="0" applyFont="1" applyFill="1" applyBorder="1"/>
    <xf numFmtId="0" fontId="22" fillId="19" borderId="18" xfId="0" applyFont="1" applyFill="1" applyBorder="1"/>
    <xf numFmtId="9" fontId="22" fillId="19" borderId="0" xfId="1" applyFont="1" applyFill="1"/>
    <xf numFmtId="9" fontId="22" fillId="19" borderId="18" xfId="1" applyFont="1" applyFill="1" applyBorder="1"/>
    <xf numFmtId="0" fontId="29" fillId="25" borderId="0" xfId="0" applyFont="1" applyFill="1" applyAlignment="1"/>
    <xf numFmtId="0" fontId="18" fillId="25" borderId="0" xfId="0" applyFont="1" applyFill="1" applyAlignment="1"/>
    <xf numFmtId="0" fontId="22" fillId="25" borderId="0" xfId="0" applyFont="1" applyFill="1"/>
    <xf numFmtId="9" fontId="22" fillId="25" borderId="0" xfId="1" applyFont="1" applyFill="1"/>
    <xf numFmtId="9" fontId="22" fillId="25" borderId="18" xfId="1" applyFont="1" applyFill="1" applyBorder="1"/>
    <xf numFmtId="0" fontId="11" fillId="25" borderId="0" xfId="0" applyFont="1" applyFill="1"/>
    <xf numFmtId="9" fontId="11" fillId="25" borderId="0" xfId="1" applyFont="1" applyFill="1"/>
    <xf numFmtId="0" fontId="22" fillId="25" borderId="18" xfId="0" quotePrefix="1" applyFont="1" applyFill="1" applyBorder="1"/>
    <xf numFmtId="0" fontId="11" fillId="24" borderId="19" xfId="0" applyFont="1" applyFill="1" applyBorder="1"/>
    <xf numFmtId="0" fontId="11" fillId="24" borderId="15" xfId="0" applyFont="1" applyFill="1" applyBorder="1"/>
    <xf numFmtId="0" fontId="11" fillId="24" borderId="0" xfId="0" applyFont="1" applyFill="1" applyBorder="1"/>
    <xf numFmtId="0" fontId="11" fillId="24" borderId="8" xfId="0" applyFont="1" applyFill="1" applyBorder="1"/>
    <xf numFmtId="0" fontId="11" fillId="24" borderId="18" xfId="0" applyFont="1" applyFill="1" applyBorder="1"/>
    <xf numFmtId="0" fontId="11" fillId="24" borderId="17" xfId="0" applyFont="1" applyFill="1" applyBorder="1"/>
    <xf numFmtId="0" fontId="11" fillId="10" borderId="14" xfId="0" applyFont="1" applyFill="1" applyBorder="1"/>
    <xf numFmtId="0" fontId="11" fillId="10" borderId="19" xfId="0" applyFont="1" applyFill="1" applyBorder="1"/>
    <xf numFmtId="0" fontId="0" fillId="10" borderId="19" xfId="0" applyFill="1" applyBorder="1"/>
    <xf numFmtId="0" fontId="0" fillId="10" borderId="15" xfId="0" applyFill="1" applyBorder="1"/>
    <xf numFmtId="0" fontId="11" fillId="10" borderId="16" xfId="0" applyFont="1" applyFill="1" applyBorder="1"/>
    <xf numFmtId="0" fontId="11" fillId="10" borderId="18" xfId="0" applyFont="1" applyFill="1" applyBorder="1"/>
    <xf numFmtId="0" fontId="0" fillId="10" borderId="18" xfId="0" applyFill="1" applyBorder="1"/>
    <xf numFmtId="0" fontId="0" fillId="10" borderId="17" xfId="0" applyFill="1" applyBorder="1"/>
    <xf numFmtId="166" fontId="11" fillId="15" borderId="0" xfId="2" applyNumberFormat="1" applyFont="1" applyFill="1" applyBorder="1"/>
    <xf numFmtId="168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168" fontId="9" fillId="0" borderId="0" xfId="2" applyNumberFormat="1" applyFont="1" applyFill="1" applyBorder="1" applyAlignment="1">
      <alignment horizontal="center"/>
    </xf>
    <xf numFmtId="168" fontId="2" fillId="0" borderId="8" xfId="2" applyNumberFormat="1" applyFont="1" applyBorder="1"/>
    <xf numFmtId="168" fontId="2" fillId="11" borderId="8" xfId="2" applyNumberFormat="1" applyFont="1" applyFill="1" applyBorder="1"/>
    <xf numFmtId="10" fontId="3" fillId="0" borderId="1" xfId="1" applyNumberFormat="1" applyFont="1" applyBorder="1"/>
    <xf numFmtId="166" fontId="2" fillId="0" borderId="0" xfId="0" applyNumberFormat="1" applyFont="1" applyBorder="1"/>
    <xf numFmtId="0" fontId="18" fillId="20" borderId="14" xfId="0" applyFont="1" applyFill="1" applyBorder="1"/>
    <xf numFmtId="0" fontId="0" fillId="20" borderId="19" xfId="0" applyFill="1" applyBorder="1"/>
    <xf numFmtId="0" fontId="0" fillId="20" borderId="15" xfId="0" applyFill="1" applyBorder="1"/>
    <xf numFmtId="0" fontId="0" fillId="20" borderId="6" xfId="0" applyFill="1" applyBorder="1"/>
    <xf numFmtId="0" fontId="0" fillId="20" borderId="0" xfId="0" applyFill="1" applyBorder="1"/>
    <xf numFmtId="0" fontId="0" fillId="20" borderId="16" xfId="0" applyFill="1" applyBorder="1"/>
    <xf numFmtId="0" fontId="0" fillId="20" borderId="18" xfId="0" applyFill="1" applyBorder="1"/>
    <xf numFmtId="9" fontId="0" fillId="20" borderId="17" xfId="1" applyNumberFormat="1" applyFont="1" applyFill="1" applyBorder="1"/>
    <xf numFmtId="0" fontId="18" fillId="24" borderId="14" xfId="0" applyFont="1" applyFill="1" applyBorder="1"/>
    <xf numFmtId="0" fontId="0" fillId="24" borderId="19" xfId="0" applyFill="1" applyBorder="1"/>
    <xf numFmtId="0" fontId="0" fillId="24" borderId="15" xfId="0" applyFill="1" applyBorder="1"/>
    <xf numFmtId="0" fontId="0" fillId="24" borderId="0" xfId="0" applyFill="1" applyBorder="1"/>
    <xf numFmtId="0" fontId="0" fillId="24" borderId="16" xfId="0" applyFill="1" applyBorder="1"/>
    <xf numFmtId="0" fontId="0" fillId="24" borderId="18" xfId="0" applyFill="1" applyBorder="1"/>
    <xf numFmtId="9" fontId="0" fillId="24" borderId="17" xfId="0" applyNumberFormat="1" applyFill="1" applyBorder="1"/>
    <xf numFmtId="0" fontId="30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 applyAlignment="1">
      <alignment horizontal="center"/>
    </xf>
    <xf numFmtId="0" fontId="11" fillId="9" borderId="15" xfId="0" applyFont="1" applyFill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/>
    <xf numFmtId="166" fontId="11" fillId="0" borderId="0" xfId="0" applyNumberFormat="1" applyFont="1"/>
    <xf numFmtId="166" fontId="22" fillId="0" borderId="0" xfId="0" applyNumberFormat="1" applyFont="1"/>
    <xf numFmtId="0" fontId="22" fillId="0" borderId="1" xfId="0" applyFont="1" applyBorder="1"/>
    <xf numFmtId="0" fontId="11" fillId="11" borderId="1" xfId="0" applyFont="1" applyFill="1" applyBorder="1"/>
    <xf numFmtId="165" fontId="11" fillId="11" borderId="1" xfId="1" applyNumberFormat="1" applyFont="1" applyFill="1" applyBorder="1"/>
    <xf numFmtId="165" fontId="22" fillId="11" borderId="1" xfId="1" applyNumberFormat="1" applyFont="1" applyFill="1" applyBorder="1"/>
    <xf numFmtId="3" fontId="32" fillId="0" borderId="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164" fontId="11" fillId="0" borderId="1" xfId="2" applyFont="1" applyBorder="1" applyAlignment="1">
      <alignment horizontal="left"/>
    </xf>
    <xf numFmtId="164" fontId="11" fillId="0" borderId="1" xfId="2" applyFont="1" applyBorder="1"/>
    <xf numFmtId="164" fontId="11" fillId="0" borderId="1" xfId="0" applyNumberFormat="1" applyFont="1" applyBorder="1"/>
    <xf numFmtId="3" fontId="32" fillId="0" borderId="0" xfId="0" applyNumberFormat="1" applyFont="1" applyBorder="1" applyAlignment="1">
      <alignment horizontal="left" wrapText="1"/>
    </xf>
    <xf numFmtId="164" fontId="11" fillId="0" borderId="0" xfId="0" applyNumberFormat="1" applyFont="1"/>
    <xf numFmtId="164" fontId="11" fillId="0" borderId="1" xfId="2" applyFont="1" applyBorder="1" applyAlignment="1">
      <alignment horizontal="center"/>
    </xf>
    <xf numFmtId="165" fontId="11" fillId="0" borderId="1" xfId="1" applyNumberFormat="1" applyFont="1" applyBorder="1"/>
    <xf numFmtId="3" fontId="33" fillId="0" borderId="1" xfId="0" applyNumberFormat="1" applyFont="1" applyBorder="1" applyAlignment="1">
      <alignment horizontal="left" wrapText="1"/>
    </xf>
    <xf numFmtId="3" fontId="33" fillId="0" borderId="13" xfId="0" applyNumberFormat="1" applyFont="1" applyBorder="1" applyAlignment="1">
      <alignment horizontal="left" wrapText="1"/>
    </xf>
    <xf numFmtId="0" fontId="11" fillId="11" borderId="0" xfId="0" applyFont="1" applyFill="1" applyBorder="1"/>
    <xf numFmtId="0" fontId="3" fillId="11" borderId="0" xfId="0" applyFont="1" applyFill="1"/>
    <xf numFmtId="0" fontId="11" fillId="0" borderId="0" xfId="0" applyFont="1" applyAlignment="1">
      <alignment horizontal="right"/>
    </xf>
    <xf numFmtId="168" fontId="11" fillId="11" borderId="1" xfId="2" applyNumberFormat="1" applyFont="1" applyFill="1" applyBorder="1"/>
    <xf numFmtId="168" fontId="11" fillId="0" borderId="1" xfId="2" applyNumberFormat="1" applyFont="1" applyBorder="1" applyAlignment="1">
      <alignment horizontal="left"/>
    </xf>
    <xf numFmtId="168" fontId="11" fillId="0" borderId="1" xfId="2" applyNumberFormat="1" applyFont="1" applyBorder="1"/>
    <xf numFmtId="0" fontId="22" fillId="11" borderId="0" xfId="0" applyFont="1" applyFill="1" applyBorder="1" applyAlignment="1"/>
    <xf numFmtId="0" fontId="22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quotePrefix="1" applyFont="1" applyFill="1" applyBorder="1"/>
    <xf numFmtId="0" fontId="11" fillId="0" borderId="7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11" fillId="0" borderId="0" xfId="0" applyFont="1" applyBorder="1"/>
    <xf numFmtId="0" fontId="0" fillId="0" borderId="2" xfId="0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7" xfId="0" applyFont="1" applyBorder="1"/>
    <xf numFmtId="0" fontId="22" fillId="0" borderId="4" xfId="0" applyFont="1" applyBorder="1" applyAlignment="1">
      <alignment horizontal="center"/>
    </xf>
    <xf numFmtId="0" fontId="11" fillId="0" borderId="2" xfId="0" applyFont="1" applyFill="1" applyBorder="1"/>
    <xf numFmtId="0" fontId="11" fillId="0" borderId="4" xfId="0" applyFont="1" applyBorder="1" applyAlignment="1">
      <alignment horizontal="center"/>
    </xf>
    <xf numFmtId="0" fontId="24" fillId="0" borderId="0" xfId="0" applyFont="1" applyFill="1" applyBorder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2" fillId="6" borderId="14" xfId="0" applyFont="1" applyFill="1" applyBorder="1"/>
    <xf numFmtId="168" fontId="0" fillId="6" borderId="19" xfId="2" applyNumberFormat="1" applyFont="1" applyFill="1" applyBorder="1"/>
    <xf numFmtId="164" fontId="0" fillId="6" borderId="19" xfId="0" applyNumberFormat="1" applyFill="1" applyBorder="1"/>
    <xf numFmtId="168" fontId="2" fillId="6" borderId="15" xfId="0" applyNumberFormat="1" applyFont="1" applyFill="1" applyBorder="1"/>
    <xf numFmtId="0" fontId="2" fillId="0" borderId="6" xfId="0" applyFont="1" applyBorder="1"/>
    <xf numFmtId="168" fontId="2" fillId="0" borderId="8" xfId="0" applyNumberFormat="1" applyFont="1" applyBorder="1"/>
    <xf numFmtId="0" fontId="2" fillId="6" borderId="16" xfId="0" applyFont="1" applyFill="1" applyBorder="1"/>
    <xf numFmtId="168" fontId="0" fillId="6" borderId="18" xfId="2" applyNumberFormat="1" applyFont="1" applyFill="1" applyBorder="1"/>
    <xf numFmtId="164" fontId="0" fillId="6" borderId="18" xfId="0" applyNumberFormat="1" applyFill="1" applyBorder="1"/>
    <xf numFmtId="168" fontId="2" fillId="6" borderId="17" xfId="0" applyNumberFormat="1" applyFont="1" applyFill="1" applyBorder="1"/>
    <xf numFmtId="168" fontId="22" fillId="0" borderId="1" xfId="0" applyNumberFormat="1" applyFont="1" applyBorder="1"/>
    <xf numFmtId="9" fontId="0" fillId="0" borderId="3" xfId="1" applyFont="1" applyBorder="1"/>
    <xf numFmtId="9" fontId="0" fillId="0" borderId="4" xfId="1" applyFont="1" applyBorder="1"/>
    <xf numFmtId="168" fontId="0" fillId="0" borderId="6" xfId="0" applyNumberFormat="1" applyFont="1" applyBorder="1"/>
    <xf numFmtId="166" fontId="0" fillId="0" borderId="6" xfId="2" applyNumberFormat="1" applyFont="1" applyBorder="1"/>
    <xf numFmtId="168" fontId="2" fillId="12" borderId="6" xfId="2" applyNumberFormat="1" applyFont="1" applyFill="1" applyBorder="1"/>
    <xf numFmtId="168" fontId="0" fillId="0" borderId="16" xfId="0" applyNumberFormat="1" applyBorder="1"/>
    <xf numFmtId="168" fontId="0" fillId="0" borderId="17" xfId="0" applyNumberFormat="1" applyBorder="1"/>
    <xf numFmtId="9" fontId="0" fillId="0" borderId="0" xfId="1" applyFont="1" applyBorder="1"/>
    <xf numFmtId="164" fontId="39" fillId="9" borderId="14" xfId="0" applyNumberFormat="1" applyFont="1" applyFill="1" applyBorder="1"/>
    <xf numFmtId="10" fontId="2" fillId="9" borderId="19" xfId="1" applyNumberFormat="1" applyFont="1" applyFill="1" applyBorder="1"/>
    <xf numFmtId="164" fontId="0" fillId="9" borderId="6" xfId="0" applyNumberFormat="1" applyFill="1" applyBorder="1"/>
    <xf numFmtId="10" fontId="2" fillId="9" borderId="0" xfId="1" applyNumberFormat="1" applyFont="1" applyFill="1" applyBorder="1"/>
    <xf numFmtId="165" fontId="0" fillId="9" borderId="8" xfId="1" applyNumberFormat="1" applyFont="1" applyFill="1" applyBorder="1"/>
    <xf numFmtId="0" fontId="0" fillId="9" borderId="0" xfId="0" applyFill="1" applyBorder="1"/>
    <xf numFmtId="0" fontId="0" fillId="9" borderId="16" xfId="0" applyFill="1" applyBorder="1"/>
    <xf numFmtId="0" fontId="0" fillId="9" borderId="18" xfId="0" applyFill="1" applyBorder="1"/>
    <xf numFmtId="166" fontId="0" fillId="9" borderId="18" xfId="2" applyNumberFormat="1" applyFont="1" applyFill="1" applyBorder="1"/>
    <xf numFmtId="9" fontId="0" fillId="9" borderId="19" xfId="1" applyFont="1" applyFill="1" applyBorder="1" applyAlignment="1">
      <alignment horizontal="center"/>
    </xf>
    <xf numFmtId="168" fontId="9" fillId="0" borderId="0" xfId="2" applyNumberFormat="1" applyFont="1" applyBorder="1"/>
    <xf numFmtId="9" fontId="9" fillId="0" borderId="3" xfId="1" applyFont="1" applyBorder="1"/>
    <xf numFmtId="165" fontId="2" fillId="20" borderId="8" xfId="1" applyNumberFormat="1" applyFont="1" applyFill="1" applyBorder="1"/>
    <xf numFmtId="10" fontId="2" fillId="20" borderId="8" xfId="1" applyNumberFormat="1" applyFont="1" applyFill="1" applyBorder="1"/>
    <xf numFmtId="10" fontId="2" fillId="20" borderId="17" xfId="1" applyNumberFormat="1" applyFont="1" applyFill="1" applyBorder="1"/>
    <xf numFmtId="9" fontId="2" fillId="24" borderId="8" xfId="1" applyNumberFormat="1" applyFont="1" applyFill="1" applyBorder="1"/>
    <xf numFmtId="9" fontId="2" fillId="24" borderId="17" xfId="1" applyNumberFormat="1" applyFont="1" applyFill="1" applyBorder="1"/>
    <xf numFmtId="166" fontId="0" fillId="9" borderId="0" xfId="1" applyNumberFormat="1" applyFont="1" applyFill="1" applyBorder="1"/>
    <xf numFmtId="166" fontId="0" fillId="9" borderId="18" xfId="0" applyNumberFormat="1" applyFill="1" applyBorder="1"/>
    <xf numFmtId="165" fontId="0" fillId="9" borderId="17" xfId="1" applyNumberFormat="1" applyFont="1" applyFill="1" applyBorder="1"/>
    <xf numFmtId="9" fontId="0" fillId="9" borderId="17" xfId="1" applyFont="1" applyFill="1" applyBorder="1"/>
    <xf numFmtId="166" fontId="0" fillId="9" borderId="18" xfId="1" applyNumberFormat="1" applyFont="1" applyFill="1" applyBorder="1"/>
    <xf numFmtId="166" fontId="2" fillId="9" borderId="18" xfId="2" applyNumberFormat="1" applyFont="1" applyFill="1" applyBorder="1"/>
    <xf numFmtId="9" fontId="11" fillId="9" borderId="19" xfId="1" applyFont="1" applyFill="1" applyBorder="1" applyAlignment="1">
      <alignment horizontal="center"/>
    </xf>
    <xf numFmtId="165" fontId="2" fillId="9" borderId="8" xfId="1" applyNumberFormat="1" applyFont="1" applyFill="1" applyBorder="1"/>
    <xf numFmtId="165" fontId="2" fillId="9" borderId="17" xfId="1" applyNumberFormat="1" applyFont="1" applyFill="1" applyBorder="1"/>
    <xf numFmtId="0" fontId="0" fillId="20" borderId="6" xfId="0" applyFont="1" applyFill="1" applyBorder="1"/>
    <xf numFmtId="0" fontId="6" fillId="24" borderId="6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center" wrapText="1"/>
    </xf>
    <xf numFmtId="166" fontId="2" fillId="11" borderId="1" xfId="0" applyNumberFormat="1" applyFont="1" applyFill="1" applyBorder="1"/>
    <xf numFmtId="165" fontId="2" fillId="11" borderId="1" xfId="1" applyNumberFormat="1" applyFont="1" applyFill="1" applyBorder="1"/>
    <xf numFmtId="166" fontId="0" fillId="11" borderId="1" xfId="2" applyNumberFormat="1" applyFont="1" applyFill="1" applyBorder="1"/>
    <xf numFmtId="166" fontId="2" fillId="11" borderId="1" xfId="2" applyNumberFormat="1" applyFont="1" applyFill="1" applyBorder="1"/>
    <xf numFmtId="166" fontId="1" fillId="11" borderId="1" xfId="2" applyNumberFormat="1" applyFont="1" applyFill="1" applyBorder="1"/>
    <xf numFmtId="165" fontId="1" fillId="11" borderId="1" xfId="1" applyNumberFormat="1" applyFont="1" applyFill="1" applyBorder="1"/>
    <xf numFmtId="10" fontId="1" fillId="11" borderId="1" xfId="1" applyNumberFormat="1" applyFont="1" applyFill="1" applyBorder="1"/>
    <xf numFmtId="170" fontId="1" fillId="11" borderId="1" xfId="1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6" fontId="16" fillId="11" borderId="1" xfId="2" applyNumberFormat="1" applyFont="1" applyFill="1" applyBorder="1"/>
    <xf numFmtId="165" fontId="16" fillId="11" borderId="1" xfId="1" applyNumberFormat="1" applyFont="1" applyFill="1" applyBorder="1"/>
    <xf numFmtId="0" fontId="3" fillId="11" borderId="1" xfId="0" applyFont="1" applyFill="1" applyBorder="1"/>
    <xf numFmtId="9" fontId="2" fillId="11" borderId="1" xfId="1" applyFont="1" applyFill="1" applyBorder="1"/>
    <xf numFmtId="9" fontId="1" fillId="11" borderId="1" xfId="1" applyFont="1" applyFill="1" applyBorder="1"/>
    <xf numFmtId="0" fontId="40" fillId="0" borderId="0" xfId="0" applyFont="1" applyBorder="1"/>
    <xf numFmtId="172" fontId="40" fillId="0" borderId="0" xfId="2" applyNumberFormat="1" applyFont="1" applyBorder="1" applyAlignment="1">
      <alignment horizontal="center" vertical="center"/>
    </xf>
    <xf numFmtId="166" fontId="24" fillId="0" borderId="0" xfId="2" applyNumberFormat="1" applyFont="1" applyAlignment="1">
      <alignment horizontal="center"/>
    </xf>
    <xf numFmtId="0" fontId="11" fillId="0" borderId="0" xfId="0" applyFont="1" applyBorder="1" applyAlignment="1">
      <alignment horizontal="left"/>
    </xf>
    <xf numFmtId="0" fontId="31" fillId="0" borderId="0" xfId="0" applyFont="1" applyBorder="1"/>
    <xf numFmtId="0" fontId="11" fillId="0" borderId="1" xfId="0" applyFont="1" applyBorder="1"/>
    <xf numFmtId="168" fontId="0" fillId="0" borderId="19" xfId="0" applyNumberFormat="1" applyBorder="1"/>
    <xf numFmtId="168" fontId="0" fillId="0" borderId="15" xfId="0" applyNumberFormat="1" applyBorder="1"/>
    <xf numFmtId="0" fontId="11" fillId="27" borderId="14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7" borderId="15" xfId="0" applyFont="1" applyFill="1" applyBorder="1" applyAlignment="1">
      <alignment horizontal="center"/>
    </xf>
    <xf numFmtId="164" fontId="11" fillId="27" borderId="0" xfId="0" applyNumberFormat="1" applyFont="1" applyFill="1" applyBorder="1"/>
    <xf numFmtId="164" fontId="11" fillId="27" borderId="8" xfId="0" applyNumberFormat="1" applyFont="1" applyFill="1" applyBorder="1"/>
    <xf numFmtId="164" fontId="11" fillId="27" borderId="18" xfId="0" applyNumberFormat="1" applyFont="1" applyFill="1" applyBorder="1"/>
    <xf numFmtId="164" fontId="11" fillId="27" borderId="17" xfId="0" applyNumberFormat="1" applyFont="1" applyFill="1" applyBorder="1"/>
    <xf numFmtId="166" fontId="11" fillId="27" borderId="6" xfId="2" applyNumberFormat="1" applyFont="1" applyFill="1" applyBorder="1"/>
    <xf numFmtId="0" fontId="11" fillId="27" borderId="0" xfId="0" applyFont="1" applyFill="1" applyBorder="1"/>
    <xf numFmtId="164" fontId="22" fillId="27" borderId="8" xfId="0" applyNumberFormat="1" applyFont="1" applyFill="1" applyBorder="1"/>
    <xf numFmtId="168" fontId="11" fillId="27" borderId="0" xfId="0" applyNumberFormat="1" applyFont="1" applyFill="1" applyBorder="1"/>
    <xf numFmtId="168" fontId="11" fillId="27" borderId="8" xfId="0" applyNumberFormat="1" applyFont="1" applyFill="1" applyBorder="1"/>
    <xf numFmtId="168" fontId="11" fillId="27" borderId="18" xfId="0" applyNumberFormat="1" applyFont="1" applyFill="1" applyBorder="1"/>
    <xf numFmtId="168" fontId="11" fillId="27" borderId="17" xfId="0" applyNumberFormat="1" applyFont="1" applyFill="1" applyBorder="1"/>
    <xf numFmtId="168" fontId="22" fillId="27" borderId="8" xfId="0" applyNumberFormat="1" applyFont="1" applyFill="1" applyBorder="1"/>
    <xf numFmtId="0" fontId="11" fillId="27" borderId="9" xfId="0" applyFont="1" applyFill="1" applyBorder="1"/>
    <xf numFmtId="0" fontId="11" fillId="27" borderId="10" xfId="0" applyFont="1" applyFill="1" applyBorder="1"/>
    <xf numFmtId="0" fontId="22" fillId="27" borderId="2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8" xfId="0" applyFont="1" applyFill="1" applyBorder="1" applyAlignment="1">
      <alignment horizontal="center"/>
    </xf>
    <xf numFmtId="0" fontId="11" fillId="27" borderId="16" xfId="0" applyFont="1" applyFill="1" applyBorder="1" applyAlignment="1">
      <alignment horizontal="center"/>
    </xf>
    <xf numFmtId="0" fontId="11" fillId="27" borderId="17" xfId="0" applyFont="1" applyFill="1" applyBorder="1" applyAlignment="1">
      <alignment horizontal="center"/>
    </xf>
    <xf numFmtId="0" fontId="11" fillId="27" borderId="6" xfId="0" applyFont="1" applyFill="1" applyBorder="1"/>
    <xf numFmtId="0" fontId="11" fillId="27" borderId="8" xfId="0" applyFont="1" applyFill="1" applyBorder="1"/>
    <xf numFmtId="164" fontId="11" fillId="27" borderId="16" xfId="2" applyFont="1" applyFill="1" applyBorder="1"/>
    <xf numFmtId="166" fontId="11" fillId="27" borderId="17" xfId="0" applyNumberFormat="1" applyFont="1" applyFill="1" applyBorder="1" applyAlignment="1">
      <alignment horizontal="center"/>
    </xf>
    <xf numFmtId="164" fontId="11" fillId="4" borderId="8" xfId="0" applyNumberFormat="1" applyFont="1" applyFill="1" applyBorder="1"/>
    <xf numFmtId="168" fontId="11" fillId="4" borderId="8" xfId="0" applyNumberFormat="1" applyFont="1" applyFill="1" applyBorder="1"/>
    <xf numFmtId="168" fontId="11" fillId="4" borderId="17" xfId="0" applyNumberFormat="1" applyFont="1" applyFill="1" applyBorder="1"/>
    <xf numFmtId="166" fontId="22" fillId="4" borderId="9" xfId="0" applyNumberFormat="1" applyFont="1" applyFill="1" applyBorder="1"/>
    <xf numFmtId="168" fontId="22" fillId="4" borderId="10" xfId="0" applyNumberFormat="1" applyFont="1" applyFill="1" applyBorder="1"/>
    <xf numFmtId="168" fontId="22" fillId="4" borderId="11" xfId="0" applyNumberFormat="1" applyFont="1" applyFill="1" applyBorder="1"/>
    <xf numFmtId="0" fontId="11" fillId="15" borderId="14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15" xfId="0" applyFont="1" applyFill="1" applyBorder="1" applyAlignment="1">
      <alignment horizontal="center"/>
    </xf>
    <xf numFmtId="164" fontId="11" fillId="15" borderId="0" xfId="2" applyNumberFormat="1" applyFont="1" applyFill="1" applyBorder="1"/>
    <xf numFmtId="164" fontId="11" fillId="15" borderId="8" xfId="0" applyNumberFormat="1" applyFont="1" applyFill="1" applyBorder="1"/>
    <xf numFmtId="164" fontId="11" fillId="15" borderId="18" xfId="2" applyNumberFormat="1" applyFont="1" applyFill="1" applyBorder="1"/>
    <xf numFmtId="164" fontId="11" fillId="15" borderId="17" xfId="0" applyNumberFormat="1" applyFont="1" applyFill="1" applyBorder="1"/>
    <xf numFmtId="166" fontId="22" fillId="15" borderId="6" xfId="0" applyNumberFormat="1" applyFont="1" applyFill="1" applyBorder="1"/>
    <xf numFmtId="164" fontId="22" fillId="15" borderId="0" xfId="0" applyNumberFormat="1" applyFont="1" applyFill="1" applyBorder="1"/>
    <xf numFmtId="164" fontId="22" fillId="15" borderId="8" xfId="0" applyNumberFormat="1" applyFont="1" applyFill="1" applyBorder="1"/>
    <xf numFmtId="168" fontId="11" fillId="15" borderId="0" xfId="2" applyNumberFormat="1" applyFont="1" applyFill="1" applyBorder="1"/>
    <xf numFmtId="168" fontId="11" fillId="15" borderId="8" xfId="0" applyNumberFormat="1" applyFont="1" applyFill="1" applyBorder="1"/>
    <xf numFmtId="168" fontId="11" fillId="15" borderId="18" xfId="2" applyNumberFormat="1" applyFont="1" applyFill="1" applyBorder="1"/>
    <xf numFmtId="168" fontId="11" fillId="15" borderId="17" xfId="0" applyNumberFormat="1" applyFont="1" applyFill="1" applyBorder="1"/>
    <xf numFmtId="168" fontId="22" fillId="15" borderId="0" xfId="0" applyNumberFormat="1" applyFont="1" applyFill="1" applyBorder="1"/>
    <xf numFmtId="168" fontId="22" fillId="15" borderId="8" xfId="0" applyNumberFormat="1" applyFont="1" applyFill="1" applyBorder="1"/>
    <xf numFmtId="168" fontId="22" fillId="15" borderId="10" xfId="0" applyNumberFormat="1" applyFont="1" applyFill="1" applyBorder="1"/>
    <xf numFmtId="168" fontId="22" fillId="15" borderId="11" xfId="0" applyNumberFormat="1" applyFont="1" applyFill="1" applyBorder="1"/>
    <xf numFmtId="166" fontId="11" fillId="15" borderId="16" xfId="2" applyNumberFormat="1" applyFont="1" applyFill="1" applyBorder="1"/>
    <xf numFmtId="0" fontId="11" fillId="15" borderId="6" xfId="0" applyFont="1" applyFill="1" applyBorder="1"/>
    <xf numFmtId="169" fontId="11" fillId="15" borderId="0" xfId="0" applyNumberFormat="1" applyFont="1" applyFill="1" applyBorder="1"/>
    <xf numFmtId="169" fontId="11" fillId="15" borderId="18" xfId="0" applyNumberFormat="1" applyFont="1" applyFill="1" applyBorder="1"/>
    <xf numFmtId="166" fontId="22" fillId="15" borderId="16" xfId="0" applyNumberFormat="1" applyFont="1" applyFill="1" applyBorder="1"/>
    <xf numFmtId="169" fontId="22" fillId="15" borderId="16" xfId="2" applyNumberFormat="1" applyFont="1" applyFill="1" applyBorder="1"/>
    <xf numFmtId="164" fontId="22" fillId="15" borderId="13" xfId="2" applyFont="1" applyFill="1" applyBorder="1"/>
    <xf numFmtId="164" fontId="11" fillId="15" borderId="0" xfId="0" applyNumberFormat="1" applyFont="1" applyFill="1" applyBorder="1" applyAlignment="1">
      <alignment horizontal="center"/>
    </xf>
    <xf numFmtId="166" fontId="11" fillId="15" borderId="0" xfId="0" applyNumberFormat="1" applyFont="1" applyFill="1" applyBorder="1" applyAlignment="1">
      <alignment horizontal="center"/>
    </xf>
    <xf numFmtId="166" fontId="11" fillId="15" borderId="18" xfId="0" applyNumberFormat="1" applyFont="1" applyFill="1" applyBorder="1" applyAlignment="1">
      <alignment horizontal="center"/>
    </xf>
    <xf numFmtId="3" fontId="35" fillId="15" borderId="16" xfId="0" applyNumberFormat="1" applyFont="1" applyFill="1" applyBorder="1" applyAlignment="1">
      <alignment horizontal="right" vertical="center"/>
    </xf>
    <xf numFmtId="0" fontId="11" fillId="24" borderId="0" xfId="0" applyFont="1" applyFill="1" applyBorder="1" applyAlignment="1">
      <alignment horizontal="center"/>
    </xf>
    <xf numFmtId="167" fontId="11" fillId="24" borderId="0" xfId="2" applyNumberFormat="1" applyFont="1" applyFill="1" applyBorder="1"/>
    <xf numFmtId="164" fontId="11" fillId="24" borderId="0" xfId="2" applyFont="1" applyFill="1" applyBorder="1"/>
    <xf numFmtId="165" fontId="11" fillId="24" borderId="0" xfId="1" applyNumberFormat="1" applyFont="1" applyFill="1" applyBorder="1"/>
    <xf numFmtId="167" fontId="11" fillId="24" borderId="18" xfId="2" applyNumberFormat="1" applyFont="1" applyFill="1" applyBorder="1"/>
    <xf numFmtId="164" fontId="11" fillId="24" borderId="18" xfId="2" applyFont="1" applyFill="1" applyBorder="1"/>
    <xf numFmtId="165" fontId="11" fillId="24" borderId="18" xfId="1" applyNumberFormat="1" applyFont="1" applyFill="1" applyBorder="1"/>
    <xf numFmtId="0" fontId="11" fillId="24" borderId="10" xfId="0" applyFont="1" applyFill="1" applyBorder="1"/>
    <xf numFmtId="165" fontId="22" fillId="24" borderId="10" xfId="1" applyNumberFormat="1" applyFont="1" applyFill="1" applyBorder="1"/>
    <xf numFmtId="0" fontId="11" fillId="24" borderId="14" xfId="0" applyFont="1" applyFill="1" applyBorder="1" applyAlignment="1">
      <alignment horizontal="center"/>
    </xf>
    <xf numFmtId="0" fontId="11" fillId="24" borderId="19" xfId="0" applyFont="1" applyFill="1" applyBorder="1" applyAlignment="1">
      <alignment horizontal="center"/>
    </xf>
    <xf numFmtId="165" fontId="11" fillId="24" borderId="16" xfId="1" applyNumberFormat="1" applyFont="1" applyFill="1" applyBorder="1" applyAlignment="1">
      <alignment horizontal="center"/>
    </xf>
    <xf numFmtId="168" fontId="11" fillId="24" borderId="18" xfId="0" applyNumberFormat="1" applyFont="1" applyFill="1" applyBorder="1" applyAlignment="1">
      <alignment horizontal="center"/>
    </xf>
    <xf numFmtId="165" fontId="11" fillId="24" borderId="0" xfId="1" applyNumberFormat="1" applyFont="1" applyFill="1" applyBorder="1" applyAlignment="1">
      <alignment horizontal="center"/>
    </xf>
    <xf numFmtId="168" fontId="11" fillId="24" borderId="0" xfId="0" applyNumberFormat="1" applyFont="1" applyFill="1" applyBorder="1" applyAlignment="1"/>
    <xf numFmtId="165" fontId="22" fillId="24" borderId="0" xfId="1" applyNumberFormat="1" applyFont="1" applyFill="1" applyBorder="1" applyAlignment="1">
      <alignment horizontal="center"/>
    </xf>
    <xf numFmtId="168" fontId="22" fillId="24" borderId="0" xfId="0" applyNumberFormat="1" applyFont="1" applyFill="1" applyBorder="1" applyAlignment="1"/>
    <xf numFmtId="0" fontId="22" fillId="24" borderId="8" xfId="0" applyFont="1" applyFill="1" applyBorder="1" applyAlignment="1">
      <alignment horizontal="center"/>
    </xf>
    <xf numFmtId="168" fontId="11" fillId="24" borderId="0" xfId="0" applyNumberFormat="1" applyFont="1" applyFill="1" applyBorder="1"/>
    <xf numFmtId="0" fontId="11" fillId="24" borderId="15" xfId="0" applyFont="1" applyFill="1" applyBorder="1" applyAlignment="1">
      <alignment horizontal="center"/>
    </xf>
    <xf numFmtId="165" fontId="11" fillId="24" borderId="8" xfId="1" applyNumberFormat="1" applyFont="1" applyFill="1" applyBorder="1" applyAlignment="1">
      <alignment horizontal="center"/>
    </xf>
    <xf numFmtId="165" fontId="11" fillId="24" borderId="17" xfId="1" applyNumberFormat="1" applyFont="1" applyFill="1" applyBorder="1" applyAlignment="1">
      <alignment horizontal="center"/>
    </xf>
    <xf numFmtId="167" fontId="11" fillId="24" borderId="16" xfId="2" applyNumberFormat="1" applyFont="1" applyFill="1" applyBorder="1"/>
    <xf numFmtId="165" fontId="11" fillId="24" borderId="17" xfId="1" applyNumberFormat="1" applyFont="1" applyFill="1" applyBorder="1"/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1" fillId="26" borderId="8" xfId="0" applyFont="1" applyFill="1" applyBorder="1" applyAlignment="1">
      <alignment horizontal="center"/>
    </xf>
    <xf numFmtId="0" fontId="11" fillId="26" borderId="8" xfId="0" applyFont="1" applyFill="1" applyBorder="1"/>
    <xf numFmtId="0" fontId="11" fillId="26" borderId="17" xfId="0" applyFont="1" applyFill="1" applyBorder="1"/>
    <xf numFmtId="166" fontId="11" fillId="26" borderId="6" xfId="2" applyNumberFormat="1" applyFont="1" applyFill="1" applyBorder="1"/>
    <xf numFmtId="164" fontId="11" fillId="26" borderId="0" xfId="0" applyNumberFormat="1" applyFont="1" applyFill="1" applyBorder="1"/>
    <xf numFmtId="164" fontId="11" fillId="26" borderId="8" xfId="0" applyNumberFormat="1" applyFont="1" applyFill="1" applyBorder="1"/>
    <xf numFmtId="168" fontId="11" fillId="26" borderId="0" xfId="0" applyNumberFormat="1" applyFont="1" applyFill="1" applyBorder="1"/>
    <xf numFmtId="168" fontId="11" fillId="26" borderId="8" xfId="0" applyNumberFormat="1" applyFont="1" applyFill="1" applyBorder="1"/>
    <xf numFmtId="168" fontId="22" fillId="26" borderId="10" xfId="0" applyNumberFormat="1" applyFont="1" applyFill="1" applyBorder="1"/>
    <xf numFmtId="168" fontId="22" fillId="26" borderId="11" xfId="0" applyNumberFormat="1" applyFont="1" applyFill="1" applyBorder="1"/>
    <xf numFmtId="0" fontId="11" fillId="26" borderId="1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1" fillId="26" borderId="15" xfId="0" applyFont="1" applyFill="1" applyBorder="1" applyAlignment="1">
      <alignment horizontal="center"/>
    </xf>
    <xf numFmtId="164" fontId="11" fillId="26" borderId="18" xfId="0" applyNumberFormat="1" applyFont="1" applyFill="1" applyBorder="1"/>
    <xf numFmtId="164" fontId="11" fillId="26" borderId="17" xfId="0" applyNumberFormat="1" applyFont="1" applyFill="1" applyBorder="1"/>
    <xf numFmtId="0" fontId="11" fillId="26" borderId="16" xfId="0" applyFont="1" applyFill="1" applyBorder="1" applyAlignment="1">
      <alignment horizontal="center"/>
    </xf>
    <xf numFmtId="164" fontId="11" fillId="26" borderId="8" xfId="0" applyNumberFormat="1" applyFont="1" applyFill="1" applyBorder="1" applyAlignment="1">
      <alignment horizontal="center"/>
    </xf>
    <xf numFmtId="166" fontId="22" fillId="26" borderId="1" xfId="2" applyNumberFormat="1" applyFont="1" applyFill="1" applyBorder="1"/>
    <xf numFmtId="166" fontId="11" fillId="27" borderId="0" xfId="2" applyNumberFormat="1" applyFont="1" applyFill="1" applyBorder="1" applyAlignment="1">
      <alignment horizontal="center"/>
    </xf>
    <xf numFmtId="168" fontId="11" fillId="27" borderId="0" xfId="2" applyNumberFormat="1" applyFont="1" applyFill="1" applyBorder="1" applyAlignment="1">
      <alignment horizontal="center"/>
    </xf>
    <xf numFmtId="168" fontId="11" fillId="27" borderId="8" xfId="0" applyNumberFormat="1" applyFont="1" applyFill="1" applyBorder="1" applyAlignment="1">
      <alignment horizontal="center"/>
    </xf>
    <xf numFmtId="166" fontId="11" fillId="27" borderId="18" xfId="2" applyNumberFormat="1" applyFont="1" applyFill="1" applyBorder="1" applyAlignment="1">
      <alignment horizontal="center"/>
    </xf>
    <xf numFmtId="168" fontId="11" fillId="27" borderId="17" xfId="0" applyNumberFormat="1" applyFont="1" applyFill="1" applyBorder="1" applyAlignment="1">
      <alignment horizontal="center"/>
    </xf>
    <xf numFmtId="3" fontId="35" fillId="27" borderId="18" xfId="0" applyNumberFormat="1" applyFont="1" applyFill="1" applyBorder="1" applyAlignment="1">
      <alignment vertical="center"/>
    </xf>
    <xf numFmtId="166" fontId="9" fillId="0" borderId="0" xfId="0" applyNumberFormat="1" applyFont="1"/>
    <xf numFmtId="9" fontId="9" fillId="0" borderId="0" xfId="1" applyFont="1"/>
    <xf numFmtId="10" fontId="9" fillId="0" borderId="0" xfId="1" applyNumberFormat="1" applyFont="1"/>
    <xf numFmtId="164" fontId="11" fillId="0" borderId="1" xfId="2" applyNumberFormat="1" applyFont="1" applyBorder="1" applyAlignment="1">
      <alignment horizontal="left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0" xfId="0" applyFont="1" applyFill="1" applyBorder="1"/>
    <xf numFmtId="0" fontId="11" fillId="4" borderId="8" xfId="0" applyFont="1" applyFill="1" applyBorder="1"/>
    <xf numFmtId="0" fontId="11" fillId="4" borderId="16" xfId="0" applyFont="1" applyFill="1" applyBorder="1"/>
    <xf numFmtId="0" fontId="11" fillId="4" borderId="18" xfId="0" applyFont="1" applyFill="1" applyBorder="1"/>
    <xf numFmtId="0" fontId="11" fillId="4" borderId="17" xfId="0" applyFont="1" applyFill="1" applyBorder="1"/>
    <xf numFmtId="166" fontId="11" fillId="4" borderId="6" xfId="0" applyNumberFormat="1" applyFont="1" applyFill="1" applyBorder="1"/>
    <xf numFmtId="164" fontId="11" fillId="4" borderId="0" xfId="0" applyNumberFormat="1" applyFont="1" applyFill="1" applyBorder="1"/>
    <xf numFmtId="168" fontId="11" fillId="4" borderId="0" xfId="0" applyNumberFormat="1" applyFont="1" applyFill="1" applyBorder="1"/>
    <xf numFmtId="166" fontId="11" fillId="4" borderId="16" xfId="0" applyNumberFormat="1" applyFont="1" applyFill="1" applyBorder="1"/>
    <xf numFmtId="168" fontId="11" fillId="4" borderId="18" xfId="0" applyNumberFormat="1" applyFont="1" applyFill="1" applyBorder="1"/>
    <xf numFmtId="166" fontId="11" fillId="4" borderId="0" xfId="0" applyNumberFormat="1" applyFont="1" applyFill="1" applyBorder="1"/>
    <xf numFmtId="166" fontId="22" fillId="4" borderId="2" xfId="0" applyNumberFormat="1" applyFont="1" applyFill="1" applyBorder="1"/>
    <xf numFmtId="168" fontId="22" fillId="4" borderId="3" xfId="0" applyNumberFormat="1" applyFont="1" applyFill="1" applyBorder="1"/>
    <xf numFmtId="168" fontId="22" fillId="4" borderId="4" xfId="0" applyNumberFormat="1" applyFont="1" applyFill="1" applyBorder="1"/>
    <xf numFmtId="164" fontId="11" fillId="4" borderId="0" xfId="0" applyNumberFormat="1" applyFont="1" applyFill="1" applyBorder="1" applyAlignment="1">
      <alignment horizontal="center"/>
    </xf>
    <xf numFmtId="164" fontId="11" fillId="4" borderId="8" xfId="0" applyNumberFormat="1" applyFont="1" applyFill="1" applyBorder="1" applyAlignment="1">
      <alignment horizontal="center"/>
    </xf>
    <xf numFmtId="166" fontId="22" fillId="4" borderId="1" xfId="2" applyNumberFormat="1" applyFont="1" applyFill="1" applyBorder="1"/>
    <xf numFmtId="0" fontId="11" fillId="28" borderId="7" xfId="0" applyFont="1" applyFill="1" applyBorder="1" applyAlignment="1">
      <alignment horizontal="left"/>
    </xf>
    <xf numFmtId="0" fontId="11" fillId="28" borderId="15" xfId="0" applyFont="1" applyFill="1" applyBorder="1"/>
    <xf numFmtId="0" fontId="11" fillId="28" borderId="1" xfId="0" applyFont="1" applyFill="1" applyBorder="1" applyAlignment="1">
      <alignment horizontal="center"/>
    </xf>
    <xf numFmtId="0" fontId="11" fillId="28" borderId="1" xfId="0" applyFont="1" applyFill="1" applyBorder="1"/>
    <xf numFmtId="173" fontId="11" fillId="28" borderId="1" xfId="0" applyNumberFormat="1" applyFont="1" applyFill="1" applyBorder="1"/>
    <xf numFmtId="0" fontId="37" fillId="28" borderId="14" xfId="3" applyFont="1" applyFill="1" applyBorder="1"/>
    <xf numFmtId="0" fontId="0" fillId="28" borderId="19" xfId="0" applyFill="1" applyBorder="1"/>
    <xf numFmtId="0" fontId="37" fillId="28" borderId="6" xfId="3" applyFont="1" applyFill="1" applyBorder="1"/>
    <xf numFmtId="0" fontId="0" fillId="28" borderId="0" xfId="0" applyFill="1" applyBorder="1"/>
    <xf numFmtId="0" fontId="37" fillId="28" borderId="16" xfId="3" applyFont="1" applyFill="1" applyBorder="1"/>
    <xf numFmtId="0" fontId="0" fillId="28" borderId="18" xfId="0" applyFill="1" applyBorder="1"/>
    <xf numFmtId="0" fontId="38" fillId="28" borderId="16" xfId="3" applyFont="1" applyFill="1" applyBorder="1" applyAlignment="1">
      <alignment horizontal="right"/>
    </xf>
    <xf numFmtId="166" fontId="2" fillId="28" borderId="1" xfId="0" applyNumberFormat="1" applyFont="1" applyFill="1" applyBorder="1"/>
    <xf numFmtId="0" fontId="0" fillId="28" borderId="14" xfId="0" applyFill="1" applyBorder="1"/>
    <xf numFmtId="0" fontId="17" fillId="28" borderId="19" xfId="0" applyFont="1" applyFill="1" applyBorder="1" applyAlignment="1">
      <alignment horizontal="center"/>
    </xf>
    <xf numFmtId="0" fontId="17" fillId="28" borderId="15" xfId="0" applyFont="1" applyFill="1" applyBorder="1" applyAlignment="1">
      <alignment horizontal="center"/>
    </xf>
    <xf numFmtId="0" fontId="2" fillId="28" borderId="6" xfId="0" applyFont="1" applyFill="1" applyBorder="1"/>
    <xf numFmtId="166" fontId="0" fillId="28" borderId="0" xfId="0" applyNumberFormat="1" applyFill="1" applyBorder="1"/>
    <xf numFmtId="164" fontId="0" fillId="28" borderId="8" xfId="0" applyNumberFormat="1" applyFill="1" applyBorder="1"/>
    <xf numFmtId="0" fontId="0" fillId="28" borderId="6" xfId="0" applyFill="1" applyBorder="1"/>
    <xf numFmtId="0" fontId="0" fillId="28" borderId="8" xfId="0" applyFill="1" applyBorder="1"/>
    <xf numFmtId="0" fontId="0" fillId="28" borderId="17" xfId="0" applyFill="1" applyBorder="1"/>
    <xf numFmtId="0" fontId="0" fillId="28" borderId="16" xfId="0" applyFill="1" applyBorder="1"/>
    <xf numFmtId="164" fontId="0" fillId="28" borderId="17" xfId="0" applyNumberFormat="1" applyFill="1" applyBorder="1"/>
    <xf numFmtId="166" fontId="0" fillId="28" borderId="15" xfId="0" applyNumberFormat="1" applyFill="1" applyBorder="1"/>
    <xf numFmtId="0" fontId="0" fillId="28" borderId="4" xfId="0" applyFill="1" applyBorder="1"/>
    <xf numFmtId="166" fontId="0" fillId="28" borderId="17" xfId="0" applyNumberFormat="1" applyFill="1" applyBorder="1"/>
    <xf numFmtId="0" fontId="7" fillId="18" borderId="2" xfId="0" applyFont="1" applyFill="1" applyBorder="1" applyAlignment="1"/>
    <xf numFmtId="0" fontId="18" fillId="0" borderId="14" xfId="0" applyFont="1" applyBorder="1" applyAlignment="1">
      <alignment horizontal="left"/>
    </xf>
    <xf numFmtId="0" fontId="0" fillId="0" borderId="15" xfId="0" applyBorder="1"/>
    <xf numFmtId="0" fontId="0" fillId="0" borderId="17" xfId="0" applyBorder="1"/>
    <xf numFmtId="166" fontId="11" fillId="0" borderId="6" xfId="2" applyNumberFormat="1" applyFont="1" applyBorder="1"/>
    <xf numFmtId="0" fontId="11" fillId="0" borderId="6" xfId="0" applyFont="1" applyBorder="1"/>
    <xf numFmtId="0" fontId="11" fillId="0" borderId="19" xfId="0" applyFont="1" applyBorder="1"/>
    <xf numFmtId="0" fontId="15" fillId="0" borderId="0" xfId="0" applyFont="1"/>
    <xf numFmtId="0" fontId="15" fillId="0" borderId="18" xfId="0" applyFont="1" applyBorder="1"/>
    <xf numFmtId="0" fontId="15" fillId="0" borderId="6" xfId="0" applyFont="1" applyBorder="1"/>
    <xf numFmtId="0" fontId="15" fillId="0" borderId="0" xfId="0" applyFont="1" applyBorder="1"/>
    <xf numFmtId="0" fontId="15" fillId="0" borderId="0" xfId="0" quotePrefix="1" applyFont="1" applyBorder="1"/>
    <xf numFmtId="166" fontId="15" fillId="0" borderId="0" xfId="2" applyNumberFormat="1" applyFont="1" applyBorder="1"/>
    <xf numFmtId="0" fontId="11" fillId="0" borderId="16" xfId="0" applyFont="1" applyBorder="1"/>
    <xf numFmtId="0" fontId="11" fillId="0" borderId="18" xfId="0" applyFont="1" applyBorder="1"/>
    <xf numFmtId="1" fontId="15" fillId="0" borderId="0" xfId="0" applyNumberFormat="1" applyFont="1" applyBorder="1"/>
    <xf numFmtId="0" fontId="11" fillId="0" borderId="8" xfId="0" applyFont="1" applyBorder="1"/>
    <xf numFmtId="0" fontId="15" fillId="0" borderId="8" xfId="0" applyFont="1" applyBorder="1"/>
    <xf numFmtId="0" fontId="8" fillId="3" borderId="5" xfId="0" applyFont="1" applyFill="1" applyBorder="1" applyAlignment="1">
      <alignment horizontal="center"/>
    </xf>
    <xf numFmtId="3" fontId="15" fillId="15" borderId="5" xfId="0" applyNumberFormat="1" applyFont="1" applyFill="1" applyBorder="1" applyAlignment="1">
      <alignment horizontal="center"/>
    </xf>
    <xf numFmtId="174" fontId="35" fillId="15" borderId="5" xfId="0" applyNumberFormat="1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 vertical="center" wrapText="1"/>
    </xf>
    <xf numFmtId="3" fontId="42" fillId="15" borderId="5" xfId="0" applyNumberFormat="1" applyFont="1" applyFill="1" applyBorder="1" applyAlignment="1">
      <alignment horizontal="center"/>
    </xf>
    <xf numFmtId="3" fontId="35" fillId="15" borderId="5" xfId="0" applyNumberFormat="1" applyFont="1" applyFill="1" applyBorder="1" applyAlignment="1">
      <alignment horizontal="center"/>
    </xf>
    <xf numFmtId="3" fontId="43" fillId="15" borderId="5" xfId="0" applyNumberFormat="1" applyFont="1" applyFill="1" applyBorder="1" applyAlignment="1">
      <alignment horizontal="center"/>
    </xf>
    <xf numFmtId="174" fontId="15" fillId="15" borderId="5" xfId="0" applyNumberFormat="1" applyFont="1" applyFill="1" applyBorder="1" applyAlignment="1">
      <alignment horizontal="center"/>
    </xf>
    <xf numFmtId="0" fontId="15" fillId="0" borderId="0" xfId="0" quotePrefix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6" xfId="0" applyFont="1" applyBorder="1"/>
    <xf numFmtId="164" fontId="15" fillId="0" borderId="18" xfId="0" applyNumberFormat="1" applyFont="1" applyBorder="1"/>
    <xf numFmtId="0" fontId="20" fillId="0" borderId="0" xfId="0" applyFont="1" applyBorder="1"/>
    <xf numFmtId="0" fontId="22" fillId="0" borderId="0" xfId="0" applyFont="1" applyBorder="1"/>
    <xf numFmtId="0" fontId="35" fillId="0" borderId="4" xfId="0" applyFont="1" applyBorder="1"/>
    <xf numFmtId="166" fontId="15" fillId="0" borderId="18" xfId="2" applyNumberFormat="1" applyFont="1" applyBorder="1"/>
    <xf numFmtId="1" fontId="0" fillId="22" borderId="7" xfId="0" applyNumberFormat="1" applyFill="1" applyBorder="1" applyAlignment="1">
      <alignment horizontal="center"/>
    </xf>
    <xf numFmtId="1" fontId="0" fillId="22" borderId="5" xfId="0" applyNumberFormat="1" applyFill="1" applyBorder="1" applyAlignment="1">
      <alignment horizontal="center"/>
    </xf>
    <xf numFmtId="168" fontId="0" fillId="22" borderId="7" xfId="0" applyNumberFormat="1" applyFill="1" applyBorder="1" applyAlignment="1">
      <alignment horizontal="center"/>
    </xf>
    <xf numFmtId="168" fontId="0" fillId="22" borderId="5" xfId="0" applyNumberFormat="1" applyFill="1" applyBorder="1" applyAlignment="1">
      <alignment horizontal="center"/>
    </xf>
    <xf numFmtId="166" fontId="0" fillId="14" borderId="7" xfId="2" applyNumberFormat="1" applyFont="1" applyFill="1" applyBorder="1"/>
    <xf numFmtId="166" fontId="0" fillId="14" borderId="5" xfId="2" applyNumberFormat="1" applyFont="1" applyFill="1" applyBorder="1"/>
    <xf numFmtId="168" fontId="0" fillId="14" borderId="7" xfId="2" applyNumberFormat="1" applyFont="1" applyFill="1" applyBorder="1"/>
    <xf numFmtId="168" fontId="0" fillId="14" borderId="5" xfId="2" applyNumberFormat="1" applyFont="1" applyFill="1" applyBorder="1"/>
    <xf numFmtId="0" fontId="17" fillId="22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22" fillId="0" borderId="4" xfId="0" applyFont="1" applyBorder="1"/>
    <xf numFmtId="0" fontId="17" fillId="8" borderId="1" xfId="0" applyFont="1" applyFill="1" applyBorder="1" applyAlignment="1">
      <alignment horizontal="center" vertical="center" wrapText="1"/>
    </xf>
    <xf numFmtId="1" fontId="0" fillId="8" borderId="7" xfId="0" applyNumberFormat="1" applyFill="1" applyBorder="1"/>
    <xf numFmtId="164" fontId="0" fillId="8" borderId="7" xfId="0" applyNumberFormat="1" applyFill="1" applyBorder="1"/>
    <xf numFmtId="1" fontId="0" fillId="8" borderId="5" xfId="0" applyNumberFormat="1" applyFill="1" applyBorder="1"/>
    <xf numFmtId="164" fontId="0" fillId="8" borderId="5" xfId="0" applyNumberFormat="1" applyFill="1" applyBorder="1"/>
    <xf numFmtId="164" fontId="35" fillId="5" borderId="2" xfId="2" applyFont="1" applyFill="1" applyBorder="1"/>
    <xf numFmtId="164" fontId="22" fillId="5" borderId="2" xfId="2" applyFont="1" applyFill="1" applyBorder="1"/>
    <xf numFmtId="166" fontId="11" fillId="6" borderId="6" xfId="2" applyNumberFormat="1" applyFont="1" applyFill="1" applyBorder="1"/>
    <xf numFmtId="165" fontId="11" fillId="6" borderId="8" xfId="1" applyNumberFormat="1" applyFont="1" applyFill="1" applyBorder="1"/>
    <xf numFmtId="166" fontId="11" fillId="18" borderId="6" xfId="2" applyNumberFormat="1" applyFont="1" applyFill="1" applyBorder="1"/>
    <xf numFmtId="165" fontId="11" fillId="18" borderId="8" xfId="1" applyNumberFormat="1" applyFont="1" applyFill="1" applyBorder="1"/>
    <xf numFmtId="166" fontId="11" fillId="6" borderId="16" xfId="2" applyNumberFormat="1" applyFont="1" applyFill="1" applyBorder="1"/>
    <xf numFmtId="165" fontId="11" fillId="6" borderId="17" xfId="1" applyNumberFormat="1" applyFont="1" applyFill="1" applyBorder="1"/>
    <xf numFmtId="166" fontId="22" fillId="6" borderId="16" xfId="2" applyNumberFormat="1" applyFont="1" applyFill="1" applyBorder="1"/>
    <xf numFmtId="165" fontId="22" fillId="6" borderId="17" xfId="1" applyNumberFormat="1" applyFont="1" applyFill="1" applyBorder="1"/>
    <xf numFmtId="166" fontId="11" fillId="17" borderId="6" xfId="2" applyNumberFormat="1" applyFont="1" applyFill="1" applyBorder="1"/>
    <xf numFmtId="165" fontId="11" fillId="17" borderId="8" xfId="1" applyNumberFormat="1" applyFont="1" applyFill="1" applyBorder="1"/>
    <xf numFmtId="166" fontId="22" fillId="18" borderId="6" xfId="2" applyNumberFormat="1" applyFont="1" applyFill="1" applyBorder="1"/>
    <xf numFmtId="10" fontId="11" fillId="18" borderId="8" xfId="1" applyNumberFormat="1" applyFont="1" applyFill="1" applyBorder="1"/>
    <xf numFmtId="166" fontId="11" fillId="17" borderId="16" xfId="2" applyNumberFormat="1" applyFont="1" applyFill="1" applyBorder="1"/>
    <xf numFmtId="165" fontId="11" fillId="17" borderId="17" xfId="1" applyNumberFormat="1" applyFont="1" applyFill="1" applyBorder="1"/>
    <xf numFmtId="166" fontId="22" fillId="17" borderId="16" xfId="2" applyNumberFormat="1" applyFont="1" applyFill="1" applyBorder="1"/>
    <xf numFmtId="165" fontId="22" fillId="17" borderId="17" xfId="1" applyNumberFormat="1" applyFont="1" applyFill="1" applyBorder="1"/>
    <xf numFmtId="0" fontId="11" fillId="18" borderId="5" xfId="0" applyFont="1" applyFill="1" applyBorder="1"/>
    <xf numFmtId="0" fontId="11" fillId="0" borderId="13" xfId="0" applyFont="1" applyBorder="1"/>
    <xf numFmtId="0" fontId="22" fillId="0" borderId="13" xfId="0" applyFont="1" applyBorder="1"/>
    <xf numFmtId="0" fontId="17" fillId="0" borderId="1" xfId="0" applyFont="1" applyBorder="1"/>
    <xf numFmtId="0" fontId="29" fillId="0" borderId="0" xfId="0" applyFont="1"/>
    <xf numFmtId="0" fontId="44" fillId="0" borderId="0" xfId="0" applyFont="1"/>
    <xf numFmtId="164" fontId="11" fillId="0" borderId="0" xfId="2" applyFont="1"/>
    <xf numFmtId="164" fontId="22" fillId="5" borderId="0" xfId="0" applyNumberFormat="1" applyFont="1" applyFill="1"/>
    <xf numFmtId="0" fontId="11" fillId="5" borderId="0" xfId="0" applyFont="1" applyFill="1"/>
    <xf numFmtId="0" fontId="11" fillId="0" borderId="0" xfId="0" quotePrefix="1" applyFont="1"/>
    <xf numFmtId="0" fontId="17" fillId="29" borderId="1" xfId="0" applyFont="1" applyFill="1" applyBorder="1" applyAlignment="1">
      <alignment horizontal="center" vertical="center" wrapText="1"/>
    </xf>
    <xf numFmtId="166" fontId="0" fillId="29" borderId="7" xfId="2" applyNumberFormat="1" applyFont="1" applyFill="1" applyBorder="1"/>
    <xf numFmtId="166" fontId="0" fillId="29" borderId="5" xfId="2" applyNumberFormat="1" applyFont="1" applyFill="1" applyBorder="1"/>
    <xf numFmtId="10" fontId="0" fillId="9" borderId="17" xfId="1" applyNumberFormat="1" applyFont="1" applyFill="1" applyBorder="1"/>
    <xf numFmtId="0" fontId="6" fillId="27" borderId="14" xfId="0" applyFont="1" applyFill="1" applyBorder="1"/>
    <xf numFmtId="0" fontId="0" fillId="27" borderId="19" xfId="0" applyFill="1" applyBorder="1"/>
    <xf numFmtId="164" fontId="2" fillId="27" borderId="15" xfId="0" applyNumberFormat="1" applyFont="1" applyFill="1" applyBorder="1"/>
    <xf numFmtId="0" fontId="6" fillId="27" borderId="6" xfId="0" applyFont="1" applyFill="1" applyBorder="1"/>
    <xf numFmtId="0" fontId="0" fillId="27" borderId="0" xfId="0" applyFill="1" applyBorder="1"/>
    <xf numFmtId="166" fontId="0" fillId="27" borderId="8" xfId="2" applyNumberFormat="1" applyFont="1" applyFill="1" applyBorder="1"/>
    <xf numFmtId="0" fontId="0" fillId="27" borderId="16" xfId="0" applyFill="1" applyBorder="1"/>
    <xf numFmtId="0" fontId="0" fillId="27" borderId="18" xfId="0" applyFill="1" applyBorder="1"/>
    <xf numFmtId="164" fontId="0" fillId="27" borderId="17" xfId="2" applyFont="1" applyFill="1" applyBorder="1"/>
    <xf numFmtId="0" fontId="0" fillId="2" borderId="14" xfId="0" applyFill="1" applyBorder="1"/>
    <xf numFmtId="164" fontId="0" fillId="0" borderId="6" xfId="0" applyNumberFormat="1" applyBorder="1"/>
    <xf numFmtId="168" fontId="0" fillId="0" borderId="6" xfId="2" applyNumberFormat="1" applyFont="1" applyBorder="1"/>
    <xf numFmtId="168" fontId="0" fillId="11" borderId="6" xfId="2" applyNumberFormat="1" applyFont="1" applyFill="1" applyBorder="1"/>
    <xf numFmtId="164" fontId="0" fillId="0" borderId="6" xfId="2" applyFont="1" applyBorder="1"/>
    <xf numFmtId="0" fontId="0" fillId="2" borderId="6" xfId="0" applyFill="1" applyBorder="1"/>
    <xf numFmtId="164" fontId="2" fillId="12" borderId="6" xfId="2" applyFont="1" applyFill="1" applyBorder="1"/>
    <xf numFmtId="168" fontId="0" fillId="2" borderId="6" xfId="0" applyNumberFormat="1" applyFill="1" applyBorder="1"/>
    <xf numFmtId="0" fontId="45" fillId="0" borderId="19" xfId="0" applyFont="1" applyBorder="1" applyAlignment="1">
      <alignment vertical="center"/>
    </xf>
    <xf numFmtId="0" fontId="3" fillId="2" borderId="7" xfId="0" applyFont="1" applyFill="1" applyBorder="1"/>
    <xf numFmtId="0" fontId="2" fillId="4" borderId="5" xfId="0" applyFont="1" applyFill="1" applyBorder="1"/>
    <xf numFmtId="0" fontId="6" fillId="12" borderId="5" xfId="0" applyFont="1" applyFill="1" applyBorder="1"/>
    <xf numFmtId="0" fontId="6" fillId="4" borderId="5" xfId="0" applyFont="1" applyFill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12" borderId="5" xfId="0" applyFont="1" applyFill="1" applyBorder="1"/>
    <xf numFmtId="0" fontId="6" fillId="4" borderId="13" xfId="0" applyFont="1" applyFill="1" applyBorder="1"/>
    <xf numFmtId="0" fontId="6" fillId="4" borderId="1" xfId="0" applyFont="1" applyFill="1" applyBorder="1"/>
    <xf numFmtId="0" fontId="45" fillId="0" borderId="0" xfId="0" applyFont="1"/>
    <xf numFmtId="168" fontId="0" fillId="0" borderId="0" xfId="0" applyNumberFormat="1"/>
    <xf numFmtId="0" fontId="22" fillId="27" borderId="2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164" fontId="11" fillId="27" borderId="14" xfId="2" applyFont="1" applyFill="1" applyBorder="1"/>
    <xf numFmtId="166" fontId="11" fillId="15" borderId="14" xfId="0" applyNumberFormat="1" applyFont="1" applyFill="1" applyBorder="1"/>
    <xf numFmtId="169" fontId="11" fillId="15" borderId="19" xfId="2" applyNumberFormat="1" applyFont="1" applyFill="1" applyBorder="1"/>
    <xf numFmtId="164" fontId="11" fillId="15" borderId="15" xfId="2" applyNumberFormat="1" applyFont="1" applyFill="1" applyBorder="1"/>
    <xf numFmtId="166" fontId="22" fillId="27" borderId="16" xfId="2" applyNumberFormat="1" applyFont="1" applyFill="1" applyBorder="1" applyAlignment="1">
      <alignment horizontal="center"/>
    </xf>
    <xf numFmtId="164" fontId="24" fillId="0" borderId="0" xfId="0" applyNumberFormat="1" applyFont="1"/>
    <xf numFmtId="166" fontId="24" fillId="0" borderId="0" xfId="0" applyNumberFormat="1" applyFont="1"/>
    <xf numFmtId="0" fontId="22" fillId="0" borderId="6" xfId="0" applyFont="1" applyBorder="1" applyAlignment="1">
      <alignment horizontal="center"/>
    </xf>
    <xf numFmtId="166" fontId="24" fillId="0" borderId="0" xfId="2" applyNumberFormat="1" applyFont="1"/>
    <xf numFmtId="3" fontId="0" fillId="0" borderId="0" xfId="0" applyNumberFormat="1"/>
    <xf numFmtId="167" fontId="0" fillId="0" borderId="0" xfId="2" applyNumberFormat="1" applyFont="1"/>
    <xf numFmtId="10" fontId="0" fillId="0" borderId="0" xfId="1" applyNumberFormat="1" applyFont="1" applyBorder="1"/>
    <xf numFmtId="170" fontId="0" fillId="0" borderId="0" xfId="1" applyNumberFormat="1" applyFont="1" applyBorder="1"/>
    <xf numFmtId="168" fontId="11" fillId="5" borderId="18" xfId="2" applyNumberFormat="1" applyFont="1" applyFill="1" applyBorder="1"/>
    <xf numFmtId="0" fontId="12" fillId="0" borderId="19" xfId="0" applyFont="1" applyBorder="1" applyAlignment="1">
      <alignment vertical="center"/>
    </xf>
    <xf numFmtId="166" fontId="11" fillId="5" borderId="8" xfId="2" applyNumberFormat="1" applyFont="1" applyFill="1" applyBorder="1"/>
    <xf numFmtId="3" fontId="46" fillId="11" borderId="1" xfId="0" applyNumberFormat="1" applyFont="1" applyFill="1" applyBorder="1" applyAlignment="1">
      <alignment vertical="center"/>
    </xf>
    <xf numFmtId="3" fontId="35" fillId="5" borderId="6" xfId="0" applyNumberFormat="1" applyFont="1" applyFill="1" applyBorder="1" applyAlignment="1">
      <alignment vertical="center"/>
    </xf>
    <xf numFmtId="3" fontId="46" fillId="11" borderId="13" xfId="0" applyNumberFormat="1" applyFont="1" applyFill="1" applyBorder="1" applyAlignment="1">
      <alignment horizontal="right" vertical="center"/>
    </xf>
    <xf numFmtId="3" fontId="35" fillId="5" borderId="16" xfId="0" applyNumberFormat="1" applyFont="1" applyFill="1" applyBorder="1" applyAlignment="1">
      <alignment horizontal="right" vertical="center"/>
    </xf>
    <xf numFmtId="3" fontId="35" fillId="5" borderId="16" xfId="0" applyNumberFormat="1" applyFont="1" applyFill="1" applyBorder="1"/>
    <xf numFmtId="3" fontId="46" fillId="0" borderId="5" xfId="0" applyNumberFormat="1" applyFont="1" applyBorder="1" applyAlignment="1">
      <alignment vertical="center"/>
    </xf>
    <xf numFmtId="166" fontId="22" fillId="5" borderId="0" xfId="2" applyNumberFormat="1" applyFont="1" applyFill="1" applyBorder="1"/>
    <xf numFmtId="3" fontId="46" fillId="0" borderId="1" xfId="0" applyNumberFormat="1" applyFont="1" applyBorder="1" applyAlignment="1">
      <alignment vertical="center"/>
    </xf>
    <xf numFmtId="166" fontId="22" fillId="5" borderId="16" xfId="2" applyNumberFormat="1" applyFont="1" applyFill="1" applyBorder="1"/>
    <xf numFmtId="166" fontId="11" fillId="5" borderId="6" xfId="2" applyNumberFormat="1" applyFont="1" applyFill="1" applyBorder="1"/>
    <xf numFmtId="166" fontId="11" fillId="5" borderId="6" xfId="2" applyNumberFormat="1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 vertical="center"/>
    </xf>
    <xf numFmtId="166" fontId="11" fillId="26" borderId="16" xfId="2" applyNumberFormat="1" applyFont="1" applyFill="1" applyBorder="1"/>
    <xf numFmtId="0" fontId="11" fillId="11" borderId="0" xfId="0" applyFont="1" applyFill="1" applyBorder="1" applyAlignment="1">
      <alignment horizontal="center"/>
    </xf>
    <xf numFmtId="166" fontId="11" fillId="27" borderId="0" xfId="2" applyNumberFormat="1" applyFont="1" applyFill="1" applyBorder="1"/>
    <xf numFmtId="166" fontId="22" fillId="15" borderId="0" xfId="0" applyNumberFormat="1" applyFont="1" applyFill="1" applyBorder="1"/>
    <xf numFmtId="166" fontId="22" fillId="5" borderId="6" xfId="2" applyNumberFormat="1" applyFont="1" applyFill="1" applyBorder="1"/>
    <xf numFmtId="166" fontId="22" fillId="5" borderId="18" xfId="2" applyNumberFormat="1" applyFont="1" applyFill="1" applyBorder="1"/>
    <xf numFmtId="0" fontId="22" fillId="3" borderId="1" xfId="0" applyFont="1" applyFill="1" applyBorder="1"/>
    <xf numFmtId="166" fontId="11" fillId="5" borderId="6" xfId="0" applyNumberFormat="1" applyFont="1" applyFill="1" applyBorder="1"/>
    <xf numFmtId="166" fontId="22" fillId="27" borderId="11" xfId="0" applyNumberFormat="1" applyFont="1" applyFill="1" applyBorder="1"/>
    <xf numFmtId="166" fontId="11" fillId="5" borderId="16" xfId="0" applyNumberFormat="1" applyFont="1" applyFill="1" applyBorder="1"/>
    <xf numFmtId="166" fontId="11" fillId="5" borderId="16" xfId="2" applyNumberFormat="1" applyFont="1" applyFill="1" applyBorder="1"/>
    <xf numFmtId="166" fontId="22" fillId="28" borderId="17" xfId="0" applyNumberFormat="1" applyFont="1" applyFill="1" applyBorder="1"/>
    <xf numFmtId="166" fontId="11" fillId="28" borderId="0" xfId="0" applyNumberFormat="1" applyFont="1" applyFill="1" applyBorder="1"/>
    <xf numFmtId="166" fontId="22" fillId="28" borderId="1" xfId="0" applyNumberFormat="1" applyFont="1" applyFill="1" applyBorder="1"/>
    <xf numFmtId="166" fontId="11" fillId="28" borderId="18" xfId="0" applyNumberFormat="1" applyFont="1" applyFill="1" applyBorder="1"/>
    <xf numFmtId="166" fontId="22" fillId="5" borderId="15" xfId="2" applyNumberFormat="1" applyFont="1" applyFill="1" applyBorder="1"/>
    <xf numFmtId="166" fontId="0" fillId="5" borderId="15" xfId="0" applyNumberFormat="1" applyFill="1" applyBorder="1"/>
    <xf numFmtId="175" fontId="0" fillId="5" borderId="0" xfId="2" applyNumberFormat="1" applyFont="1" applyFill="1"/>
    <xf numFmtId="166" fontId="2" fillId="5" borderId="8" xfId="0" applyNumberFormat="1" applyFont="1" applyFill="1" applyBorder="1"/>
    <xf numFmtId="0" fontId="47" fillId="7" borderId="0" xfId="0" applyFont="1" applyFill="1"/>
    <xf numFmtId="166" fontId="11" fillId="7" borderId="0" xfId="2" applyNumberFormat="1" applyFont="1" applyFill="1" applyBorder="1"/>
    <xf numFmtId="0" fontId="24" fillId="13" borderId="0" xfId="0" applyFont="1" applyFill="1"/>
    <xf numFmtId="0" fontId="41" fillId="7" borderId="0" xfId="0" applyFont="1" applyFill="1" applyAlignment="1">
      <alignment horizontal="center"/>
    </xf>
    <xf numFmtId="0" fontId="41" fillId="13" borderId="0" xfId="0" applyFont="1" applyFill="1" applyAlignment="1">
      <alignment horizontal="center"/>
    </xf>
    <xf numFmtId="0" fontId="47" fillId="20" borderId="0" xfId="0" applyFont="1" applyFill="1" applyAlignment="1">
      <alignment horizontal="center"/>
    </xf>
    <xf numFmtId="166" fontId="22" fillId="20" borderId="21" xfId="0" applyNumberFormat="1" applyFont="1" applyFill="1" applyBorder="1"/>
    <xf numFmtId="166" fontId="22" fillId="13" borderId="21" xfId="0" applyNumberFormat="1" applyFont="1" applyFill="1" applyBorder="1"/>
    <xf numFmtId="0" fontId="47" fillId="22" borderId="0" xfId="0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6" fontId="24" fillId="25" borderId="0" xfId="2" applyNumberFormat="1" applyFont="1" applyFill="1"/>
    <xf numFmtId="166" fontId="24" fillId="25" borderId="18" xfId="2" applyNumberFormat="1" applyFont="1" applyFill="1" applyBorder="1"/>
    <xf numFmtId="166" fontId="48" fillId="25" borderId="0" xfId="0" applyNumberFormat="1" applyFont="1" applyFill="1"/>
    <xf numFmtId="166" fontId="48" fillId="25" borderId="0" xfId="2" applyNumberFormat="1" applyFont="1" applyFill="1"/>
    <xf numFmtId="0" fontId="24" fillId="25" borderId="0" xfId="0" applyFont="1" applyFill="1"/>
    <xf numFmtId="166" fontId="24" fillId="25" borderId="0" xfId="2" applyNumberFormat="1" applyFont="1" applyFill="1" applyBorder="1"/>
    <xf numFmtId="166" fontId="24" fillId="25" borderId="20" xfId="0" applyNumberFormat="1" applyFont="1" applyFill="1" applyBorder="1"/>
    <xf numFmtId="0" fontId="0" fillId="25" borderId="0" xfId="0" applyFill="1"/>
    <xf numFmtId="0" fontId="22" fillId="25" borderId="0" xfId="0" applyFont="1" applyFill="1" applyAlignment="1">
      <alignment horizontal="center"/>
    </xf>
    <xf numFmtId="166" fontId="11" fillId="25" borderId="0" xfId="2" applyNumberFormat="1" applyFont="1" applyFill="1"/>
    <xf numFmtId="166" fontId="11" fillId="25" borderId="18" xfId="2" applyNumberFormat="1" applyFont="1" applyFill="1" applyBorder="1"/>
    <xf numFmtId="166" fontId="22" fillId="25" borderId="0" xfId="0" applyNumberFormat="1" applyFont="1" applyFill="1"/>
    <xf numFmtId="0" fontId="47" fillId="30" borderId="0" xfId="0" applyFont="1" applyFill="1" applyAlignment="1">
      <alignment horizontal="center"/>
    </xf>
    <xf numFmtId="166" fontId="24" fillId="30" borderId="0" xfId="2" applyNumberFormat="1" applyFont="1" applyFill="1"/>
    <xf numFmtId="166" fontId="24" fillId="30" borderId="18" xfId="2" applyNumberFormat="1" applyFont="1" applyFill="1" applyBorder="1"/>
    <xf numFmtId="0" fontId="24" fillId="30" borderId="0" xfId="0" applyFont="1" applyFill="1"/>
    <xf numFmtId="166" fontId="24" fillId="30" borderId="1" xfId="0" applyNumberFormat="1" applyFont="1" applyFill="1" applyBorder="1"/>
    <xf numFmtId="0" fontId="24" fillId="30" borderId="0" xfId="0" applyFont="1" applyFill="1" applyAlignment="1">
      <alignment horizontal="center"/>
    </xf>
    <xf numFmtId="166" fontId="24" fillId="30" borderId="0" xfId="0" applyNumberFormat="1" applyFont="1" applyFill="1"/>
    <xf numFmtId="0" fontId="47" fillId="31" borderId="0" xfId="0" applyFont="1" applyFill="1" applyAlignment="1">
      <alignment horizontal="center"/>
    </xf>
    <xf numFmtId="166" fontId="24" fillId="31" borderId="0" xfId="2" applyNumberFormat="1" applyFont="1" applyFill="1"/>
    <xf numFmtId="0" fontId="24" fillId="31" borderId="0" xfId="0" applyFont="1" applyFill="1"/>
    <xf numFmtId="166" fontId="24" fillId="31" borderId="18" xfId="2" applyNumberFormat="1" applyFont="1" applyFill="1" applyBorder="1"/>
    <xf numFmtId="166" fontId="24" fillId="31" borderId="1" xfId="0" applyNumberFormat="1" applyFont="1" applyFill="1" applyBorder="1"/>
    <xf numFmtId="164" fontId="24" fillId="31" borderId="0" xfId="2" applyFont="1" applyFill="1"/>
    <xf numFmtId="0" fontId="25" fillId="31" borderId="0" xfId="0" applyFont="1" applyFill="1" applyAlignment="1">
      <alignment horizontal="center"/>
    </xf>
    <xf numFmtId="0" fontId="24" fillId="31" borderId="0" xfId="0" applyFont="1" applyFill="1" applyAlignment="1">
      <alignment horizontal="center"/>
    </xf>
    <xf numFmtId="166" fontId="24" fillId="31" borderId="0" xfId="0" applyNumberFormat="1" applyFont="1" applyFill="1"/>
    <xf numFmtId="0" fontId="41" fillId="23" borderId="0" xfId="0" applyFont="1" applyFill="1" applyAlignment="1">
      <alignment horizontal="center"/>
    </xf>
    <xf numFmtId="166" fontId="2" fillId="23" borderId="21" xfId="2" applyNumberFormat="1" applyFont="1" applyFill="1" applyBorder="1"/>
    <xf numFmtId="0" fontId="41" fillId="32" borderId="0" xfId="0" applyFont="1" applyFill="1" applyAlignment="1">
      <alignment horizontal="center"/>
    </xf>
    <xf numFmtId="166" fontId="24" fillId="32" borderId="0" xfId="2" applyNumberFormat="1" applyFont="1" applyFill="1"/>
    <xf numFmtId="166" fontId="24" fillId="32" borderId="18" xfId="2" applyNumberFormat="1" applyFont="1" applyFill="1" applyBorder="1"/>
    <xf numFmtId="166" fontId="24" fillId="32" borderId="1" xfId="2" applyNumberFormat="1" applyFont="1" applyFill="1" applyBorder="1"/>
    <xf numFmtId="0" fontId="24" fillId="32" borderId="0" xfId="0" applyFont="1" applyFill="1"/>
    <xf numFmtId="0" fontId="24" fillId="32" borderId="0" xfId="0" applyFont="1" applyFill="1" applyAlignment="1">
      <alignment horizontal="center"/>
    </xf>
    <xf numFmtId="166" fontId="24" fillId="32" borderId="0" xfId="0" applyNumberFormat="1" applyFont="1" applyFill="1"/>
    <xf numFmtId="166" fontId="24" fillId="15" borderId="0" xfId="2" applyNumberFormat="1" applyFont="1" applyFill="1"/>
    <xf numFmtId="166" fontId="24" fillId="15" borderId="0" xfId="2" applyNumberFormat="1" applyFont="1" applyFill="1" applyBorder="1"/>
    <xf numFmtId="0" fontId="24" fillId="15" borderId="0" xfId="0" applyFont="1" applyFill="1"/>
    <xf numFmtId="0" fontId="24" fillId="15" borderId="0" xfId="0" applyFont="1" applyFill="1" applyAlignment="1">
      <alignment horizontal="center"/>
    </xf>
    <xf numFmtId="166" fontId="48" fillId="15" borderId="0" xfId="0" applyNumberFormat="1" applyFont="1" applyFill="1"/>
    <xf numFmtId="166" fontId="0" fillId="15" borderId="21" xfId="0" applyNumberFormat="1" applyFill="1" applyBorder="1"/>
    <xf numFmtId="166" fontId="24" fillId="15" borderId="1" xfId="0" applyNumberFormat="1" applyFont="1" applyFill="1" applyBorder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7" fillId="3" borderId="0" xfId="0" applyFont="1" applyFill="1" applyAlignment="1">
      <alignment horizontal="center"/>
    </xf>
    <xf numFmtId="0" fontId="22" fillId="26" borderId="2" xfId="0" applyFont="1" applyFill="1" applyBorder="1" applyAlignment="1"/>
    <xf numFmtId="0" fontId="22" fillId="26" borderId="4" xfId="0" applyFont="1" applyFill="1" applyBorder="1" applyAlignment="1"/>
    <xf numFmtId="0" fontId="22" fillId="4" borderId="3" xfId="0" applyFont="1" applyFill="1" applyBorder="1" applyAlignment="1"/>
    <xf numFmtId="0" fontId="22" fillId="4" borderId="4" xfId="0" applyFont="1" applyFill="1" applyBorder="1" applyAlignment="1"/>
    <xf numFmtId="0" fontId="11" fillId="24" borderId="6" xfId="0" applyFont="1" applyFill="1" applyBorder="1" applyAlignment="1">
      <alignment horizontal="center"/>
    </xf>
    <xf numFmtId="0" fontId="11" fillId="24" borderId="16" xfId="0" applyFont="1" applyFill="1" applyBorder="1" applyAlignment="1">
      <alignment horizontal="center"/>
    </xf>
    <xf numFmtId="164" fontId="11" fillId="24" borderId="16" xfId="2" applyFont="1" applyFill="1" applyBorder="1"/>
    <xf numFmtId="169" fontId="11" fillId="24" borderId="6" xfId="2" applyNumberFormat="1" applyFont="1" applyFill="1" applyBorder="1" applyAlignment="1">
      <alignment horizontal="center"/>
    </xf>
    <xf numFmtId="169" fontId="11" fillId="24" borderId="16" xfId="2" applyNumberFormat="1" applyFont="1" applyFill="1" applyBorder="1" applyAlignment="1">
      <alignment horizontal="center"/>
    </xf>
    <xf numFmtId="164" fontId="0" fillId="24" borderId="5" xfId="0" applyNumberFormat="1" applyFill="1" applyBorder="1"/>
    <xf numFmtId="164" fontId="0" fillId="24" borderId="13" xfId="0" applyNumberFormat="1" applyFill="1" applyBorder="1"/>
    <xf numFmtId="0" fontId="0" fillId="24" borderId="13" xfId="0" applyFill="1" applyBorder="1"/>
    <xf numFmtId="0" fontId="11" fillId="24" borderId="7" xfId="0" applyFont="1" applyFill="1" applyBorder="1" applyAlignment="1">
      <alignment horizontal="center"/>
    </xf>
    <xf numFmtId="164" fontId="11" fillId="26" borderId="6" xfId="2" applyFont="1" applyFill="1" applyBorder="1" applyAlignment="1">
      <alignment horizontal="center"/>
    </xf>
    <xf numFmtId="166" fontId="22" fillId="4" borderId="4" xfId="2" applyNumberFormat="1" applyFont="1" applyFill="1" applyBorder="1"/>
    <xf numFmtId="168" fontId="11" fillId="0" borderId="1" xfId="0" applyNumberFormat="1" applyFont="1" applyBorder="1"/>
    <xf numFmtId="169" fontId="11" fillId="26" borderId="0" xfId="0" applyNumberFormat="1" applyFont="1" applyFill="1" applyBorder="1"/>
    <xf numFmtId="175" fontId="0" fillId="0" borderId="0" xfId="2" applyNumberFormat="1" applyFont="1"/>
    <xf numFmtId="175" fontId="24" fillId="0" borderId="0" xfId="2" applyNumberFormat="1" applyFont="1"/>
    <xf numFmtId="175" fontId="0" fillId="0" borderId="0" xfId="0" applyNumberFormat="1"/>
    <xf numFmtId="168" fontId="22" fillId="5" borderId="1" xfId="2" applyNumberFormat="1" applyFont="1" applyFill="1" applyBorder="1"/>
    <xf numFmtId="168" fontId="11" fillId="5" borderId="1" xfId="2" applyNumberFormat="1" applyFont="1" applyFill="1" applyBorder="1" applyAlignment="1">
      <alignment horizontal="left"/>
    </xf>
    <xf numFmtId="169" fontId="11" fillId="0" borderId="1" xfId="0" applyNumberFormat="1" applyFont="1" applyBorder="1"/>
    <xf numFmtId="0" fontId="11" fillId="33" borderId="1" xfId="0" applyFont="1" applyFill="1" applyBorder="1"/>
    <xf numFmtId="0" fontId="0" fillId="17" borderId="6" xfId="0" applyFont="1" applyFill="1" applyBorder="1"/>
    <xf numFmtId="168" fontId="0" fillId="17" borderId="0" xfId="2" applyNumberFormat="1" applyFont="1" applyFill="1" applyBorder="1"/>
    <xf numFmtId="168" fontId="0" fillId="17" borderId="0" xfId="0" applyNumberFormat="1" applyFont="1" applyFill="1" applyBorder="1"/>
    <xf numFmtId="0" fontId="0" fillId="17" borderId="0" xfId="0" applyFont="1" applyFill="1" applyBorder="1"/>
    <xf numFmtId="9" fontId="12" fillId="0" borderId="2" xfId="1" applyFont="1" applyBorder="1"/>
    <xf numFmtId="9" fontId="12" fillId="0" borderId="3" xfId="1" applyFont="1" applyBorder="1"/>
    <xf numFmtId="0" fontId="0" fillId="34" borderId="0" xfId="0" applyFill="1"/>
    <xf numFmtId="0" fontId="2" fillId="34" borderId="0" xfId="0" applyFont="1" applyFill="1" applyBorder="1"/>
    <xf numFmtId="172" fontId="40" fillId="34" borderId="0" xfId="2" applyNumberFormat="1" applyFont="1" applyFill="1" applyBorder="1" applyAlignment="1">
      <alignment horizontal="center" vertical="center"/>
    </xf>
    <xf numFmtId="0" fontId="2" fillId="34" borderId="0" xfId="0" applyFont="1" applyFill="1"/>
    <xf numFmtId="0" fontId="11" fillId="34" borderId="0" xfId="0" applyFont="1" applyFill="1"/>
    <xf numFmtId="166" fontId="11" fillId="34" borderId="0" xfId="0" applyNumberFormat="1" applyFont="1" applyFill="1"/>
    <xf numFmtId="3" fontId="11" fillId="34" borderId="0" xfId="0" applyNumberFormat="1" applyFont="1" applyFill="1"/>
    <xf numFmtId="166" fontId="11" fillId="34" borderId="0" xfId="2" applyNumberFormat="1" applyFont="1" applyFill="1"/>
    <xf numFmtId="165" fontId="11" fillId="34" borderId="0" xfId="0" applyNumberFormat="1" applyFont="1" applyFill="1"/>
    <xf numFmtId="0" fontId="22" fillId="34" borderId="0" xfId="0" applyFont="1" applyFill="1"/>
    <xf numFmtId="166" fontId="22" fillId="34" borderId="0" xfId="0" applyNumberFormat="1" applyFont="1" applyFill="1"/>
    <xf numFmtId="175" fontId="11" fillId="34" borderId="0" xfId="0" applyNumberFormat="1" applyFont="1" applyFill="1"/>
    <xf numFmtId="10" fontId="22" fillId="34" borderId="0" xfId="1" applyNumberFormat="1" applyFont="1" applyFill="1"/>
    <xf numFmtId="165" fontId="22" fillId="34" borderId="0" xfId="1" applyNumberFormat="1" applyFont="1" applyFill="1"/>
    <xf numFmtId="3" fontId="46" fillId="11" borderId="1" xfId="0" applyNumberFormat="1" applyFont="1" applyFill="1" applyBorder="1" applyAlignment="1">
      <alignment horizontal="right" vertical="center"/>
    </xf>
    <xf numFmtId="166" fontId="11" fillId="5" borderId="16" xfId="2" applyNumberFormat="1" applyFont="1" applyFill="1" applyBorder="1" applyAlignment="1">
      <alignment horizontal="center"/>
    </xf>
    <xf numFmtId="166" fontId="47" fillId="14" borderId="0" xfId="2" applyNumberFormat="1" applyFont="1" applyFill="1" applyBorder="1" applyAlignment="1">
      <alignment vertical="center"/>
    </xf>
    <xf numFmtId="166" fontId="47" fillId="14" borderId="5" xfId="2" applyNumberFormat="1" applyFont="1" applyFill="1" applyBorder="1" applyAlignment="1" applyProtection="1">
      <alignment vertical="center"/>
    </xf>
    <xf numFmtId="166" fontId="47" fillId="14" borderId="5" xfId="2" applyNumberFormat="1" applyFont="1" applyFill="1" applyBorder="1" applyAlignment="1">
      <alignment vertical="center"/>
    </xf>
    <xf numFmtId="171" fontId="12" fillId="14" borderId="8" xfId="0" applyNumberFormat="1" applyFont="1" applyFill="1" applyBorder="1" applyAlignment="1">
      <alignment vertical="center"/>
    </xf>
    <xf numFmtId="166" fontId="47" fillId="0" borderId="0" xfId="2" applyNumberFormat="1" applyFont="1" applyBorder="1" applyAlignment="1" applyProtection="1">
      <alignment vertical="center"/>
    </xf>
    <xf numFmtId="166" fontId="47" fillId="0" borderId="5" xfId="2" applyNumberFormat="1" applyFont="1" applyBorder="1" applyAlignment="1" applyProtection="1">
      <alignment vertical="center"/>
    </xf>
    <xf numFmtId="171" fontId="12" fillId="0" borderId="8" xfId="0" applyNumberFormat="1" applyFont="1" applyBorder="1" applyAlignment="1">
      <alignment vertical="center"/>
    </xf>
    <xf numFmtId="166" fontId="1" fillId="14" borderId="0" xfId="2" applyNumberFormat="1" applyFont="1" applyFill="1" applyBorder="1"/>
    <xf numFmtId="166" fontId="1" fillId="14" borderId="5" xfId="2" applyNumberFormat="1" applyFont="1" applyFill="1" applyBorder="1"/>
    <xf numFmtId="166" fontId="1" fillId="14" borderId="8" xfId="2" applyNumberFormat="1" applyFont="1" applyFill="1" applyBorder="1"/>
    <xf numFmtId="166" fontId="21" fillId="14" borderId="0" xfId="2" applyNumberFormat="1" applyFont="1" applyFill="1" applyBorder="1"/>
    <xf numFmtId="166" fontId="21" fillId="14" borderId="5" xfId="2" applyNumberFormat="1" applyFont="1" applyFill="1" applyBorder="1"/>
    <xf numFmtId="166" fontId="21" fillId="14" borderId="8" xfId="2" applyNumberFormat="1" applyFont="1" applyFill="1" applyBorder="1"/>
    <xf numFmtId="166" fontId="9" fillId="14" borderId="0" xfId="2" applyNumberFormat="1" applyFont="1" applyFill="1" applyBorder="1"/>
    <xf numFmtId="166" fontId="9" fillId="14" borderId="5" xfId="2" applyNumberFormat="1" applyFont="1" applyFill="1" applyBorder="1"/>
    <xf numFmtId="166" fontId="2" fillId="14" borderId="18" xfId="2" applyNumberFormat="1" applyFont="1" applyFill="1" applyBorder="1"/>
    <xf numFmtId="166" fontId="2" fillId="14" borderId="13" xfId="2" applyNumberFormat="1" applyFont="1" applyFill="1" applyBorder="1"/>
    <xf numFmtId="166" fontId="2" fillId="14" borderId="17" xfId="2" applyNumberFormat="1" applyFont="1" applyFill="1" applyBorder="1"/>
    <xf numFmtId="166" fontId="11" fillId="8" borderId="0" xfId="2" applyNumberFormat="1" applyFont="1" applyFill="1" applyBorder="1"/>
    <xf numFmtId="166" fontId="11" fillId="8" borderId="5" xfId="2" applyNumberFormat="1" applyFont="1" applyFill="1" applyBorder="1"/>
    <xf numFmtId="166" fontId="11" fillId="8" borderId="8" xfId="2" applyNumberFormat="1" applyFont="1" applyFill="1" applyBorder="1"/>
    <xf numFmtId="166" fontId="11" fillId="0" borderId="0" xfId="2" applyNumberFormat="1" applyFont="1" applyBorder="1"/>
    <xf numFmtId="166" fontId="11" fillId="0" borderId="5" xfId="2" applyNumberFormat="1" applyFont="1" applyBorder="1"/>
    <xf numFmtId="166" fontId="11" fillId="0" borderId="8" xfId="2" applyNumberFormat="1" applyFont="1" applyBorder="1"/>
    <xf numFmtId="166" fontId="0" fillId="0" borderId="5" xfId="0" applyNumberFormat="1" applyBorder="1"/>
    <xf numFmtId="166" fontId="0" fillId="0" borderId="8" xfId="0" applyNumberFormat="1" applyBorder="1"/>
    <xf numFmtId="166" fontId="2" fillId="8" borderId="0" xfId="2" applyNumberFormat="1" applyFont="1" applyFill="1" applyBorder="1"/>
    <xf numFmtId="166" fontId="2" fillId="8" borderId="5" xfId="2" applyNumberFormat="1" applyFont="1" applyFill="1" applyBorder="1"/>
    <xf numFmtId="166" fontId="2" fillId="8" borderId="8" xfId="2" applyNumberFormat="1" applyFont="1" applyFill="1" applyBorder="1"/>
    <xf numFmtId="166" fontId="0" fillId="0" borderId="5" xfId="2" applyNumberFormat="1" applyFont="1" applyBorder="1"/>
    <xf numFmtId="166" fontId="0" fillId="0" borderId="8" xfId="2" applyNumberFormat="1" applyFont="1" applyBorder="1"/>
    <xf numFmtId="166" fontId="0" fillId="8" borderId="0" xfId="2" applyNumberFormat="1" applyFont="1" applyFill="1" applyBorder="1"/>
    <xf numFmtId="166" fontId="0" fillId="8" borderId="5" xfId="2" applyNumberFormat="1" applyFont="1" applyFill="1" applyBorder="1"/>
    <xf numFmtId="166" fontId="0" fillId="8" borderId="8" xfId="2" applyNumberFormat="1" applyFont="1" applyFill="1" applyBorder="1"/>
    <xf numFmtId="166" fontId="2" fillId="8" borderId="18" xfId="2" applyNumberFormat="1" applyFont="1" applyFill="1" applyBorder="1"/>
    <xf numFmtId="166" fontId="2" fillId="8" borderId="13" xfId="2" applyNumberFormat="1" applyFont="1" applyFill="1" applyBorder="1"/>
    <xf numFmtId="166" fontId="2" fillId="8" borderId="17" xfId="2" applyNumberFormat="1" applyFont="1" applyFill="1" applyBorder="1"/>
    <xf numFmtId="0" fontId="2" fillId="35" borderId="0" xfId="0" applyFont="1" applyFill="1"/>
    <xf numFmtId="0" fontId="2" fillId="35" borderId="0" xfId="0" applyFont="1" applyFill="1" applyAlignment="1">
      <alignment horizontal="center"/>
    </xf>
    <xf numFmtId="0" fontId="0" fillId="35" borderId="0" xfId="0" applyFill="1"/>
    <xf numFmtId="3" fontId="0" fillId="35" borderId="0" xfId="0" applyNumberFormat="1" applyFill="1"/>
    <xf numFmtId="0" fontId="0" fillId="35" borderId="18" xfId="0" applyFill="1" applyBorder="1"/>
    <xf numFmtId="3" fontId="0" fillId="35" borderId="18" xfId="0" applyNumberFormat="1" applyFill="1" applyBorder="1"/>
    <xf numFmtId="3" fontId="2" fillId="35" borderId="0" xfId="0" applyNumberFormat="1" applyFont="1" applyFill="1"/>
    <xf numFmtId="166" fontId="17" fillId="0" borderId="0" xfId="0" applyNumberFormat="1" applyFont="1" applyBorder="1"/>
    <xf numFmtId="166" fontId="17" fillId="0" borderId="18" xfId="0" applyNumberFormat="1" applyFont="1" applyBorder="1"/>
    <xf numFmtId="166" fontId="0" fillId="0" borderId="18" xfId="2" applyNumberFormat="1" applyFont="1" applyBorder="1"/>
    <xf numFmtId="164" fontId="2" fillId="0" borderId="14" xfId="2" applyFont="1" applyBorder="1"/>
    <xf numFmtId="164" fontId="2" fillId="0" borderId="19" xfId="2" applyFont="1" applyBorder="1"/>
    <xf numFmtId="0" fontId="2" fillId="0" borderId="19" xfId="0" applyFont="1" applyBorder="1"/>
    <xf numFmtId="0" fontId="2" fillId="0" borderId="15" xfId="0" applyFont="1" applyBorder="1"/>
    <xf numFmtId="164" fontId="0" fillId="0" borderId="8" xfId="2" applyFont="1" applyBorder="1"/>
    <xf numFmtId="166" fontId="0" fillId="0" borderId="16" xfId="2" applyNumberFormat="1" applyFont="1" applyBorder="1"/>
    <xf numFmtId="166" fontId="0" fillId="0" borderId="17" xfId="2" applyNumberFormat="1" applyFont="1" applyBorder="1"/>
    <xf numFmtId="168" fontId="11" fillId="27" borderId="18" xfId="2" applyNumberFormat="1" applyFont="1" applyFill="1" applyBorder="1" applyAlignment="1">
      <alignment horizontal="center"/>
    </xf>
    <xf numFmtId="3" fontId="2" fillId="0" borderId="0" xfId="0" applyNumberFormat="1" applyFont="1"/>
    <xf numFmtId="3" fontId="11" fillId="0" borderId="18" xfId="0" applyNumberFormat="1" applyFont="1" applyBorder="1"/>
    <xf numFmtId="165" fontId="11" fillId="0" borderId="0" xfId="1" applyNumberFormat="1" applyFont="1"/>
    <xf numFmtId="169" fontId="35" fillId="15" borderId="1" xfId="2" applyNumberFormat="1" applyFont="1" applyFill="1" applyBorder="1" applyAlignment="1">
      <alignment horizontal="right" vertical="center"/>
    </xf>
    <xf numFmtId="166" fontId="0" fillId="0" borderId="19" xfId="0" applyNumberFormat="1" applyBorder="1"/>
    <xf numFmtId="166" fontId="0" fillId="9" borderId="0" xfId="0" applyNumberFormat="1" applyFill="1" applyBorder="1"/>
    <xf numFmtId="168" fontId="0" fillId="17" borderId="0" xfId="0" quotePrefix="1" applyNumberFormat="1" applyFill="1" applyBorder="1"/>
    <xf numFmtId="166" fontId="11" fillId="15" borderId="6" xfId="2" applyNumberFormat="1" applyFont="1" applyFill="1" applyBorder="1"/>
    <xf numFmtId="166" fontId="22" fillId="27" borderId="6" xfId="2" applyNumberFormat="1" applyFont="1" applyFill="1" applyBorder="1"/>
    <xf numFmtId="166" fontId="22" fillId="27" borderId="16" xfId="2" applyNumberFormat="1" applyFont="1" applyFill="1" applyBorder="1"/>
    <xf numFmtId="164" fontId="22" fillId="15" borderId="16" xfId="2" applyFont="1" applyFill="1" applyBorder="1"/>
    <xf numFmtId="166" fontId="22" fillId="15" borderId="13" xfId="0" applyNumberFormat="1" applyFont="1" applyFill="1" applyBorder="1"/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18" fillId="19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2" fillId="23" borderId="2" xfId="0" applyFont="1" applyFill="1" applyBorder="1" applyAlignment="1">
      <alignment horizontal="center"/>
    </xf>
    <xf numFmtId="0" fontId="22" fillId="23" borderId="3" xfId="0" applyFont="1" applyFill="1" applyBorder="1" applyAlignment="1">
      <alignment horizontal="center"/>
    </xf>
    <xf numFmtId="0" fontId="22" fillId="23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2" fillId="24" borderId="19" xfId="0" applyFont="1" applyFill="1" applyBorder="1" applyAlignment="1">
      <alignment horizontal="center"/>
    </xf>
    <xf numFmtId="0" fontId="22" fillId="24" borderId="15" xfId="0" applyFont="1" applyFill="1" applyBorder="1" applyAlignment="1">
      <alignment horizontal="center"/>
    </xf>
    <xf numFmtId="0" fontId="22" fillId="26" borderId="2" xfId="0" applyFont="1" applyFill="1" applyBorder="1" applyAlignment="1">
      <alignment horizontal="center"/>
    </xf>
    <xf numFmtId="0" fontId="22" fillId="26" borderId="3" xfId="0" applyFont="1" applyFill="1" applyBorder="1" applyAlignment="1">
      <alignment horizontal="center"/>
    </xf>
    <xf numFmtId="0" fontId="22" fillId="26" borderId="4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166" fontId="11" fillId="5" borderId="6" xfId="2" applyNumberFormat="1" applyFont="1" applyFill="1" applyBorder="1" applyAlignment="1">
      <alignment horizontal="center" vertical="center"/>
    </xf>
    <xf numFmtId="166" fontId="11" fillId="5" borderId="16" xfId="2" applyNumberFormat="1" applyFont="1" applyFill="1" applyBorder="1" applyAlignment="1">
      <alignment horizontal="center" vertical="center"/>
    </xf>
    <xf numFmtId="0" fontId="22" fillId="24" borderId="3" xfId="0" applyFont="1" applyFill="1" applyBorder="1" applyAlignment="1">
      <alignment horizontal="center"/>
    </xf>
    <xf numFmtId="164" fontId="11" fillId="26" borderId="0" xfId="0" applyNumberFormat="1" applyFont="1" applyFill="1" applyBorder="1" applyAlignment="1">
      <alignment horizontal="center" vertical="center"/>
    </xf>
    <xf numFmtId="164" fontId="11" fillId="26" borderId="18" xfId="0" applyNumberFormat="1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/>
    </xf>
    <xf numFmtId="0" fontId="22" fillId="15" borderId="3" xfId="0" applyFont="1" applyFill="1" applyBorder="1" applyAlignment="1">
      <alignment horizontal="center"/>
    </xf>
    <xf numFmtId="0" fontId="34" fillId="0" borderId="0" xfId="0" applyNumberFormat="1" applyFont="1" applyBorder="1" applyAlignment="1">
      <alignment horizontal="left" vertical="center"/>
    </xf>
    <xf numFmtId="0" fontId="22" fillId="27" borderId="2" xfId="0" applyFont="1" applyFill="1" applyBorder="1" applyAlignment="1">
      <alignment horizontal="center"/>
    </xf>
    <xf numFmtId="0" fontId="22" fillId="27" borderId="3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0" fontId="22" fillId="15" borderId="4" xfId="0" applyFont="1" applyFill="1" applyBorder="1" applyAlignment="1">
      <alignment horizontal="center"/>
    </xf>
    <xf numFmtId="0" fontId="22" fillId="24" borderId="2" xfId="0" applyFont="1" applyFill="1" applyBorder="1" applyAlignment="1">
      <alignment horizontal="center"/>
    </xf>
    <xf numFmtId="0" fontId="22" fillId="24" borderId="4" xfId="0" applyFont="1" applyFill="1" applyBorder="1" applyAlignment="1">
      <alignment horizontal="center"/>
    </xf>
    <xf numFmtId="0" fontId="0" fillId="28" borderId="6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2" fillId="28" borderId="6" xfId="0" applyFont="1" applyFill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2" fillId="28" borderId="14" xfId="0" applyFont="1" applyFill="1" applyBorder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34" fillId="0" borderId="0" xfId="0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</cellXfs>
  <cellStyles count="5">
    <cellStyle name="Comma" xfId="2" builtinId="3"/>
    <cellStyle name="Normal" xfId="0" builtinId="0"/>
    <cellStyle name="Normal 2 2" xfId="3"/>
    <cellStyle name="Normal 5" xfId="4"/>
    <cellStyle name="Percent" xfId="1" builtinId="5"/>
  </cellStyles>
  <dxfs count="1"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66FF33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2021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614"/>
          <c:h val="0.67800941227320344"/>
        </c:manualLayout>
      </c:layout>
      <c:pie3DChart>
        <c:varyColors val="1"/>
        <c:ser>
          <c:idx val="0"/>
          <c:order val="0"/>
          <c:tx>
            <c:strRef>
              <c:f>'Energy Balance-2021'!$A$98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78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475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114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Balance-2021'!$A$102:$A$108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Balance-2021'!$B$102:$B$108</c:f>
              <c:numCache>
                <c:formatCode>_(* #,##0_);_(* \(#,##0\);_(* "-"??_);_(@_)</c:formatCode>
                <c:ptCount val="7"/>
                <c:pt idx="0">
                  <c:v>32613.447581437227</c:v>
                </c:pt>
                <c:pt idx="1">
                  <c:v>3352.469419175</c:v>
                </c:pt>
                <c:pt idx="2">
                  <c:v>1963.9150495200004</c:v>
                </c:pt>
                <c:pt idx="3">
                  <c:v>28100.407820182543</c:v>
                </c:pt>
                <c:pt idx="4">
                  <c:v>16014.386160666296</c:v>
                </c:pt>
                <c:pt idx="5">
                  <c:v>12584.488542654948</c:v>
                </c:pt>
                <c:pt idx="6">
                  <c:v>2194.899192129285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PRIMARY ENERGY CONSUMPTION(PEC) IN 2021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Balance-2021'!$A$43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LPG
3.3%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0.90%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0.45%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Avgas
0.06%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Balance-2021'!$A$46:$A$56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Balance-2021'!$B$46:$B$56</c:f>
              <c:numCache>
                <c:formatCode>_(* #,##0_);_(* \(#,##0\);_(* "-"??_);_(@_)</c:formatCode>
                <c:ptCount val="11"/>
                <c:pt idx="0">
                  <c:v>77421.674003808002</c:v>
                </c:pt>
                <c:pt idx="1">
                  <c:v>46315.740620025856</c:v>
                </c:pt>
                <c:pt idx="2">
                  <c:v>25184.768565869301</c:v>
                </c:pt>
                <c:pt idx="3">
                  <c:v>5152.8407410199998</c:v>
                </c:pt>
                <c:pt idx="4">
                  <c:v>1407.3852262022929</c:v>
                </c:pt>
                <c:pt idx="5">
                  <c:v>436.76114799999999</c:v>
                </c:pt>
                <c:pt idx="6">
                  <c:v>1167.9738260000001</c:v>
                </c:pt>
                <c:pt idx="7">
                  <c:v>74.367754392501737</c:v>
                </c:pt>
                <c:pt idx="8">
                  <c:v>22.949671359999989</c:v>
                </c:pt>
                <c:pt idx="9">
                  <c:v>58.054059550789468</c:v>
                </c:pt>
                <c:pt idx="10">
                  <c:v>94.988779199999996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FINAL ENERGY CONSUMPTION(FEC) IN 2021</a:t>
            </a:r>
          </a:p>
        </c:rich>
      </c:tx>
    </c:title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Balance-2021'!$A$75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ELECTRICITY
41.5%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Gasoline
23.4%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LPG
5.5%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Fuel Oil
4.4%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Jet A1
1.9%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Solar Heat
0.08%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Kerosene
0.01%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Biomass
0.06%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Avgas
0.09%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Other
0.2%</a:t>
                    </a:r>
                  </a:p>
                </c:rich>
              </c:tx>
              <c:dLblPos val="bestFit"/>
              <c:showCatName val="1"/>
              <c:showPercent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Balance-2021'!$A$78:$A$87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Balance-2021'!$B$78:$B$87</c:f>
              <c:numCache>
                <c:formatCode>_(* #,##0_);_(* \(#,##0\);_(* "-"??_);_(@_)</c:formatCode>
                <c:ptCount val="10"/>
                <c:pt idx="0">
                  <c:v>40204.830665548499</c:v>
                </c:pt>
                <c:pt idx="1">
                  <c:v>22668.605844130812</c:v>
                </c:pt>
                <c:pt idx="2">
                  <c:v>22223.683940915689</c:v>
                </c:pt>
                <c:pt idx="3">
                  <c:v>5341.6279152740026</c:v>
                </c:pt>
                <c:pt idx="4">
                  <c:v>4275.1847999999991</c:v>
                </c:pt>
                <c:pt idx="5">
                  <c:v>1869.9154639200003</c:v>
                </c:pt>
                <c:pt idx="6">
                  <c:v>74.367754392501737</c:v>
                </c:pt>
                <c:pt idx="7">
                  <c:v>13.743736432999999</c:v>
                </c:pt>
                <c:pt idx="8">
                  <c:v>58.054059550789468</c:v>
                </c:pt>
                <c:pt idx="9">
                  <c:v>93.999585600000003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Structure of Primary Energy Consumption in 2021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'Energy Balance-2021'!$A$43</c:f>
              <c:strCache>
                <c:ptCount val="1"/>
                <c:pt idx="0">
                  <c:v>PRIMARY ENERGY CONSUMPTION  (PEC)</c:v>
                </c:pt>
              </c:strCache>
            </c:strRef>
          </c:tx>
          <c:dLbls>
            <c:dLbl>
              <c:idx val="0"/>
              <c:layout>
                <c:manualLayout>
                  <c:x val="-0.16577856719952636"/>
                  <c:y val="6.7146282973621504E-2"/>
                </c:manualLayout>
              </c:layout>
              <c:showVal val="1"/>
              <c:showCatName val="1"/>
              <c:showPercent val="1"/>
            </c:dLbl>
            <c:dLbl>
              <c:idx val="1"/>
              <c:layout>
                <c:manualLayout>
                  <c:x val="-0.13735938425103641"/>
                  <c:y val="-5.7553956834532918E-2"/>
                </c:manualLayout>
              </c:layout>
              <c:showVal val="1"/>
              <c:showCatName val="1"/>
              <c:showPercent val="1"/>
            </c:dLbl>
            <c:dLbl>
              <c:idx val="2"/>
              <c:layout>
                <c:manualLayout>
                  <c:x val="0.11367673179396109"/>
                  <c:y val="-9.5923261390887568E-2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0.13262266728204267"/>
                  <c:y val="-4.1567250136898423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0.17048562993424302"/>
                  <c:y val="-1.9184553985546342E-2"/>
                </c:manualLayout>
              </c:layout>
              <c:showVal val="1"/>
              <c:showCatName val="1"/>
              <c:showPercent val="1"/>
            </c:dLbl>
            <c:dLbl>
              <c:idx val="5"/>
              <c:layout>
                <c:manualLayout>
                  <c:x val="0.16577856719952636"/>
                  <c:y val="6.39488409272581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Wind,  437, 0.3%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>
                <c:manualLayout>
                  <c:x val="0.13262266728204267"/>
                  <c:y val="7.034372501998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PV,  713 , 0.45%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0.12314979277679119"/>
                  <c:y val="0.13749000799360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Fuelwood,  58 , 0.04%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0"/>
              <c:layout>
                <c:manualLayout>
                  <c:x val="3.3155713439905275E-2"/>
                  <c:y val="0.26858513189448707"/>
                </c:manualLayout>
              </c:layout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'Energy Balance-2021'!$A$46:$A$56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Balance-2021'!$B$46:$B$56</c:f>
              <c:numCache>
                <c:formatCode>_(* #,##0_);_(* \(#,##0\);_(* "-"??_);_(@_)</c:formatCode>
                <c:ptCount val="11"/>
                <c:pt idx="0">
                  <c:v>77421.674003808002</c:v>
                </c:pt>
                <c:pt idx="1">
                  <c:v>46315.740620025856</c:v>
                </c:pt>
                <c:pt idx="2">
                  <c:v>25184.768565869301</c:v>
                </c:pt>
                <c:pt idx="3">
                  <c:v>5152.8407410199998</c:v>
                </c:pt>
                <c:pt idx="4">
                  <c:v>1407.3852262022929</c:v>
                </c:pt>
                <c:pt idx="5">
                  <c:v>436.76114799999999</c:v>
                </c:pt>
                <c:pt idx="6">
                  <c:v>1167.9738260000001</c:v>
                </c:pt>
                <c:pt idx="7">
                  <c:v>74.367754392501737</c:v>
                </c:pt>
                <c:pt idx="8">
                  <c:v>22.949671359999989</c:v>
                </c:pt>
                <c:pt idx="9">
                  <c:v>58.054059550789468</c:v>
                </c:pt>
                <c:pt idx="10">
                  <c:v>94.988779199999996</c:v>
                </c:pt>
              </c:numCache>
            </c:numRef>
          </c:val>
        </c:ser>
        <c:firstSliceAng val="100"/>
        <c:holeSize val="74"/>
      </c:doughnutChart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Pr>
        <a:bodyPr/>
        <a:lstStyle/>
        <a:p>
          <a:pPr>
            <a:defRPr sz="10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2390904090544494"/>
          <c:y val="0.29334125687119073"/>
          <c:w val="0.55218191818911833"/>
          <c:h val="0.67095290447184663"/>
        </c:manualLayout>
      </c:layout>
      <c:pieChart>
        <c:varyColors val="1"/>
        <c:ser>
          <c:idx val="0"/>
          <c:order val="0"/>
          <c:tx>
            <c:strRef>
              <c:f>'Electricity Stat-2021'!$A$39</c:f>
              <c:strCache>
                <c:ptCount val="1"/>
                <c:pt idx="0">
                  <c:v>ELECTRICITY GENERATION MIX IN PUC</c:v>
                </c:pt>
              </c:strCache>
            </c:strRef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00B0F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dLbl>
              <c:idx val="2"/>
              <c:layout>
                <c:manualLayout>
                  <c:x val="2.6976799101883695E-2"/>
                  <c:y val="-2.9077326872602575E-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0.18682448343141736"/>
                  <c:y val="-4.3848172824550766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'Electricity Stat-2021'!$A$42:$A$45</c:f>
              <c:strCache>
                <c:ptCount val="4"/>
                <c:pt idx="0">
                  <c:v>Diesel- Heavy Fuel Oil</c:v>
                </c:pt>
                <c:pt idx="1">
                  <c:v>Diesel- Light Fuel Oil</c:v>
                </c:pt>
                <c:pt idx="2">
                  <c:v>Wind Farm</c:v>
                </c:pt>
                <c:pt idx="3">
                  <c:v>Solar PV</c:v>
                </c:pt>
              </c:strCache>
            </c:strRef>
          </c:cat>
          <c:val>
            <c:numRef>
              <c:f>'Electricity Stat-2021'!$B$42:$B$45</c:f>
              <c:numCache>
                <c:formatCode>_(* #,##0.0_);_(* \(#,##0.0\);_(* "-"??_);_(@_)</c:formatCode>
                <c:ptCount val="4"/>
                <c:pt idx="0">
                  <c:v>378.88785300000001</c:v>
                </c:pt>
                <c:pt idx="1">
                  <c:v>45.231090000000002</c:v>
                </c:pt>
                <c:pt idx="2">
                  <c:v>5.0786179999999996</c:v>
                </c:pt>
                <c:pt idx="3">
                  <c:v>13.581091000000001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Balance-2021'!$A$43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Balance-2021'!$A$46:$A$56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Balance-2021'!$B$46:$B$56</c:f>
              <c:numCache>
                <c:formatCode>_(* #,##0_);_(* \(#,##0\);_(* "-"??_);_(@_)</c:formatCode>
                <c:ptCount val="11"/>
                <c:pt idx="0">
                  <c:v>77421.674003808002</c:v>
                </c:pt>
                <c:pt idx="1">
                  <c:v>46315.740620025856</c:v>
                </c:pt>
                <c:pt idx="2">
                  <c:v>25184.768565869301</c:v>
                </c:pt>
                <c:pt idx="3">
                  <c:v>5152.8407410199998</c:v>
                </c:pt>
                <c:pt idx="4">
                  <c:v>1407.3852262022929</c:v>
                </c:pt>
                <c:pt idx="5">
                  <c:v>436.76114799999999</c:v>
                </c:pt>
                <c:pt idx="6">
                  <c:v>1167.9738260000001</c:v>
                </c:pt>
                <c:pt idx="7">
                  <c:v>74.367754392501737</c:v>
                </c:pt>
                <c:pt idx="8">
                  <c:v>22.949671359999989</c:v>
                </c:pt>
                <c:pt idx="9">
                  <c:v>58.054059550789468</c:v>
                </c:pt>
                <c:pt idx="10">
                  <c:v>94.988779199999996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Balance-2021'!$A$75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Balance-2021'!$A$78:$A$87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Balance-2021'!$B$78:$B$87</c:f>
              <c:numCache>
                <c:formatCode>_(* #,##0_);_(* \(#,##0\);_(* "-"??_);_(@_)</c:formatCode>
                <c:ptCount val="10"/>
                <c:pt idx="0">
                  <c:v>40204.830665548499</c:v>
                </c:pt>
                <c:pt idx="1">
                  <c:v>22668.605844130812</c:v>
                </c:pt>
                <c:pt idx="2">
                  <c:v>22223.683940915689</c:v>
                </c:pt>
                <c:pt idx="3">
                  <c:v>5341.6279152740026</c:v>
                </c:pt>
                <c:pt idx="4">
                  <c:v>4275.1847999999991</c:v>
                </c:pt>
                <c:pt idx="5">
                  <c:v>1869.9154639200003</c:v>
                </c:pt>
                <c:pt idx="6">
                  <c:v>74.367754392501737</c:v>
                </c:pt>
                <c:pt idx="7">
                  <c:v>13.743736432999999</c:v>
                </c:pt>
                <c:pt idx="8">
                  <c:v>58.054059550789468</c:v>
                </c:pt>
                <c:pt idx="9">
                  <c:v>93.999585600000003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636"/>
          <c:h val="0.6780094122732041"/>
        </c:manualLayout>
      </c:layout>
      <c:pie3DChart>
        <c:varyColors val="1"/>
        <c:ser>
          <c:idx val="0"/>
          <c:order val="0"/>
          <c:tx>
            <c:strRef>
              <c:f>'Energy Balance-2021'!$A$98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84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486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117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Balance-2021'!$A$102:$A$108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Balance-2021'!$B$102:$B$108</c:f>
              <c:numCache>
                <c:formatCode>_(* #,##0_);_(* \(#,##0\);_(* "-"??_);_(@_)</c:formatCode>
                <c:ptCount val="7"/>
                <c:pt idx="0">
                  <c:v>32613.447581437227</c:v>
                </c:pt>
                <c:pt idx="1">
                  <c:v>3352.469419175</c:v>
                </c:pt>
                <c:pt idx="2">
                  <c:v>1963.9150495200004</c:v>
                </c:pt>
                <c:pt idx="3">
                  <c:v>28100.407820182543</c:v>
                </c:pt>
                <c:pt idx="4">
                  <c:v>16014.386160666296</c:v>
                </c:pt>
                <c:pt idx="5">
                  <c:v>12584.488542654948</c:v>
                </c:pt>
                <c:pt idx="6">
                  <c:v>2194.899192129285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83344</xdr:colOff>
      <xdr:row>23</xdr:row>
      <xdr:rowOff>83343</xdr:rowOff>
    </xdr:from>
    <xdr:to>
      <xdr:col>21</xdr:col>
      <xdr:colOff>21433</xdr:colOff>
      <xdr:row>25</xdr:row>
      <xdr:rowOff>11906</xdr:rowOff>
    </xdr:to>
    <xdr:sp macro="" textlink="">
      <xdr:nvSpPr>
        <xdr:cNvPr id="7" name="Right Brace 6"/>
        <xdr:cNvSpPr/>
      </xdr:nvSpPr>
      <xdr:spPr>
        <a:xfrm>
          <a:off x="18538032" y="6250781"/>
          <a:ext cx="676276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17971</xdr:colOff>
      <xdr:row>99</xdr:row>
      <xdr:rowOff>26958</xdr:rowOff>
    </xdr:from>
    <xdr:to>
      <xdr:col>12</xdr:col>
      <xdr:colOff>80873</xdr:colOff>
      <xdr:row>120</xdr:row>
      <xdr:rowOff>17972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16399</xdr:colOff>
      <xdr:row>42</xdr:row>
      <xdr:rowOff>22196</xdr:rowOff>
    </xdr:from>
    <xdr:to>
      <xdr:col>12</xdr:col>
      <xdr:colOff>960723</xdr:colOff>
      <xdr:row>62</xdr:row>
      <xdr:rowOff>62676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684719</xdr:colOff>
      <xdr:row>73</xdr:row>
      <xdr:rowOff>166911</xdr:rowOff>
    </xdr:from>
    <xdr:to>
      <xdr:col>12</xdr:col>
      <xdr:colOff>1065719</xdr:colOff>
      <xdr:row>92</xdr:row>
      <xdr:rowOff>33022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835819</xdr:colOff>
      <xdr:row>54</xdr:row>
      <xdr:rowOff>78581</xdr:rowOff>
    </xdr:from>
    <xdr:to>
      <xdr:col>20</xdr:col>
      <xdr:colOff>714375</xdr:colOff>
      <xdr:row>75</xdr:row>
      <xdr:rowOff>11906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0.36412</cdr:x>
      <cdr:y>0.40528</cdr:y>
    </cdr:from>
    <cdr:to>
      <cdr:x>0.62522</cdr:x>
      <cdr:y>0.77938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2626" y="1609726"/>
          <a:ext cx="1400175" cy="148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Fossil Fuel </a:t>
          </a:r>
        </a:p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155,600 Toe</a:t>
          </a:r>
        </a:p>
        <a:p xmlns:a="http://schemas.openxmlformats.org/drawingml/2006/main">
          <a:pPr algn="ctr"/>
          <a:r>
            <a:rPr lang="en-US" sz="1400" b="1">
              <a:solidFill>
                <a:schemeClr val="accent2"/>
              </a:solidFill>
            </a:rPr>
            <a:t>99.2%</a:t>
          </a:r>
        </a:p>
        <a:p xmlns:a="http://schemas.openxmlformats.org/drawingml/2006/main">
          <a:endParaRPr lang="en-US" sz="1100"/>
        </a:p>
        <a:p xmlns:a="http://schemas.openxmlformats.org/drawingml/2006/main">
          <a:pPr algn="ctr"/>
          <a:endParaRPr lang="en-US" sz="1100" b="1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Renewable Energy</a:t>
          </a: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1,282 Toe</a:t>
          </a:r>
        </a:p>
        <a:p xmlns:a="http://schemas.openxmlformats.org/drawingml/2006/main">
          <a:pPr algn="ctr"/>
          <a:r>
            <a:rPr lang="en-US" sz="1400" b="1">
              <a:solidFill>
                <a:srgbClr val="00B050"/>
              </a:solidFill>
            </a:rPr>
            <a:t>0.8%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666749</xdr:colOff>
      <xdr:row>12</xdr:row>
      <xdr:rowOff>142876</xdr:rowOff>
    </xdr:from>
    <xdr:to>
      <xdr:col>10</xdr:col>
      <xdr:colOff>628650</xdr:colOff>
      <xdr:row>15</xdr:row>
      <xdr:rowOff>180976</xdr:rowOff>
    </xdr:to>
    <xdr:sp macro="" textlink="">
      <xdr:nvSpPr>
        <xdr:cNvPr id="4" name="Right Brace 3"/>
        <xdr:cNvSpPr/>
      </xdr:nvSpPr>
      <xdr:spPr>
        <a:xfrm>
          <a:off x="8401049" y="2514601"/>
          <a:ext cx="676276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190499</xdr:rowOff>
    </xdr:from>
    <xdr:to>
      <xdr:col>10</xdr:col>
      <xdr:colOff>676276</xdr:colOff>
      <xdr:row>29</xdr:row>
      <xdr:rowOff>180974</xdr:rowOff>
    </xdr:to>
    <xdr:sp macro="" textlink="">
      <xdr:nvSpPr>
        <xdr:cNvPr id="5" name="Right Brace 4"/>
        <xdr:cNvSpPr/>
      </xdr:nvSpPr>
      <xdr:spPr>
        <a:xfrm>
          <a:off x="8448675" y="4667249"/>
          <a:ext cx="676276" cy="1133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40</xdr:row>
      <xdr:rowOff>66674</xdr:rowOff>
    </xdr:from>
    <xdr:to>
      <xdr:col>12</xdr:col>
      <xdr:colOff>26458</xdr:colOff>
      <xdr:row>56</xdr:row>
      <xdr:rowOff>3174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19050</xdr:rowOff>
    </xdr:from>
    <xdr:to>
      <xdr:col>3</xdr:col>
      <xdr:colOff>266700</xdr:colOff>
      <xdr:row>71</xdr:row>
      <xdr:rowOff>180975</xdr:rowOff>
    </xdr:to>
    <xdr:sp macro="" textlink="">
      <xdr:nvSpPr>
        <xdr:cNvPr id="6" name="Right Brace 5"/>
        <xdr:cNvSpPr/>
      </xdr:nvSpPr>
      <xdr:spPr>
        <a:xfrm>
          <a:off x="2895600" y="11344275"/>
          <a:ext cx="238125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66</xdr:row>
      <xdr:rowOff>66675</xdr:rowOff>
    </xdr:from>
    <xdr:to>
      <xdr:col>3</xdr:col>
      <xdr:colOff>161925</xdr:colOff>
      <xdr:row>68</xdr:row>
      <xdr:rowOff>142875</xdr:rowOff>
    </xdr:to>
    <xdr:sp macro="" textlink="">
      <xdr:nvSpPr>
        <xdr:cNvPr id="8" name="Right Brace 7"/>
        <xdr:cNvSpPr/>
      </xdr:nvSpPr>
      <xdr:spPr>
        <a:xfrm>
          <a:off x="2867025" y="10820400"/>
          <a:ext cx="161925" cy="457200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257175</xdr:colOff>
      <xdr:row>67</xdr:row>
      <xdr:rowOff>76200</xdr:rowOff>
    </xdr:from>
    <xdr:to>
      <xdr:col>3</xdr:col>
      <xdr:colOff>847725</xdr:colOff>
      <xdr:row>67</xdr:row>
      <xdr:rowOff>95250</xdr:rowOff>
    </xdr:to>
    <xdr:cxnSp macro="">
      <xdr:nvCxnSpPr>
        <xdr:cNvPr id="10" name="Straight Arrow Connector 9"/>
        <xdr:cNvCxnSpPr/>
      </xdr:nvCxnSpPr>
      <xdr:spPr>
        <a:xfrm>
          <a:off x="3124200" y="14925675"/>
          <a:ext cx="5905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69</xdr:row>
      <xdr:rowOff>133351</xdr:rowOff>
    </xdr:from>
    <xdr:to>
      <xdr:col>3</xdr:col>
      <xdr:colOff>847725</xdr:colOff>
      <xdr:row>69</xdr:row>
      <xdr:rowOff>161925</xdr:rowOff>
    </xdr:to>
    <xdr:cxnSp macro="">
      <xdr:nvCxnSpPr>
        <xdr:cNvPr id="11" name="Straight Arrow Connector 10"/>
        <xdr:cNvCxnSpPr/>
      </xdr:nvCxnSpPr>
      <xdr:spPr>
        <a:xfrm flipV="1">
          <a:off x="3143250" y="15363826"/>
          <a:ext cx="571500" cy="28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66</xdr:row>
      <xdr:rowOff>104775</xdr:rowOff>
    </xdr:from>
    <xdr:to>
      <xdr:col>7</xdr:col>
      <xdr:colOff>200025</xdr:colOff>
      <xdr:row>67</xdr:row>
      <xdr:rowOff>95251</xdr:rowOff>
    </xdr:to>
    <xdr:cxnSp macro="">
      <xdr:nvCxnSpPr>
        <xdr:cNvPr id="18" name="Straight Arrow Connector 17"/>
        <xdr:cNvCxnSpPr/>
      </xdr:nvCxnSpPr>
      <xdr:spPr>
        <a:xfrm flipV="1">
          <a:off x="5248275" y="14763750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67</xdr:row>
      <xdr:rowOff>152400</xdr:rowOff>
    </xdr:from>
    <xdr:to>
      <xdr:col>7</xdr:col>
      <xdr:colOff>190500</xdr:colOff>
      <xdr:row>68</xdr:row>
      <xdr:rowOff>114300</xdr:rowOff>
    </xdr:to>
    <xdr:cxnSp macro="">
      <xdr:nvCxnSpPr>
        <xdr:cNvPr id="22" name="Straight Arrow Connector 21"/>
        <xdr:cNvCxnSpPr/>
      </xdr:nvCxnSpPr>
      <xdr:spPr>
        <a:xfrm>
          <a:off x="5257800" y="15001875"/>
          <a:ext cx="6572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68</xdr:row>
      <xdr:rowOff>9525</xdr:rowOff>
    </xdr:from>
    <xdr:to>
      <xdr:col>12</xdr:col>
      <xdr:colOff>304800</xdr:colOff>
      <xdr:row>70</xdr:row>
      <xdr:rowOff>171450</xdr:rowOff>
    </xdr:to>
    <xdr:sp macro="" textlink="">
      <xdr:nvSpPr>
        <xdr:cNvPr id="25" name="Right Brace 24"/>
        <xdr:cNvSpPr/>
      </xdr:nvSpPr>
      <xdr:spPr>
        <a:xfrm>
          <a:off x="9229725" y="1504950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9525</xdr:colOff>
      <xdr:row>64</xdr:row>
      <xdr:rowOff>114300</xdr:rowOff>
    </xdr:from>
    <xdr:to>
      <xdr:col>7</xdr:col>
      <xdr:colOff>209550</xdr:colOff>
      <xdr:row>65</xdr:row>
      <xdr:rowOff>104776</xdr:rowOff>
    </xdr:to>
    <xdr:cxnSp macro="">
      <xdr:nvCxnSpPr>
        <xdr:cNvPr id="28" name="Straight Arrow Connector 27"/>
        <xdr:cNvCxnSpPr/>
      </xdr:nvCxnSpPr>
      <xdr:spPr>
        <a:xfrm flipV="1">
          <a:off x="5257800" y="14392275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70</xdr:row>
      <xdr:rowOff>114300</xdr:rowOff>
    </xdr:from>
    <xdr:to>
      <xdr:col>7</xdr:col>
      <xdr:colOff>190500</xdr:colOff>
      <xdr:row>70</xdr:row>
      <xdr:rowOff>123825</xdr:rowOff>
    </xdr:to>
    <xdr:cxnSp macro="">
      <xdr:nvCxnSpPr>
        <xdr:cNvPr id="29" name="Straight Arrow Connector 28"/>
        <xdr:cNvCxnSpPr/>
      </xdr:nvCxnSpPr>
      <xdr:spPr>
        <a:xfrm flipV="1">
          <a:off x="5295900" y="15535275"/>
          <a:ext cx="619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123825</xdr:rowOff>
    </xdr:from>
    <xdr:to>
      <xdr:col>11</xdr:col>
      <xdr:colOff>239475</xdr:colOff>
      <xdr:row>24</xdr:row>
      <xdr:rowOff>30955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419100</xdr:colOff>
      <xdr:row>47</xdr:row>
      <xdr:rowOff>56611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50</xdr:row>
      <xdr:rowOff>180975</xdr:rowOff>
    </xdr:from>
    <xdr:to>
      <xdr:col>9</xdr:col>
      <xdr:colOff>567727</xdr:colOff>
      <xdr:row>72</xdr:row>
      <xdr:rowOff>67214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91:E96" totalsRowShown="0" tableBorderDxfId="0">
  <autoFilter ref="A91:E96"/>
  <tableColumns count="5">
    <tableColumn id="1" name="Column1"/>
    <tableColumn id="3" name="PUC"/>
    <tableColumn id="4" name="Auto-Prod"/>
    <tableColumn id="5" name="Total"/>
    <tableColumn id="6" name="Total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9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P2" sqref="P2"/>
    </sheetView>
  </sheetViews>
  <sheetFormatPr defaultRowHeight="15"/>
  <cols>
    <col min="1" max="1" width="51.28515625" customWidth="1"/>
    <col min="2" max="2" width="13.85546875" customWidth="1"/>
    <col min="3" max="3" width="11.7109375" customWidth="1"/>
    <col min="4" max="5" width="11.140625" customWidth="1"/>
    <col min="6" max="6" width="10" customWidth="1"/>
    <col min="7" max="7" width="10.85546875" customWidth="1"/>
    <col min="8" max="8" width="9.5703125" bestFit="1" customWidth="1"/>
    <col min="9" max="9" width="13.85546875" customWidth="1"/>
    <col min="10" max="10" width="8.42578125" customWidth="1"/>
    <col min="11" max="11" width="8.28515625" customWidth="1"/>
    <col min="12" max="12" width="8.85546875" customWidth="1"/>
    <col min="13" max="13" width="16.7109375" customWidth="1"/>
    <col min="14" max="14" width="8.5703125" customWidth="1"/>
    <col min="15" max="15" width="16.140625" customWidth="1"/>
    <col min="16" max="16" width="12.28515625" bestFit="1" customWidth="1"/>
    <col min="17" max="17" width="11.5703125" bestFit="1" customWidth="1"/>
    <col min="18" max="18" width="20.140625" customWidth="1"/>
    <col min="19" max="19" width="13" bestFit="1" customWidth="1"/>
    <col min="21" max="21" width="11.140625" bestFit="1" customWidth="1"/>
    <col min="23" max="23" width="4.140625" customWidth="1"/>
    <col min="24" max="24" width="28.140625" customWidth="1"/>
    <col min="25" max="25" width="11.28515625" bestFit="1" customWidth="1"/>
    <col min="30" max="30" width="13.42578125" customWidth="1"/>
    <col min="31" max="31" width="12.28515625" bestFit="1" customWidth="1"/>
    <col min="34" max="34" width="12.140625" bestFit="1" customWidth="1"/>
    <col min="35" max="36" width="11.28515625" bestFit="1" customWidth="1"/>
    <col min="38" max="38" width="18.28515625" customWidth="1"/>
    <col min="39" max="39" width="11.28515625" bestFit="1" customWidth="1"/>
  </cols>
  <sheetData>
    <row r="1" spans="1:20" ht="46.5" customHeight="1">
      <c r="A1" s="387" t="s">
        <v>31</v>
      </c>
      <c r="B1" s="91"/>
      <c r="C1" s="891"/>
      <c r="D1" s="92"/>
      <c r="E1" s="92"/>
      <c r="F1" s="668" t="s">
        <v>415</v>
      </c>
      <c r="G1" s="92"/>
      <c r="H1" s="92"/>
      <c r="I1" s="92"/>
      <c r="J1" s="92"/>
      <c r="K1" s="92"/>
      <c r="L1" s="696"/>
      <c r="M1" s="92"/>
      <c r="N1" s="92"/>
      <c r="O1" s="571"/>
    </row>
    <row r="2" spans="1:20" ht="21">
      <c r="A2" s="388" t="s">
        <v>416</v>
      </c>
      <c r="B2" s="899" t="s">
        <v>0</v>
      </c>
      <c r="C2" s="900"/>
      <c r="D2" s="900"/>
      <c r="E2" s="900"/>
      <c r="F2" s="900"/>
      <c r="G2" s="900"/>
      <c r="H2" s="901"/>
      <c r="I2" s="569" t="s">
        <v>7</v>
      </c>
      <c r="J2" s="899" t="s">
        <v>8</v>
      </c>
      <c r="K2" s="901"/>
      <c r="L2" s="389" t="s">
        <v>9</v>
      </c>
      <c r="M2" s="389" t="s">
        <v>10</v>
      </c>
      <c r="N2" s="389" t="s">
        <v>11</v>
      </c>
      <c r="O2" s="902" t="s">
        <v>63</v>
      </c>
    </row>
    <row r="3" spans="1:20" ht="30">
      <c r="A3" s="47" t="s">
        <v>304</v>
      </c>
      <c r="B3" s="44" t="s">
        <v>5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54</v>
      </c>
      <c r="H3" s="44" t="s">
        <v>101</v>
      </c>
      <c r="I3" s="44" t="s">
        <v>134</v>
      </c>
      <c r="J3" s="44" t="s">
        <v>91</v>
      </c>
      <c r="K3" s="44" t="s">
        <v>92</v>
      </c>
      <c r="L3" s="57" t="s">
        <v>90</v>
      </c>
      <c r="M3" s="44" t="s">
        <v>23</v>
      </c>
      <c r="N3" s="4" t="s">
        <v>23</v>
      </c>
      <c r="O3" s="903"/>
    </row>
    <row r="4" spans="1:20" ht="18">
      <c r="A4" s="669" t="s">
        <v>25</v>
      </c>
      <c r="B4" s="660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4"/>
      <c r="Q4" s="347" t="s">
        <v>362</v>
      </c>
      <c r="R4" s="348"/>
      <c r="S4" s="370" t="s">
        <v>53</v>
      </c>
      <c r="T4" s="286" t="s">
        <v>142</v>
      </c>
    </row>
    <row r="5" spans="1:20" ht="20.100000000000001" customHeight="1">
      <c r="A5" s="670" t="s">
        <v>24</v>
      </c>
      <c r="B5" s="95"/>
      <c r="C5" s="18"/>
      <c r="D5" s="18"/>
      <c r="E5" s="18"/>
      <c r="F5" s="18"/>
      <c r="G5" s="18"/>
      <c r="H5" s="18"/>
      <c r="I5" s="36">
        <f>'Biomass, SWH &amp; Kero'!F40+'Biomass, SWH &amp; Kero'!H40</f>
        <v>58.054059550789468</v>
      </c>
      <c r="J5" s="30">
        <f>'Electricity Stat-2021'!H29+'Electricity Stat-2021'!H37</f>
        <v>1167.9738260000001</v>
      </c>
      <c r="K5" s="23">
        <f>'Biomass, SWH &amp; Kero'!L40</f>
        <v>74.367754392501737</v>
      </c>
      <c r="L5" s="23">
        <f>'Electricity Stat-2021'!H21</f>
        <v>436.76114799999999</v>
      </c>
      <c r="M5" s="18"/>
      <c r="N5" s="36"/>
      <c r="O5" s="260">
        <f>SUM(B5:N5)</f>
        <v>1737.1567879432912</v>
      </c>
      <c r="Q5" s="349" t="s">
        <v>274</v>
      </c>
      <c r="R5" s="350"/>
      <c r="S5" s="364">
        <f>SUM(B12:H12)</f>
        <v>155600.34760748543</v>
      </c>
      <c r="T5" s="371">
        <f>S5/$S$7</f>
        <v>0.98895904193587958</v>
      </c>
    </row>
    <row r="6" spans="1:20" ht="20.100000000000001" customHeight="1">
      <c r="A6" s="670" t="s">
        <v>12</v>
      </c>
      <c r="B6" s="661">
        <f>'Petroleum Stat-2021'!I25</f>
        <v>24967.53160509</v>
      </c>
      <c r="C6" s="23">
        <f>'Petroleum Stat-2021'!D25</f>
        <v>217858.43371774498</v>
      </c>
      <c r="D6" s="36">
        <f>'Petroleum Stat-2021'!F25</f>
        <v>84459.450993599996</v>
      </c>
      <c r="E6" s="36">
        <f>'Petroleum Stat-2021'!E25</f>
        <v>25069.405977840001</v>
      </c>
      <c r="F6" s="36">
        <f>'Petroleum Stat-2021'!H25</f>
        <v>5552.6075599999995</v>
      </c>
      <c r="G6" s="18"/>
      <c r="H6" s="36">
        <f>'Petroleum Stat-2021'!G25</f>
        <v>110.9376</v>
      </c>
      <c r="I6" s="18"/>
      <c r="J6" s="18"/>
      <c r="K6" s="18"/>
      <c r="L6" s="18"/>
      <c r="M6" s="18"/>
      <c r="N6" s="18"/>
      <c r="O6" s="261">
        <f t="shared" ref="O6:O12" si="0">SUM(B6:N6)</f>
        <v>358018.36745427496</v>
      </c>
      <c r="Q6" s="349" t="s">
        <v>233</v>
      </c>
      <c r="R6" s="350"/>
      <c r="S6" s="368">
        <f>SUM(I12:L12)</f>
        <v>1737.1567879432912</v>
      </c>
      <c r="T6" s="372">
        <f>S6/$S$7</f>
        <v>1.1040958064120423E-2</v>
      </c>
    </row>
    <row r="7" spans="1:20" ht="20.100000000000001" customHeight="1">
      <c r="A7" s="670" t="s">
        <v>13</v>
      </c>
      <c r="B7" s="662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18"/>
      <c r="J7" s="18"/>
      <c r="K7" s="18"/>
      <c r="L7" s="18"/>
      <c r="M7" s="18"/>
      <c r="N7" s="18"/>
      <c r="O7" s="260">
        <f t="shared" si="0"/>
        <v>0</v>
      </c>
      <c r="Q7" s="353"/>
      <c r="R7" s="354"/>
      <c r="S7" s="369">
        <f>SUM(S5:S6)</f>
        <v>157337.50439542872</v>
      </c>
      <c r="T7" s="366">
        <f>S7/$S$7</f>
        <v>1</v>
      </c>
    </row>
    <row r="8" spans="1:20" ht="20.100000000000001" customHeight="1">
      <c r="A8" s="670" t="s">
        <v>102</v>
      </c>
      <c r="B8" s="662"/>
      <c r="C8" s="43">
        <f>-'Petroleum Stat-2021'!D35</f>
        <v>-168765.67476049499</v>
      </c>
      <c r="D8" s="43">
        <f>-'Petroleum Stat-2021'!F35</f>
        <v>-5033.3332627199998</v>
      </c>
      <c r="E8" s="43">
        <f>-'Petroleum Stat-2021'!E35</f>
        <v>-24673.906677878225</v>
      </c>
      <c r="F8" s="30"/>
      <c r="G8" s="30"/>
      <c r="H8" s="18"/>
      <c r="I8" s="18"/>
      <c r="J8" s="18"/>
      <c r="K8" s="18"/>
      <c r="L8" s="18"/>
      <c r="M8" s="18"/>
      <c r="N8" s="18"/>
      <c r="O8" s="260">
        <f t="shared" si="0"/>
        <v>-198472.91470109322</v>
      </c>
    </row>
    <row r="9" spans="1:20" ht="20.100000000000001" customHeight="1">
      <c r="A9" s="670" t="s">
        <v>152</v>
      </c>
      <c r="B9" s="663">
        <f>'Petroleum Stat-2021'!I28</f>
        <v>-925.17482914209995</v>
      </c>
      <c r="C9" s="43">
        <f>'Petroleum Stat-2021'!D28</f>
        <v>-2366.2582868767636</v>
      </c>
      <c r="D9" s="43">
        <f>'Petroleum Stat-2021'!F28</f>
        <v>-1381.3304502719996</v>
      </c>
      <c r="E9" s="43">
        <f>'Petroleum Stat-2021'!E28</f>
        <v>1372.4406412309177</v>
      </c>
      <c r="F9" s="43">
        <f>'Petroleum Stat-2021'!H28</f>
        <v>-327.51750500000003</v>
      </c>
      <c r="G9" s="43">
        <f>'Petroleum Stat-2021'!J28</f>
        <v>-33.838721840000012</v>
      </c>
      <c r="H9" s="39">
        <f>'Petroleum Stat-2021'!G28</f>
        <v>-16.4434176</v>
      </c>
      <c r="I9" s="18"/>
      <c r="J9" s="18"/>
      <c r="K9" s="18"/>
      <c r="L9" s="18"/>
      <c r="M9" s="18"/>
      <c r="N9" s="18"/>
      <c r="O9" s="261">
        <f t="shared" si="0"/>
        <v>-3678.1225694999457</v>
      </c>
      <c r="Q9" s="264" t="s">
        <v>276</v>
      </c>
      <c r="R9" s="265"/>
      <c r="S9" s="266"/>
    </row>
    <row r="10" spans="1:20" ht="20.100000000000001" customHeight="1">
      <c r="A10" s="670" t="s">
        <v>14</v>
      </c>
      <c r="B10" s="663">
        <f>'Petroleum Stat-2021'!I29</f>
        <v>1142.4117899214002</v>
      </c>
      <c r="C10" s="43">
        <f>'Petroleum Stat-2021'!D29</f>
        <v>-410.76005034736835</v>
      </c>
      <c r="D10" s="43">
        <f>'Petroleum Stat-2021'!F29</f>
        <v>-623.11327679999999</v>
      </c>
      <c r="E10" s="43">
        <f>'Petroleum Stat-2021'!E29</f>
        <v>-360.55471499040004</v>
      </c>
      <c r="F10" s="43">
        <f>'Petroleum Stat-2021'!H29</f>
        <v>-72.249313979999783</v>
      </c>
      <c r="G10" s="43">
        <f>'Petroleum Stat-2021'!J29</f>
        <v>0</v>
      </c>
      <c r="H10" s="39">
        <f>'Petroleum Stat-2021'!G29</f>
        <v>0.4945968</v>
      </c>
      <c r="I10" s="18"/>
      <c r="J10" s="18"/>
      <c r="K10" s="18"/>
      <c r="L10" s="18"/>
      <c r="M10" s="18"/>
      <c r="N10" s="18"/>
      <c r="O10" s="261">
        <f t="shared" si="0"/>
        <v>-323.770969396368</v>
      </c>
      <c r="Q10" s="267" t="s">
        <v>277</v>
      </c>
      <c r="R10" s="268"/>
      <c r="S10" s="359">
        <f>M15/$M$21</f>
        <v>0.83386397069608031</v>
      </c>
    </row>
    <row r="11" spans="1:20" ht="20.100000000000001" customHeight="1">
      <c r="A11" s="670" t="s">
        <v>50</v>
      </c>
      <c r="B11" s="663">
        <f>'Petroleum Stat-2021'!C30</f>
        <v>0</v>
      </c>
      <c r="C11" s="90"/>
      <c r="D11" s="43"/>
      <c r="E11" s="43"/>
      <c r="F11" s="43"/>
      <c r="G11" s="43">
        <f>'Petroleum Stat-2021'!J30</f>
        <v>56.788393200000002</v>
      </c>
      <c r="H11" s="39"/>
      <c r="I11" s="18"/>
      <c r="J11" s="18"/>
      <c r="K11" s="18"/>
      <c r="L11" s="18"/>
      <c r="M11" s="18"/>
      <c r="N11" s="18"/>
      <c r="O11" s="261">
        <f t="shared" si="0"/>
        <v>56.788393200000002</v>
      </c>
      <c r="Q11" s="373" t="s">
        <v>234</v>
      </c>
      <c r="R11" s="268"/>
      <c r="S11" s="359">
        <f>M16/$M$21</f>
        <v>0.12944901191037356</v>
      </c>
    </row>
    <row r="12" spans="1:20" ht="20.100000000000001" customHeight="1">
      <c r="A12" s="671" t="s">
        <v>32</v>
      </c>
      <c r="B12" s="343">
        <f>SUM(B5:B11)</f>
        <v>25184.768565869301</v>
      </c>
      <c r="C12" s="38">
        <f t="shared" ref="C12:L12" si="1">SUM(C5:C11)</f>
        <v>46315.740620025856</v>
      </c>
      <c r="D12" s="38">
        <f>SUM(D5:D11)</f>
        <v>77421.674003808002</v>
      </c>
      <c r="E12" s="38">
        <f t="shared" si="1"/>
        <v>1407.3852262022929</v>
      </c>
      <c r="F12" s="38">
        <f t="shared" si="1"/>
        <v>5152.8407410199998</v>
      </c>
      <c r="G12" s="38">
        <f t="shared" si="1"/>
        <v>22.949671359999989</v>
      </c>
      <c r="H12" s="38">
        <f t="shared" si="1"/>
        <v>94.988779199999996</v>
      </c>
      <c r="I12" s="38">
        <f t="shared" si="1"/>
        <v>58.054059550789468</v>
      </c>
      <c r="J12" s="38">
        <f t="shared" si="1"/>
        <v>1167.9738260000001</v>
      </c>
      <c r="K12" s="38">
        <f t="shared" si="1"/>
        <v>74.367754392501737</v>
      </c>
      <c r="L12" s="38">
        <f t="shared" si="1"/>
        <v>436.76114799999999</v>
      </c>
      <c r="M12" s="38">
        <f>SUM(M5:M11)</f>
        <v>0</v>
      </c>
      <c r="N12" s="38">
        <f>SUM(N5:N11)</f>
        <v>0</v>
      </c>
      <c r="O12" s="56">
        <f t="shared" si="0"/>
        <v>157337.5043954287</v>
      </c>
      <c r="P12" s="9"/>
      <c r="Q12" s="373" t="s">
        <v>235</v>
      </c>
      <c r="R12" s="268"/>
      <c r="S12" s="359">
        <f>M17/$M$21</f>
        <v>2.6626853698490337E-2</v>
      </c>
    </row>
    <row r="13" spans="1:20" ht="15" customHeight="1">
      <c r="A13" s="672" t="s">
        <v>95</v>
      </c>
      <c r="B13" s="66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18"/>
      <c r="N13" s="18"/>
      <c r="O13" s="262">
        <f>O5/O12</f>
        <v>1.1040958064120424E-2</v>
      </c>
      <c r="P13" s="1">
        <f>SUM(I12:L12)/O12</f>
        <v>1.1040958064120424E-2</v>
      </c>
      <c r="Q13" s="267" t="s">
        <v>256</v>
      </c>
      <c r="R13" s="268"/>
      <c r="S13" s="359">
        <f>M18/$M$21</f>
        <v>9.9851153574354399E-3</v>
      </c>
    </row>
    <row r="14" spans="1:20" ht="20.100000000000001" customHeight="1">
      <c r="A14" s="673" t="s">
        <v>26</v>
      </c>
      <c r="B14" s="665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26"/>
      <c r="P14" s="1">
        <f>SUM(B12:H12)/O12</f>
        <v>0.98895904193587969</v>
      </c>
      <c r="Q14" s="373" t="s">
        <v>236</v>
      </c>
      <c r="R14" s="268"/>
      <c r="S14" s="361">
        <f>M19/$M$21</f>
        <v>7.5048337620326665E-5</v>
      </c>
    </row>
    <row r="15" spans="1:20" ht="20.100000000000001" customHeight="1">
      <c r="A15" s="670" t="s">
        <v>15</v>
      </c>
      <c r="B15" s="95"/>
      <c r="C15" s="33">
        <f>-'Electricity Stat-2021'!E6-'Electricity Stat-2021'!E10-'Electricity Stat-2021'!E14-'Electricity Stat-2021'!E15</f>
        <v>-10860.759013950001</v>
      </c>
      <c r="D15" s="33">
        <f>-'Electricity Stat-2021'!E7-'Electricity Stat-2021'!E11</f>
        <v>-78852.36575135999</v>
      </c>
      <c r="E15" s="18"/>
      <c r="F15" s="18"/>
      <c r="G15" s="18"/>
      <c r="H15" s="18"/>
      <c r="I15" s="18"/>
      <c r="J15" s="18"/>
      <c r="K15" s="18"/>
      <c r="L15" s="34"/>
      <c r="M15" s="30">
        <f>'Electricity Stat-2021'!H17</f>
        <v>36474.229097999996</v>
      </c>
      <c r="N15" s="35"/>
      <c r="O15" s="25">
        <f t="shared" ref="O15:O20" si="2">SUM(B15:N15)</f>
        <v>-53238.895667309989</v>
      </c>
      <c r="Q15" s="269"/>
      <c r="R15" s="270" t="s">
        <v>56</v>
      </c>
      <c r="S15" s="271">
        <f>SUM(S10:S14)</f>
        <v>1</v>
      </c>
    </row>
    <row r="16" spans="1:20" ht="20.100000000000001" customHeight="1">
      <c r="A16" s="670" t="s">
        <v>16</v>
      </c>
      <c r="B16" s="95"/>
      <c r="C16" s="30">
        <f>-'Electricity Stat-2021'!E85</f>
        <v>-16317.715122584999</v>
      </c>
      <c r="D16" s="18"/>
      <c r="E16" s="18"/>
      <c r="F16" s="18"/>
      <c r="G16" s="18"/>
      <c r="H16" s="18"/>
      <c r="I16" s="18"/>
      <c r="J16" s="18"/>
      <c r="K16" s="18"/>
      <c r="L16" s="18"/>
      <c r="M16" s="30">
        <f>'Electricity Stat-2021'!K85</f>
        <v>5662.2579735485024</v>
      </c>
      <c r="N16" s="36"/>
      <c r="O16" s="25">
        <f t="shared" si="2"/>
        <v>-10655.457149036498</v>
      </c>
    </row>
    <row r="17" spans="1:40" ht="20.100000000000001" customHeight="1">
      <c r="A17" s="670" t="s">
        <v>22</v>
      </c>
      <c r="B17" s="95"/>
      <c r="C17" s="18"/>
      <c r="D17" s="18"/>
      <c r="E17" s="18"/>
      <c r="F17" s="18"/>
      <c r="G17" s="18"/>
      <c r="H17" s="18"/>
      <c r="I17" s="18"/>
      <c r="J17" s="23">
        <f>-'Electricity Stat-2021'!H29</f>
        <v>-1164.6911200000002</v>
      </c>
      <c r="K17" s="23"/>
      <c r="L17" s="23"/>
      <c r="M17" s="30">
        <f>-J17</f>
        <v>1164.6911200000002</v>
      </c>
      <c r="N17" s="18"/>
      <c r="O17" s="25">
        <f t="shared" si="2"/>
        <v>0</v>
      </c>
      <c r="Q17" s="264" t="s">
        <v>278</v>
      </c>
      <c r="R17" s="265"/>
      <c r="S17" s="266"/>
    </row>
    <row r="18" spans="1:40" ht="20.100000000000001" customHeight="1">
      <c r="A18" s="670" t="s">
        <v>17</v>
      </c>
      <c r="B18" s="95"/>
      <c r="C18" s="18"/>
      <c r="D18" s="18"/>
      <c r="E18" s="18"/>
      <c r="F18" s="18"/>
      <c r="G18" s="18"/>
      <c r="H18" s="18"/>
      <c r="I18" s="18"/>
      <c r="J18" s="23"/>
      <c r="K18" s="23"/>
      <c r="L18" s="37">
        <f>-'Electricity Stat-2021'!H21</f>
        <v>-436.76114799999999</v>
      </c>
      <c r="M18" s="30">
        <f>-L18</f>
        <v>436.76114799999999</v>
      </c>
      <c r="N18" s="18"/>
      <c r="O18" s="25">
        <f t="shared" si="2"/>
        <v>0</v>
      </c>
      <c r="Q18" s="267" t="s">
        <v>425</v>
      </c>
      <c r="R18" s="268"/>
      <c r="S18" s="360">
        <f>SUM(M17:M19)/(M15+M17+M18+M19)</f>
        <v>4.2142295965976254E-2</v>
      </c>
    </row>
    <row r="19" spans="1:40" ht="20.100000000000001" customHeight="1">
      <c r="A19" s="670" t="s">
        <v>18</v>
      </c>
      <c r="B19" s="95"/>
      <c r="C19" s="18"/>
      <c r="D19" s="36"/>
      <c r="E19" s="18"/>
      <c r="F19" s="18"/>
      <c r="G19" s="18"/>
      <c r="H19" s="18"/>
      <c r="I19" s="18"/>
      <c r="J19" s="30">
        <f>-'Electricity Stat-2021'!H37</f>
        <v>-3.2827059999999997</v>
      </c>
      <c r="K19" s="23"/>
      <c r="L19" s="23"/>
      <c r="M19" s="30">
        <f>-J19</f>
        <v>3.2827059999999997</v>
      </c>
      <c r="N19" s="18"/>
      <c r="O19" s="25">
        <f t="shared" si="2"/>
        <v>0</v>
      </c>
      <c r="Q19" s="269" t="s">
        <v>426</v>
      </c>
      <c r="R19" s="270"/>
      <c r="S19" s="361">
        <f>SUM(M17:M19)/SUM(M15:M19)</f>
        <v>3.6687017393546108E-2</v>
      </c>
    </row>
    <row r="20" spans="1:40" ht="20.100000000000001" customHeight="1">
      <c r="A20" s="670" t="s">
        <v>82</v>
      </c>
      <c r="B20" s="95"/>
      <c r="C20" s="18"/>
      <c r="D20" s="36"/>
      <c r="E20" s="18"/>
      <c r="F20" s="18"/>
      <c r="G20" s="18"/>
      <c r="H20" s="18"/>
      <c r="I20" s="18"/>
      <c r="J20" s="30"/>
      <c r="K20" s="23">
        <f>-K5</f>
        <v>-74.367754392501737</v>
      </c>
      <c r="L20" s="23"/>
      <c r="M20" s="36"/>
      <c r="N20" s="23">
        <f>-K20</f>
        <v>74.367754392501737</v>
      </c>
      <c r="O20" s="25">
        <f t="shared" si="2"/>
        <v>0</v>
      </c>
      <c r="AI20" s="263"/>
      <c r="AJ20" s="34"/>
    </row>
    <row r="21" spans="1:40" ht="20.100000000000001" customHeight="1">
      <c r="A21" s="671" t="s">
        <v>33</v>
      </c>
      <c r="B21" s="666">
        <f t="shared" ref="B21:O21" si="3">SUM(B15:B20)</f>
        <v>0</v>
      </c>
      <c r="C21" s="38">
        <f t="shared" si="3"/>
        <v>-27178.474136534998</v>
      </c>
      <c r="D21" s="38">
        <f t="shared" si="3"/>
        <v>-78852.36575135999</v>
      </c>
      <c r="E21" s="38">
        <f t="shared" si="3"/>
        <v>0</v>
      </c>
      <c r="F21" s="38">
        <f t="shared" si="3"/>
        <v>0</v>
      </c>
      <c r="G21" s="38">
        <f t="shared" si="3"/>
        <v>0</v>
      </c>
      <c r="H21" s="38">
        <f t="shared" si="3"/>
        <v>0</v>
      </c>
      <c r="I21" s="38">
        <f t="shared" si="3"/>
        <v>0</v>
      </c>
      <c r="J21" s="38">
        <f t="shared" si="3"/>
        <v>-1167.9738260000001</v>
      </c>
      <c r="K21" s="38">
        <f t="shared" si="3"/>
        <v>-74.367754392501737</v>
      </c>
      <c r="L21" s="38">
        <f t="shared" si="3"/>
        <v>-436.76114799999999</v>
      </c>
      <c r="M21" s="38">
        <f t="shared" si="3"/>
        <v>43741.2220455485</v>
      </c>
      <c r="N21" s="38">
        <f t="shared" si="3"/>
        <v>74.367754392501737</v>
      </c>
      <c r="O21" s="28">
        <f t="shared" si="3"/>
        <v>-63894.352816346487</v>
      </c>
      <c r="Q21" s="347" t="s">
        <v>363</v>
      </c>
      <c r="R21" s="348"/>
      <c r="S21" s="356" t="s">
        <v>53</v>
      </c>
      <c r="T21" s="286" t="s">
        <v>142</v>
      </c>
      <c r="AD21" s="59"/>
      <c r="AE21" s="11"/>
      <c r="AJ21" s="58"/>
    </row>
    <row r="22" spans="1:40" ht="20.100000000000001" customHeight="1">
      <c r="A22" s="673" t="s">
        <v>86</v>
      </c>
      <c r="B22" s="665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7"/>
      <c r="Q22" s="349" t="s">
        <v>274</v>
      </c>
      <c r="R22" s="350"/>
      <c r="S22" s="364">
        <f>SUM(B37:H37)</f>
        <v>56486.761286273504</v>
      </c>
      <c r="T22" s="351">
        <f>S22/$S$26</f>
        <v>0.58339619573017421</v>
      </c>
      <c r="AD22" s="59"/>
      <c r="AE22" s="11"/>
    </row>
    <row r="23" spans="1:40" ht="20.25" customHeight="1">
      <c r="A23" s="670" t="s">
        <v>29</v>
      </c>
      <c r="B23" s="95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3">
        <f>-'Electricity Stat-2021'!N17-'Electricity Stat-2021'!N21-'Electricity Stat-2021'!N25</f>
        <v>-1118.102856</v>
      </c>
      <c r="N23" s="18"/>
      <c r="O23" s="25">
        <f>SUM(B23:N23)</f>
        <v>-1118.102856</v>
      </c>
      <c r="Q23" s="349" t="s">
        <v>364</v>
      </c>
      <c r="R23" s="350"/>
      <c r="S23" s="364">
        <f>M37-S24</f>
        <v>38684.412523375824</v>
      </c>
      <c r="T23" s="351">
        <f>S23/$S$26</f>
        <v>0.39953324613210489</v>
      </c>
      <c r="AD23" s="59"/>
      <c r="AE23" s="11"/>
      <c r="AF23" s="45"/>
      <c r="AM23" s="11"/>
      <c r="AN23" s="1"/>
    </row>
    <row r="24" spans="1:40" ht="20.100000000000001" customHeight="1">
      <c r="A24" s="670" t="s">
        <v>30</v>
      </c>
      <c r="B24" s="9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5">
        <f>SUM(B24:N24)</f>
        <v>0</v>
      </c>
      <c r="Q24" s="349" t="s">
        <v>365</v>
      </c>
      <c r="R24" s="352"/>
      <c r="S24" s="892">
        <f>SUM(M17:M19)*(1-'Electricity Stat-2021'!D62)</f>
        <v>1520.4181421726755</v>
      </c>
      <c r="T24" s="351">
        <f>S24/$S$26</f>
        <v>1.5702903474450462E-2</v>
      </c>
      <c r="V24" s="60">
        <f>T24+T25</f>
        <v>1.7070558137720706E-2</v>
      </c>
      <c r="AD24" s="59"/>
      <c r="AE24" s="11"/>
      <c r="AM24" s="11"/>
      <c r="AN24" s="1"/>
    </row>
    <row r="25" spans="1:40" ht="20.100000000000001" customHeight="1">
      <c r="A25" s="673" t="s">
        <v>27</v>
      </c>
      <c r="B25" s="66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6"/>
      <c r="Q25" s="349" t="s">
        <v>275</v>
      </c>
      <c r="R25" s="352"/>
      <c r="S25" s="365">
        <f>N37+I37</f>
        <v>132.4218139432912</v>
      </c>
      <c r="T25" s="650">
        <f>S25/$S$26</f>
        <v>1.3676546632702437E-3</v>
      </c>
      <c r="AM25" s="11"/>
      <c r="AN25" s="1"/>
    </row>
    <row r="26" spans="1:40" ht="20.100000000000001" customHeight="1">
      <c r="A26" s="670" t="s">
        <v>28</v>
      </c>
      <c r="B26" s="9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9">
        <f>-'Electricity Stat-2021'!E61</f>
        <v>-1972.889364000001</v>
      </c>
      <c r="N26" s="18"/>
      <c r="O26" s="25">
        <f>SUM(B26:N26)</f>
        <v>-1972.889364000001</v>
      </c>
      <c r="Q26" s="353"/>
      <c r="R26" s="354"/>
      <c r="S26" s="355">
        <f>SUM(S22:S25)</f>
        <v>96824.01376576531</v>
      </c>
      <c r="T26" s="367">
        <f>SUM(T22:T25)</f>
        <v>0.99999999999999989</v>
      </c>
      <c r="AM26" s="11"/>
      <c r="AN26" s="1"/>
    </row>
    <row r="27" spans="1:40" ht="20.100000000000001" customHeight="1">
      <c r="A27" s="671" t="s">
        <v>34</v>
      </c>
      <c r="B27" s="343">
        <f t="shared" ref="B27:O27" si="4">B12+B21+B26</f>
        <v>25184.768565869301</v>
      </c>
      <c r="C27" s="38">
        <f t="shared" si="4"/>
        <v>19137.266483490857</v>
      </c>
      <c r="D27" s="38">
        <f t="shared" si="4"/>
        <v>-1430.6917475519876</v>
      </c>
      <c r="E27" s="38">
        <f t="shared" si="4"/>
        <v>1407.3852262022929</v>
      </c>
      <c r="F27" s="38">
        <f t="shared" si="4"/>
        <v>5152.8407410199998</v>
      </c>
      <c r="G27" s="38">
        <f t="shared" si="4"/>
        <v>22.949671359999989</v>
      </c>
      <c r="H27" s="31">
        <f t="shared" si="4"/>
        <v>94.988779199999996</v>
      </c>
      <c r="I27" s="31">
        <f t="shared" si="4"/>
        <v>58.054059550789468</v>
      </c>
      <c r="J27" s="31">
        <f t="shared" si="4"/>
        <v>0</v>
      </c>
      <c r="K27" s="31">
        <f t="shared" si="4"/>
        <v>0</v>
      </c>
      <c r="L27" s="31">
        <f t="shared" si="4"/>
        <v>0</v>
      </c>
      <c r="M27" s="31">
        <f t="shared" si="4"/>
        <v>41768.332681548498</v>
      </c>
      <c r="N27" s="31">
        <f t="shared" si="4"/>
        <v>74.367754392501737</v>
      </c>
      <c r="O27" s="28">
        <f t="shared" si="4"/>
        <v>91470.262215082214</v>
      </c>
      <c r="U27" s="692">
        <f>M37/O37</f>
        <v>0.41523614960655536</v>
      </c>
      <c r="AM27" s="11"/>
      <c r="AN27" s="1"/>
    </row>
    <row r="28" spans="1:40" ht="20.100000000000001" customHeight="1">
      <c r="A28" s="673" t="s">
        <v>113</v>
      </c>
      <c r="B28" s="667"/>
      <c r="C28" s="41"/>
      <c r="D28" s="41"/>
      <c r="E28" s="41"/>
      <c r="F28" s="41"/>
      <c r="G28" s="41"/>
      <c r="H28" s="32"/>
      <c r="I28" s="32"/>
      <c r="J28" s="32"/>
      <c r="K28" s="32"/>
      <c r="L28" s="32"/>
      <c r="M28" s="32"/>
      <c r="N28" s="32"/>
      <c r="O28" s="26"/>
      <c r="Q28" s="272" t="s">
        <v>279</v>
      </c>
      <c r="R28" s="273"/>
      <c r="S28" s="274"/>
      <c r="AM28" s="11"/>
      <c r="AN28" s="1"/>
    </row>
    <row r="29" spans="1:40" ht="20.100000000000001" customHeight="1">
      <c r="A29" s="674" t="s">
        <v>21</v>
      </c>
      <c r="B29" s="341"/>
      <c r="C29" s="256"/>
      <c r="D29" s="812"/>
      <c r="E29" s="256"/>
      <c r="F29" s="256">
        <f>'Petroleum Stat-2021'!M68</f>
        <v>3946.0168762900016</v>
      </c>
      <c r="G29" s="30">
        <f>'Biomass, SWH &amp; Kero'!J40</f>
        <v>3.8457364329999999</v>
      </c>
      <c r="H29" s="54"/>
      <c r="I29" s="258">
        <f>'Biomass, SWH &amp; Kero'!F40+'Biomass, SWH &amp; Kero'!H40</f>
        <v>58.054059550789468</v>
      </c>
      <c r="J29" s="257"/>
      <c r="K29" s="18"/>
      <c r="L29" s="257"/>
      <c r="M29" s="256">
        <f>'Electricity Stat-2021'!E93</f>
        <v>11932.101734000002</v>
      </c>
      <c r="N29" s="54">
        <f>'Biomass, SWH &amp; Kero'!L40</f>
        <v>74.367754392501737</v>
      </c>
      <c r="O29" s="260">
        <f t="shared" ref="O29:O35" si="5">SUM(B29:N29)</f>
        <v>16014.386160666296</v>
      </c>
      <c r="P29" s="21">
        <f>M29/O29</f>
        <v>0.74508642506117473</v>
      </c>
      <c r="Q29" s="374" t="s">
        <v>21</v>
      </c>
      <c r="R29" s="275"/>
      <c r="S29" s="362">
        <f t="shared" ref="S29:S35" si="6">O29/$O$37</f>
        <v>0.16539684255816925</v>
      </c>
      <c r="AM29" s="11"/>
      <c r="AN29" s="1"/>
    </row>
    <row r="30" spans="1:40" ht="15.75">
      <c r="A30" s="674" t="s">
        <v>97</v>
      </c>
      <c r="B30" s="341">
        <f>'Petroleum Stat-2021'!H72+'Petroleum Stat-2021'!H73</f>
        <v>455.28734865000001</v>
      </c>
      <c r="C30" s="256">
        <f>'Petroleum Stat-2021'!D94</f>
        <v>3691.7702036549886</v>
      </c>
      <c r="D30" s="812"/>
      <c r="E30" s="256"/>
      <c r="F30" s="256">
        <f>'Petroleum Stat-2021'!M69+'Petroleum Stat-2021'!M71</f>
        <v>1107.1678785640015</v>
      </c>
      <c r="G30" s="30">
        <f>'Petroleum Stat-2021'!R70</f>
        <v>5.6644000000000005</v>
      </c>
      <c r="H30" s="54"/>
      <c r="I30" s="258"/>
      <c r="J30" s="257"/>
      <c r="K30" s="257"/>
      <c r="L30" s="257"/>
      <c r="M30" s="256">
        <f>'Electricity Stat-2021'!E95</f>
        <v>22840.517989313554</v>
      </c>
      <c r="N30" s="256"/>
      <c r="O30" s="260">
        <f t="shared" si="5"/>
        <v>28100.407820182543</v>
      </c>
      <c r="Q30" s="374" t="s">
        <v>97</v>
      </c>
      <c r="R30" s="275"/>
      <c r="S30" s="362">
        <f t="shared" si="6"/>
        <v>0.29022147220794298</v>
      </c>
      <c r="AM30" s="11"/>
      <c r="AN30" s="1"/>
    </row>
    <row r="31" spans="1:40" ht="20.100000000000001" customHeight="1">
      <c r="A31" s="674" t="s">
        <v>20</v>
      </c>
      <c r="B31" s="341">
        <f>'Petroleum Stat-2021'!H74</f>
        <v>23.725645000000004</v>
      </c>
      <c r="C31" s="30">
        <f>'Petroleum Stat-2021'!D92</f>
        <v>2560.6903950000001</v>
      </c>
      <c r="D31" s="256">
        <f>'Petroleum Stat-2021'!W54</f>
        <v>4275.1847999999991</v>
      </c>
      <c r="E31" s="256"/>
      <c r="F31" s="256">
        <f>'Petroleum Stat-2021'!M70</f>
        <v>288.44316041999997</v>
      </c>
      <c r="G31" s="357">
        <f>'Petroleum Stat-2021'!R72</f>
        <v>4.2336</v>
      </c>
      <c r="H31" s="54"/>
      <c r="I31" s="257"/>
      <c r="J31" s="257"/>
      <c r="K31" s="257"/>
      <c r="L31" s="257"/>
      <c r="M31" s="256">
        <f>'Electricity Stat-2021'!E94</f>
        <v>5432.2109422349486</v>
      </c>
      <c r="N31" s="256"/>
      <c r="O31" s="260">
        <f t="shared" si="5"/>
        <v>12584.488542654948</v>
      </c>
      <c r="Q31" s="374" t="s">
        <v>20</v>
      </c>
      <c r="R31" s="275"/>
      <c r="S31" s="362">
        <f t="shared" si="6"/>
        <v>0.12997280378294468</v>
      </c>
      <c r="AM31" s="11"/>
      <c r="AN31" s="81"/>
    </row>
    <row r="32" spans="1:40" ht="20.100000000000001" customHeight="1">
      <c r="A32" s="674" t="s">
        <v>94</v>
      </c>
      <c r="B32" s="342">
        <f>'Petroleum Stat-2021'!H70</f>
        <v>21143.097433480812</v>
      </c>
      <c r="C32" s="30">
        <f>'Petroleum Stat-2021'!D90</f>
        <v>11470.350147956417</v>
      </c>
      <c r="D32" s="812"/>
      <c r="E32" s="812"/>
      <c r="F32" s="256"/>
      <c r="G32" s="256"/>
      <c r="H32" s="257"/>
      <c r="I32" s="257"/>
      <c r="J32" s="257"/>
      <c r="K32" s="257"/>
      <c r="L32" s="257"/>
      <c r="M32" s="256">
        <v>0</v>
      </c>
      <c r="N32" s="256"/>
      <c r="O32" s="260">
        <f t="shared" si="5"/>
        <v>32613.447581437227</v>
      </c>
      <c r="P32" s="68"/>
      <c r="Q32" s="374" t="s">
        <v>94</v>
      </c>
      <c r="R32" s="275"/>
      <c r="S32" s="362">
        <f t="shared" si="6"/>
        <v>0.33683222077877312</v>
      </c>
      <c r="AM32" s="10"/>
    </row>
    <row r="33" spans="1:39" ht="20.100000000000001" customHeight="1">
      <c r="A33" s="674" t="s">
        <v>138</v>
      </c>
      <c r="B33" s="810"/>
      <c r="C33" s="811"/>
      <c r="D33" s="812"/>
      <c r="E33" s="256">
        <f>'Petroleum Stat-2021'!R58</f>
        <v>1869.9154639200003</v>
      </c>
      <c r="F33" s="812"/>
      <c r="G33" s="812"/>
      <c r="H33" s="256">
        <f>'Petroleum Stat-2021'!G33</f>
        <v>93.999585600000003</v>
      </c>
      <c r="I33" s="813"/>
      <c r="J33" s="813"/>
      <c r="K33" s="813"/>
      <c r="L33" s="813"/>
      <c r="M33" s="812">
        <v>0</v>
      </c>
      <c r="N33" s="812"/>
      <c r="O33" s="260">
        <f t="shared" si="5"/>
        <v>1963.9150495200004</v>
      </c>
      <c r="P33" s="68"/>
      <c r="Q33" s="374" t="s">
        <v>138</v>
      </c>
      <c r="R33" s="275"/>
      <c r="S33" s="362">
        <f t="shared" si="6"/>
        <v>2.0283346797325134E-2</v>
      </c>
    </row>
    <row r="34" spans="1:39" ht="20.100000000000001" customHeight="1">
      <c r="A34" s="674" t="s">
        <v>116</v>
      </c>
      <c r="B34" s="341">
        <f>'Petroleum Stat-2021'!H71</f>
        <v>1046.4954170000001</v>
      </c>
      <c r="C34" s="259">
        <f>'Petroleum Stat-2021'!D91</f>
        <v>2305.9740021749999</v>
      </c>
      <c r="D34" s="812"/>
      <c r="E34" s="256"/>
      <c r="F34" s="256"/>
      <c r="G34" s="256"/>
      <c r="H34" s="257"/>
      <c r="I34" s="257"/>
      <c r="J34" s="257"/>
      <c r="K34" s="257"/>
      <c r="L34" s="257"/>
      <c r="M34" s="256">
        <v>0</v>
      </c>
      <c r="N34" s="256"/>
      <c r="O34" s="260">
        <f t="shared" si="5"/>
        <v>3352.469419175</v>
      </c>
      <c r="P34" s="68"/>
      <c r="Q34" s="374" t="s">
        <v>116</v>
      </c>
      <c r="R34" s="275"/>
      <c r="S34" s="362">
        <f t="shared" si="6"/>
        <v>3.4624359069488957E-2</v>
      </c>
      <c r="AM34" s="10"/>
    </row>
    <row r="35" spans="1:39" ht="20.100000000000001" customHeight="1">
      <c r="A35" s="674" t="s">
        <v>164</v>
      </c>
      <c r="B35" s="341"/>
      <c r="C35" s="259">
        <f>'Petroleum Stat-2021'!D93</f>
        <v>2194.899192129285</v>
      </c>
      <c r="D35" s="812"/>
      <c r="E35" s="256"/>
      <c r="F35" s="256"/>
      <c r="G35" s="256"/>
      <c r="H35" s="257"/>
      <c r="I35" s="257"/>
      <c r="J35" s="257"/>
      <c r="K35" s="257"/>
      <c r="L35" s="257"/>
      <c r="M35" s="256"/>
      <c r="N35" s="256"/>
      <c r="O35" s="260">
        <f t="shared" si="5"/>
        <v>2194.899192129285</v>
      </c>
      <c r="P35" s="68"/>
      <c r="Q35" s="374" t="s">
        <v>164</v>
      </c>
      <c r="R35" s="275"/>
      <c r="S35" s="363">
        <f t="shared" si="6"/>
        <v>2.2668954805355836E-2</v>
      </c>
    </row>
    <row r="36" spans="1:39" ht="20.100000000000001" customHeight="1">
      <c r="A36" s="672" t="s">
        <v>427</v>
      </c>
      <c r="B36" s="341"/>
      <c r="C36" s="259"/>
      <c r="D36" s="893"/>
      <c r="E36" s="256"/>
      <c r="F36" s="256"/>
      <c r="G36" s="256"/>
      <c r="H36" s="257"/>
      <c r="I36" s="257"/>
      <c r="J36" s="257"/>
      <c r="K36" s="257"/>
      <c r="L36" s="257"/>
      <c r="M36" s="256"/>
      <c r="N36" s="256"/>
      <c r="O36" s="260"/>
      <c r="P36" s="68"/>
      <c r="Q36" s="374"/>
      <c r="R36" s="275"/>
      <c r="S36" s="363"/>
    </row>
    <row r="37" spans="1:39" ht="20.100000000000001" customHeight="1">
      <c r="A37" s="675" t="s">
        <v>87</v>
      </c>
      <c r="B37" s="343">
        <f>SUM(B29:B36)</f>
        <v>22668.605844130812</v>
      </c>
      <c r="C37" s="38">
        <f t="shared" ref="C37:N37" si="7">SUM(C29:C36)</f>
        <v>22223.683940915689</v>
      </c>
      <c r="D37" s="38">
        <f t="shared" si="7"/>
        <v>4275.1847999999991</v>
      </c>
      <c r="E37" s="38">
        <f t="shared" si="7"/>
        <v>1869.9154639200003</v>
      </c>
      <c r="F37" s="38">
        <f t="shared" si="7"/>
        <v>5341.6279152740026</v>
      </c>
      <c r="G37" s="38">
        <f t="shared" si="7"/>
        <v>13.743736432999999</v>
      </c>
      <c r="H37" s="38">
        <f t="shared" si="7"/>
        <v>93.999585600000003</v>
      </c>
      <c r="I37" s="38">
        <f t="shared" si="7"/>
        <v>58.054059550789468</v>
      </c>
      <c r="J37" s="38">
        <f t="shared" si="7"/>
        <v>0</v>
      </c>
      <c r="K37" s="38">
        <f t="shared" si="7"/>
        <v>0</v>
      </c>
      <c r="L37" s="38">
        <f t="shared" si="7"/>
        <v>0</v>
      </c>
      <c r="M37" s="38">
        <f t="shared" si="7"/>
        <v>40204.830665548499</v>
      </c>
      <c r="N37" s="38">
        <f t="shared" si="7"/>
        <v>74.367754392501737</v>
      </c>
      <c r="O37" s="56">
        <f>SUM(O29:O35)</f>
        <v>96824.01376576531</v>
      </c>
      <c r="P37" s="68"/>
      <c r="Q37" s="276" t="s">
        <v>56</v>
      </c>
      <c r="R37" s="277"/>
      <c r="S37" s="278">
        <f>SUM(S29:S35)</f>
        <v>0.99999999999999989</v>
      </c>
    </row>
    <row r="38" spans="1:39" ht="20.100000000000001" customHeight="1">
      <c r="A38" s="676" t="s">
        <v>88</v>
      </c>
      <c r="B38" s="344">
        <f>B27-B37</f>
        <v>2516.1627217384885</v>
      </c>
      <c r="C38" s="42">
        <f t="shared" ref="C38:N38" si="8">C27-C37</f>
        <v>-3086.4174574248318</v>
      </c>
      <c r="D38" s="42">
        <f t="shared" si="8"/>
        <v>-5705.8765475519867</v>
      </c>
      <c r="E38" s="42">
        <f t="shared" si="8"/>
        <v>-462.53023771770745</v>
      </c>
      <c r="F38" s="42">
        <f t="shared" si="8"/>
        <v>-188.78717425400282</v>
      </c>
      <c r="G38" s="42">
        <f t="shared" si="8"/>
        <v>9.2059349269999906</v>
      </c>
      <c r="H38" s="42">
        <f t="shared" si="8"/>
        <v>0.98919359999999301</v>
      </c>
      <c r="I38" s="42">
        <f t="shared" si="8"/>
        <v>0</v>
      </c>
      <c r="J38" s="42">
        <f t="shared" si="8"/>
        <v>0</v>
      </c>
      <c r="K38" s="42">
        <f t="shared" si="8"/>
        <v>0</v>
      </c>
      <c r="L38" s="42">
        <f t="shared" si="8"/>
        <v>0</v>
      </c>
      <c r="M38" s="42">
        <f t="shared" si="8"/>
        <v>1563.5020159999985</v>
      </c>
      <c r="N38" s="42">
        <f t="shared" si="8"/>
        <v>0</v>
      </c>
      <c r="O38" s="345">
        <f>O27-O37</f>
        <v>-5353.7515506830969</v>
      </c>
      <c r="P38" s="68"/>
    </row>
    <row r="39" spans="1:39" ht="20.100000000000001" customHeight="1">
      <c r="A39" s="677" t="s">
        <v>273</v>
      </c>
      <c r="B39" s="814">
        <f>B$38/B$27</f>
        <v>9.9908113713954166E-2</v>
      </c>
      <c r="C39" s="815">
        <f t="shared" ref="C39:O39" si="9">C$38/C$27</f>
        <v>-0.16127786379979561</v>
      </c>
      <c r="D39" s="815">
        <f t="shared" si="9"/>
        <v>3.9881942125654497</v>
      </c>
      <c r="E39" s="815">
        <f t="shared" si="9"/>
        <v>-0.32864508530177289</v>
      </c>
      <c r="F39" s="339">
        <f t="shared" si="9"/>
        <v>-3.6637494489424605E-2</v>
      </c>
      <c r="G39" s="358"/>
      <c r="H39" s="358">
        <f t="shared" si="9"/>
        <v>1.0413794222128429E-2</v>
      </c>
      <c r="I39" s="339">
        <f t="shared" si="9"/>
        <v>0</v>
      </c>
      <c r="J39" s="339"/>
      <c r="K39" s="339"/>
      <c r="L39" s="339"/>
      <c r="M39" s="339">
        <f t="shared" si="9"/>
        <v>3.7432713149469055E-2</v>
      </c>
      <c r="N39" s="339">
        <f t="shared" si="9"/>
        <v>0</v>
      </c>
      <c r="O39" s="340">
        <f t="shared" si="9"/>
        <v>-5.852996833106635E-2</v>
      </c>
      <c r="P39" s="51"/>
      <c r="Q39" s="651" t="s">
        <v>367</v>
      </c>
      <c r="R39" s="652"/>
      <c r="S39" s="653">
        <f>O12/'Biomass, SWH &amp; Kero'!B42</f>
        <v>1.5653516180682707</v>
      </c>
    </row>
    <row r="40" spans="1:39" ht="20.100000000000001" customHeight="1">
      <c r="B40" s="34"/>
      <c r="C40" s="693"/>
      <c r="D40" s="34"/>
      <c r="E40" s="346"/>
      <c r="F40" s="34"/>
      <c r="G40" s="346"/>
      <c r="H40" s="346"/>
      <c r="I40" s="346"/>
      <c r="J40" s="346"/>
      <c r="K40" s="346"/>
      <c r="L40" s="346"/>
      <c r="M40" s="346"/>
      <c r="N40" s="346"/>
      <c r="O40" s="346"/>
      <c r="P40" s="51"/>
      <c r="Q40" s="654" t="s">
        <v>366</v>
      </c>
      <c r="R40" s="655" t="s">
        <v>368</v>
      </c>
      <c r="S40" s="656"/>
      <c r="U40" t="s">
        <v>389</v>
      </c>
    </row>
    <row r="41" spans="1:39" ht="20.100000000000001" customHeight="1">
      <c r="B41" s="34">
        <f>B30/$O$30</f>
        <v>1.6202161604323733E-2</v>
      </c>
      <c r="C41" s="34">
        <f t="shared" ref="C41:N41" si="10">C30/$O$30</f>
        <v>0.13137781584093061</v>
      </c>
      <c r="D41" s="34">
        <f t="shared" si="10"/>
        <v>0</v>
      </c>
      <c r="E41" s="34">
        <f t="shared" si="10"/>
        <v>0</v>
      </c>
      <c r="F41" s="34">
        <f t="shared" si="10"/>
        <v>3.9400420294569562E-2</v>
      </c>
      <c r="G41" s="34">
        <f t="shared" si="10"/>
        <v>2.0157714565023719E-4</v>
      </c>
      <c r="H41" s="34">
        <f t="shared" si="10"/>
        <v>0</v>
      </c>
      <c r="I41" s="34">
        <f t="shared" si="10"/>
        <v>0</v>
      </c>
      <c r="J41" s="34">
        <f t="shared" si="10"/>
        <v>0</v>
      </c>
      <c r="K41" s="34">
        <f t="shared" si="10"/>
        <v>0</v>
      </c>
      <c r="L41" s="34">
        <f t="shared" si="10"/>
        <v>0</v>
      </c>
      <c r="M41" s="34">
        <f t="shared" si="10"/>
        <v>0.81281802511452583</v>
      </c>
      <c r="N41" s="34">
        <f t="shared" si="10"/>
        <v>0</v>
      </c>
      <c r="O41" s="37"/>
      <c r="P41" s="51"/>
      <c r="Q41" s="657" t="s">
        <v>428</v>
      </c>
      <c r="R41" s="658"/>
      <c r="S41" s="659"/>
    </row>
    <row r="42" spans="1:39" ht="20.100000000000001" customHeight="1"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694"/>
      <c r="O42" s="346"/>
      <c r="P42" s="51"/>
      <c r="S42" s="9"/>
    </row>
    <row r="43" spans="1:39">
      <c r="A43" s="2" t="s">
        <v>280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39">
      <c r="D44" s="1"/>
      <c r="E44" s="1"/>
      <c r="F44" s="1"/>
      <c r="G44" s="1"/>
      <c r="H44" s="1"/>
      <c r="I44" s="1"/>
      <c r="J44" s="1"/>
      <c r="K44" s="1"/>
      <c r="L44" s="1"/>
      <c r="M44" s="1"/>
      <c r="P44" s="9"/>
    </row>
    <row r="45" spans="1:39" ht="18.75">
      <c r="A45" s="50" t="s">
        <v>143</v>
      </c>
      <c r="B45" s="79" t="s">
        <v>53</v>
      </c>
      <c r="C45" s="79" t="s">
        <v>142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S45" s="58"/>
    </row>
    <row r="46" spans="1:39">
      <c r="A46" s="375" t="s">
        <v>2</v>
      </c>
      <c r="B46" s="64">
        <f>D12</f>
        <v>77421.674003808002</v>
      </c>
      <c r="C46" s="66">
        <f t="shared" ref="C46:C57" si="11">$B46/$B$57</f>
        <v>0.49207386567685651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39">
      <c r="A47" s="375" t="s">
        <v>1</v>
      </c>
      <c r="B47" s="64">
        <f>C12</f>
        <v>46315.740620025856</v>
      </c>
      <c r="C47" s="66">
        <f t="shared" si="11"/>
        <v>0.29437190324070961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39">
      <c r="A48" s="375" t="s">
        <v>5</v>
      </c>
      <c r="B48" s="64">
        <f>B12</f>
        <v>25184.768565869301</v>
      </c>
      <c r="C48" s="66">
        <f t="shared" si="11"/>
        <v>0.16006843799030679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39">
      <c r="A49" s="375" t="s">
        <v>4</v>
      </c>
      <c r="B49" s="64">
        <f>F12</f>
        <v>5152.8407410199998</v>
      </c>
      <c r="C49" s="66">
        <f t="shared" si="11"/>
        <v>3.2750238163620646E-2</v>
      </c>
      <c r="F49" s="6"/>
    </row>
    <row r="50" spans="1:39" ht="15.75">
      <c r="A50" s="375" t="s">
        <v>3</v>
      </c>
      <c r="B50" s="64">
        <f>E12</f>
        <v>1407.3852262022929</v>
      </c>
      <c r="C50" s="66">
        <f t="shared" si="11"/>
        <v>8.9450079407970024E-3</v>
      </c>
      <c r="F50" s="49"/>
      <c r="AI50" s="80"/>
      <c r="AJ50" s="40"/>
      <c r="AK50" s="40"/>
      <c r="AL50" s="40"/>
      <c r="AM50" s="83"/>
    </row>
    <row r="51" spans="1:39" ht="15.75">
      <c r="A51" s="376" t="s">
        <v>90</v>
      </c>
      <c r="B51" s="64">
        <f>L12</f>
        <v>436.76114799999999</v>
      </c>
      <c r="C51" s="66">
        <f t="shared" si="11"/>
        <v>2.7759506525685666E-3</v>
      </c>
      <c r="U51" s="11"/>
      <c r="AI51" s="80"/>
      <c r="AJ51" s="40"/>
      <c r="AK51" s="40"/>
      <c r="AL51" s="40"/>
      <c r="AM51" s="84"/>
    </row>
    <row r="52" spans="1:39" ht="15.75">
      <c r="A52" s="375" t="s">
        <v>91</v>
      </c>
      <c r="B52" s="64">
        <f>J12</f>
        <v>1167.9738260000001</v>
      </c>
      <c r="C52" s="66">
        <f t="shared" si="11"/>
        <v>7.4233656526328795E-3</v>
      </c>
      <c r="AI52" s="80"/>
      <c r="AJ52" s="40"/>
      <c r="AK52" s="40"/>
      <c r="AL52" s="40"/>
      <c r="AM52" s="83"/>
    </row>
    <row r="53" spans="1:39" ht="15.75">
      <c r="A53" s="375" t="s">
        <v>92</v>
      </c>
      <c r="B53" s="11">
        <f>K12</f>
        <v>74.367754392501737</v>
      </c>
      <c r="C53" s="66">
        <f t="shared" si="11"/>
        <v>4.72663874250839E-4</v>
      </c>
      <c r="AI53" s="80"/>
      <c r="AJ53" s="40"/>
      <c r="AK53" s="40"/>
      <c r="AL53" s="40"/>
      <c r="AM53" s="39"/>
    </row>
    <row r="54" spans="1:39">
      <c r="A54" s="375" t="s">
        <v>54</v>
      </c>
      <c r="B54" s="64">
        <f>G12</f>
        <v>22.949671359999989</v>
      </c>
      <c r="C54" s="66">
        <f t="shared" si="11"/>
        <v>1.4586268829027373E-4</v>
      </c>
    </row>
    <row r="55" spans="1:39">
      <c r="A55" s="375" t="s">
        <v>6</v>
      </c>
      <c r="B55" s="64">
        <f>I12</f>
        <v>58.054059550789468</v>
      </c>
      <c r="C55" s="66">
        <f t="shared" si="11"/>
        <v>3.6897788466814006E-4</v>
      </c>
    </row>
    <row r="56" spans="1:39">
      <c r="A56" s="375" t="s">
        <v>101</v>
      </c>
      <c r="B56" s="64">
        <f>H12</f>
        <v>94.988779199999996</v>
      </c>
      <c r="C56" s="67">
        <f t="shared" si="11"/>
        <v>6.037262352990506E-4</v>
      </c>
    </row>
    <row r="57" spans="1:39">
      <c r="A57" s="377" t="s">
        <v>63</v>
      </c>
      <c r="B57" s="65">
        <f>SUM(B46:B56)</f>
        <v>157337.5043954287</v>
      </c>
      <c r="C57" s="52">
        <f t="shared" si="11"/>
        <v>1</v>
      </c>
    </row>
    <row r="58" spans="1:39">
      <c r="A58" t="s">
        <v>372</v>
      </c>
      <c r="B58" s="10">
        <f>SUM(B46:B50)+B54+B56</f>
        <v>155600.34760748543</v>
      </c>
      <c r="C58" s="1">
        <f>B58/B57</f>
        <v>0.98895904193587969</v>
      </c>
    </row>
    <row r="59" spans="1:39">
      <c r="A59" t="s">
        <v>373</v>
      </c>
      <c r="B59" s="10">
        <f>B51+B52+B53+B55</f>
        <v>1737.1567879432912</v>
      </c>
      <c r="C59" s="1">
        <f>B59/B57</f>
        <v>1.1040958064120424E-2</v>
      </c>
      <c r="J59" s="1"/>
    </row>
    <row r="62" spans="1:39">
      <c r="U62" s="11"/>
    </row>
    <row r="63" spans="1:39">
      <c r="F63" s="5"/>
      <c r="G63" s="5"/>
      <c r="U63" s="10"/>
    </row>
    <row r="64" spans="1:39">
      <c r="F64" s="5"/>
      <c r="G64" s="5"/>
      <c r="U64" s="11"/>
    </row>
    <row r="65" spans="1:21">
      <c r="F65" s="5"/>
      <c r="G65" s="5"/>
    </row>
    <row r="66" spans="1:21">
      <c r="F66" s="5"/>
      <c r="G66" s="5"/>
    </row>
    <row r="67" spans="1:21">
      <c r="C67" s="5"/>
      <c r="F67" s="5"/>
      <c r="G67" s="5"/>
      <c r="U67" s="10"/>
    </row>
    <row r="68" spans="1:21">
      <c r="C68" s="5"/>
      <c r="F68" s="5"/>
      <c r="G68" s="5"/>
      <c r="U68" s="10"/>
    </row>
    <row r="69" spans="1:21">
      <c r="U69" s="11"/>
    </row>
    <row r="75" spans="1:21">
      <c r="A75" s="2" t="s">
        <v>281</v>
      </c>
    </row>
    <row r="77" spans="1:21" ht="18.75">
      <c r="A77" s="50" t="s">
        <v>143</v>
      </c>
      <c r="B77" s="79" t="s">
        <v>53</v>
      </c>
      <c r="C77" s="79" t="s">
        <v>142</v>
      </c>
    </row>
    <row r="78" spans="1:21">
      <c r="A78" s="375" t="s">
        <v>10</v>
      </c>
      <c r="B78" s="383">
        <f>M37</f>
        <v>40204.830665548499</v>
      </c>
      <c r="C78" s="384">
        <f t="shared" ref="C78:C87" si="12">$B78/$B$88</f>
        <v>0.41523614960655542</v>
      </c>
    </row>
    <row r="79" spans="1:21">
      <c r="A79" s="375" t="s">
        <v>5</v>
      </c>
      <c r="B79" s="381">
        <f>B37</f>
        <v>22668.605844130812</v>
      </c>
      <c r="C79" s="384">
        <f t="shared" si="12"/>
        <v>0.23412173243478882</v>
      </c>
    </row>
    <row r="80" spans="1:21">
      <c r="A80" s="375" t="s">
        <v>1</v>
      </c>
      <c r="B80" s="381">
        <f>C37</f>
        <v>22223.683940915689</v>
      </c>
      <c r="C80" s="384">
        <f t="shared" si="12"/>
        <v>0.22952657173125232</v>
      </c>
    </row>
    <row r="81" spans="1:3">
      <c r="A81" s="375" t="s">
        <v>4</v>
      </c>
      <c r="B81" s="381">
        <f>F37</f>
        <v>5341.6279152740026</v>
      </c>
      <c r="C81" s="385">
        <f t="shared" si="12"/>
        <v>5.5168420596530536E-2</v>
      </c>
    </row>
    <row r="82" spans="1:3">
      <c r="A82" s="375" t="s">
        <v>2</v>
      </c>
      <c r="B82" s="381">
        <f>D37</f>
        <v>4275.1847999999991</v>
      </c>
      <c r="C82" s="384">
        <f t="shared" si="12"/>
        <v>4.4154178635296408E-2</v>
      </c>
    </row>
    <row r="83" spans="1:3">
      <c r="A83" s="375" t="s">
        <v>3</v>
      </c>
      <c r="B83" s="381">
        <f>E37</f>
        <v>1869.9154639200003</v>
      </c>
      <c r="C83" s="384">
        <f t="shared" si="12"/>
        <v>1.9312517537680911E-2</v>
      </c>
    </row>
    <row r="84" spans="1:3">
      <c r="A84" s="375" t="s">
        <v>140</v>
      </c>
      <c r="B84" s="381">
        <f>N37</f>
        <v>74.367754392501737</v>
      </c>
      <c r="C84" s="385">
        <f t="shared" si="12"/>
        <v>7.6807138539423405E-4</v>
      </c>
    </row>
    <row r="85" spans="1:3">
      <c r="A85" s="375" t="s">
        <v>54</v>
      </c>
      <c r="B85" s="381">
        <f>G37</f>
        <v>13.743736432999999</v>
      </c>
      <c r="C85" s="385">
        <f t="shared" si="12"/>
        <v>1.4194553498111088E-4</v>
      </c>
    </row>
    <row r="86" spans="1:3">
      <c r="A86" s="375" t="s">
        <v>139</v>
      </c>
      <c r="B86" s="381">
        <f>I37</f>
        <v>58.054059550789468</v>
      </c>
      <c r="C86" s="385">
        <f t="shared" si="12"/>
        <v>5.9958327787600996E-4</v>
      </c>
    </row>
    <row r="87" spans="1:3">
      <c r="A87" s="375" t="s">
        <v>101</v>
      </c>
      <c r="B87" s="381">
        <f>H37</f>
        <v>93.999585600000003</v>
      </c>
      <c r="C87" s="386">
        <f t="shared" si="12"/>
        <v>9.7082925964422321E-4</v>
      </c>
    </row>
    <row r="88" spans="1:3">
      <c r="A88" s="378" t="s">
        <v>63</v>
      </c>
      <c r="B88" s="379">
        <f>SUM(B78:B87)</f>
        <v>96824.013765765296</v>
      </c>
      <c r="C88" s="396">
        <f>SUM(C78:C87)</f>
        <v>1</v>
      </c>
    </row>
    <row r="98" spans="1:7">
      <c r="A98" s="2" t="s">
        <v>282</v>
      </c>
    </row>
    <row r="100" spans="1:7">
      <c r="A100" s="50" t="s">
        <v>141</v>
      </c>
      <c r="B100" s="50" t="s">
        <v>53</v>
      </c>
      <c r="C100" s="50" t="s">
        <v>142</v>
      </c>
      <c r="G100" s="21"/>
    </row>
    <row r="101" spans="1:7" ht="15.75">
      <c r="A101" s="390" t="s">
        <v>148</v>
      </c>
      <c r="B101" s="382">
        <f>SUM(B102:B104)</f>
        <v>37929.832050132231</v>
      </c>
      <c r="C101" s="380">
        <f t="shared" ref="C101:C108" si="13">$B101/$B$109</f>
        <v>0.39173992664558721</v>
      </c>
      <c r="G101" s="21"/>
    </row>
    <row r="102" spans="1:7" ht="15.75">
      <c r="A102" s="391" t="s">
        <v>94</v>
      </c>
      <c r="B102" s="392">
        <f>O32</f>
        <v>32613.447581437227</v>
      </c>
      <c r="C102" s="393">
        <f t="shared" si="13"/>
        <v>0.33683222077877312</v>
      </c>
      <c r="G102" s="21"/>
    </row>
    <row r="103" spans="1:7" ht="15.75">
      <c r="A103" s="391" t="s">
        <v>116</v>
      </c>
      <c r="B103" s="392">
        <f>O34</f>
        <v>3352.469419175</v>
      </c>
      <c r="C103" s="393">
        <f t="shared" si="13"/>
        <v>3.4624359069488957E-2</v>
      </c>
      <c r="G103" s="21"/>
    </row>
    <row r="104" spans="1:7" ht="15.75">
      <c r="A104" s="391" t="s">
        <v>138</v>
      </c>
      <c r="B104" s="392">
        <f>O33</f>
        <v>1963.9150495200004</v>
      </c>
      <c r="C104" s="393">
        <f t="shared" si="13"/>
        <v>2.0283346797325134E-2</v>
      </c>
      <c r="G104" s="21"/>
    </row>
    <row r="105" spans="1:7" ht="15.75">
      <c r="A105" s="390" t="s">
        <v>98</v>
      </c>
      <c r="B105" s="382">
        <f>O30</f>
        <v>28100.407820182543</v>
      </c>
      <c r="C105" s="380">
        <f t="shared" si="13"/>
        <v>0.29022147220794298</v>
      </c>
      <c r="G105" s="21"/>
    </row>
    <row r="106" spans="1:7" ht="15.75">
      <c r="A106" s="390" t="s">
        <v>149</v>
      </c>
      <c r="B106" s="382">
        <f>O29</f>
        <v>16014.386160666296</v>
      </c>
      <c r="C106" s="380">
        <f t="shared" si="13"/>
        <v>0.16539684255816925</v>
      </c>
      <c r="G106" s="21"/>
    </row>
    <row r="107" spans="1:7" ht="15.75">
      <c r="A107" s="390" t="s">
        <v>150</v>
      </c>
      <c r="B107" s="382">
        <f>O31</f>
        <v>12584.488542654948</v>
      </c>
      <c r="C107" s="380">
        <f t="shared" si="13"/>
        <v>0.12997280378294468</v>
      </c>
    </row>
    <row r="108" spans="1:7" ht="15.75">
      <c r="A108" s="390" t="s">
        <v>164</v>
      </c>
      <c r="B108" s="382">
        <f>O35</f>
        <v>2194.899192129285</v>
      </c>
      <c r="C108" s="380">
        <f t="shared" si="13"/>
        <v>2.2668954805355836E-2</v>
      </c>
    </row>
    <row r="109" spans="1:7" ht="15.75">
      <c r="A109" s="394" t="s">
        <v>63</v>
      </c>
      <c r="B109" s="382">
        <f>SUM(B102:B108)</f>
        <v>96824.01376576531</v>
      </c>
      <c r="C109" s="395">
        <f>SUM(C102:C108)</f>
        <v>1</v>
      </c>
    </row>
  </sheetData>
  <mergeCells count="3">
    <mergeCell ref="B2:H2"/>
    <mergeCell ref="J2:K2"/>
    <mergeCell ref="O2:O3"/>
  </mergeCells>
  <pageMargins left="0.33" right="0.25" top="0.3" bottom="0.74" header="0.16" footer="0.21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35"/>
  <sheetViews>
    <sheetView topLeftCell="H37" zoomScale="90" zoomScaleNormal="90" workbookViewId="0">
      <selection activeCell="A44" sqref="A44:XFD44"/>
    </sheetView>
  </sheetViews>
  <sheetFormatPr defaultRowHeight="15"/>
  <cols>
    <col min="1" max="1" width="26.85546875" customWidth="1"/>
    <col min="2" max="2" width="10.5703125" bestFit="1" customWidth="1"/>
    <col min="3" max="3" width="10.85546875" customWidth="1"/>
    <col min="4" max="4" width="12.42578125" bestFit="1" customWidth="1"/>
    <col min="5" max="5" width="13.28515625" customWidth="1"/>
    <col min="6" max="6" width="10.85546875" customWidth="1"/>
    <col min="7" max="8" width="9.7109375" customWidth="1"/>
    <col min="9" max="9" width="15" customWidth="1"/>
    <col min="10" max="10" width="10.7109375" customWidth="1"/>
    <col min="11" max="11" width="10.5703125" bestFit="1" customWidth="1"/>
    <col min="12" max="12" width="9.28515625" customWidth="1"/>
    <col min="13" max="13" width="15.7109375" bestFit="1" customWidth="1"/>
    <col min="14" max="14" width="9.5703125" customWidth="1"/>
    <col min="15" max="15" width="11.85546875" customWidth="1"/>
    <col min="16" max="16" width="13.42578125" customWidth="1"/>
    <col min="17" max="17" width="11.85546875" bestFit="1" customWidth="1"/>
    <col min="18" max="18" width="9.28515625" customWidth="1"/>
    <col min="19" max="19" width="10.85546875" bestFit="1" customWidth="1"/>
    <col min="20" max="20" width="10.5703125" bestFit="1" customWidth="1"/>
    <col min="21" max="21" width="13" customWidth="1"/>
    <col min="22" max="22" width="10.85546875" bestFit="1" customWidth="1"/>
    <col min="23" max="23" width="10.7109375" bestFit="1" customWidth="1"/>
    <col min="24" max="24" width="11.5703125" customWidth="1"/>
    <col min="25" max="25" width="10.5703125" customWidth="1"/>
    <col min="26" max="26" width="10.42578125" customWidth="1"/>
    <col min="28" max="28" width="10.42578125" customWidth="1"/>
    <col min="29" max="29" width="11.42578125" customWidth="1"/>
  </cols>
  <sheetData>
    <row r="1" spans="1:24" ht="21">
      <c r="D1" s="8" t="s">
        <v>403</v>
      </c>
      <c r="L1" s="5"/>
      <c r="M1" s="5"/>
      <c r="N1" s="5"/>
      <c r="O1" s="5"/>
      <c r="P1" s="5"/>
      <c r="X1" s="141"/>
    </row>
    <row r="2" spans="1:24">
      <c r="L2" s="5"/>
      <c r="M2" s="5"/>
      <c r="N2" s="5"/>
      <c r="O2" s="5"/>
      <c r="P2" s="5"/>
    </row>
    <row r="3" spans="1:24" ht="15.75">
      <c r="A3" s="7" t="s">
        <v>404</v>
      </c>
      <c r="F3" s="140" t="s">
        <v>52</v>
      </c>
      <c r="L3" s="5"/>
      <c r="M3" s="5"/>
      <c r="N3" s="5"/>
      <c r="O3" s="5"/>
      <c r="P3" s="5"/>
    </row>
    <row r="4" spans="1:24">
      <c r="D4" s="11"/>
      <c r="E4" s="11"/>
      <c r="F4" s="11"/>
      <c r="G4" s="11"/>
      <c r="H4" s="11"/>
      <c r="I4" s="11"/>
      <c r="J4" s="11"/>
      <c r="L4" s="5"/>
      <c r="M4" s="5"/>
      <c r="N4" s="5"/>
      <c r="O4" s="5"/>
      <c r="P4" s="5"/>
    </row>
    <row r="5" spans="1:24">
      <c r="A5" s="91"/>
      <c r="B5" s="92"/>
      <c r="C5" s="105" t="s">
        <v>35</v>
      </c>
      <c r="D5" s="93" t="s">
        <v>36</v>
      </c>
      <c r="E5" s="105" t="s">
        <v>37</v>
      </c>
      <c r="F5" s="93" t="s">
        <v>38</v>
      </c>
      <c r="G5" s="105" t="s">
        <v>39</v>
      </c>
      <c r="H5" s="93" t="s">
        <v>4</v>
      </c>
      <c r="I5" s="16" t="s">
        <v>41</v>
      </c>
      <c r="J5" s="94" t="s">
        <v>40</v>
      </c>
      <c r="L5" s="879" t="s">
        <v>413</v>
      </c>
      <c r="M5" s="880" t="s">
        <v>37</v>
      </c>
      <c r="N5" s="880" t="s">
        <v>38</v>
      </c>
      <c r="O5" s="880" t="s">
        <v>39</v>
      </c>
      <c r="P5" s="880" t="s">
        <v>4</v>
      </c>
      <c r="Q5" s="881" t="s">
        <v>414</v>
      </c>
      <c r="R5" s="882" t="s">
        <v>40</v>
      </c>
    </row>
    <row r="6" spans="1:24">
      <c r="A6" s="113" t="s">
        <v>160</v>
      </c>
      <c r="B6" s="98"/>
      <c r="C6" s="119"/>
      <c r="D6" s="832">
        <v>210491.240307</v>
      </c>
      <c r="E6" s="833">
        <v>23539.348336000003</v>
      </c>
      <c r="F6" s="832">
        <v>87978.594784999994</v>
      </c>
      <c r="G6" s="833">
        <v>103.67999999999999</v>
      </c>
      <c r="H6" s="832">
        <v>4913.8119999999999</v>
      </c>
      <c r="I6" s="834">
        <v>23334.141686999999</v>
      </c>
      <c r="J6" s="835">
        <v>0</v>
      </c>
      <c r="L6" s="664"/>
      <c r="M6" s="54"/>
      <c r="N6" s="54"/>
      <c r="O6" s="54"/>
      <c r="P6" s="54"/>
      <c r="Q6" s="54"/>
      <c r="R6" s="883"/>
      <c r="S6" s="5"/>
    </row>
    <row r="7" spans="1:24">
      <c r="A7" s="95" t="s">
        <v>390</v>
      </c>
      <c r="B7" s="18"/>
      <c r="C7" s="121"/>
      <c r="D7" s="836">
        <v>10585.546877647803</v>
      </c>
      <c r="E7" s="837">
        <v>3430.5795544327866</v>
      </c>
      <c r="F7" s="836">
        <v>8453.9761399999988</v>
      </c>
      <c r="G7" s="837">
        <v>6.1624799999999995</v>
      </c>
      <c r="H7" s="836">
        <v>1557.2180000000001</v>
      </c>
      <c r="I7" s="837">
        <v>1509.6322210000003</v>
      </c>
      <c r="J7" s="838">
        <v>67.647440000000003</v>
      </c>
      <c r="L7" s="342">
        <v>210491.240307</v>
      </c>
      <c r="M7" s="33">
        <v>23539.348336000003</v>
      </c>
      <c r="N7" s="33">
        <v>87978.594784999994</v>
      </c>
      <c r="O7" s="33">
        <v>103.67999999999999</v>
      </c>
      <c r="P7" s="33">
        <v>4913.8119999999999</v>
      </c>
      <c r="Q7" s="33">
        <v>23334.141686999999</v>
      </c>
      <c r="R7" s="862">
        <v>0</v>
      </c>
      <c r="S7" s="5"/>
    </row>
    <row r="8" spans="1:24">
      <c r="A8" s="97" t="s">
        <v>391</v>
      </c>
      <c r="B8" s="98"/>
      <c r="C8" s="119"/>
      <c r="D8" s="832">
        <v>12871.78676834999</v>
      </c>
      <c r="E8" s="833">
        <v>2141.9028960000001</v>
      </c>
      <c r="F8" s="832">
        <v>9892.8620256999984</v>
      </c>
      <c r="G8" s="834">
        <v>21.530159999999999</v>
      </c>
      <c r="H8" s="832">
        <v>1847.0565000000001</v>
      </c>
      <c r="I8" s="834">
        <v>2374.2815940300002</v>
      </c>
      <c r="J8" s="835">
        <v>100.02899200000002</v>
      </c>
      <c r="L8" s="342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862">
        <v>0</v>
      </c>
      <c r="S8" s="5"/>
    </row>
    <row r="9" spans="1:24">
      <c r="A9" s="95" t="s">
        <v>43</v>
      </c>
      <c r="B9" s="18"/>
      <c r="C9" s="122"/>
      <c r="D9" s="123">
        <f t="shared" ref="D9:J9" si="0">D7-D8</f>
        <v>-2286.239890702187</v>
      </c>
      <c r="E9" s="122">
        <f t="shared" si="0"/>
        <v>1288.6766584327866</v>
      </c>
      <c r="F9" s="123">
        <f t="shared" si="0"/>
        <v>-1438.8858856999996</v>
      </c>
      <c r="G9" s="122">
        <f t="shared" si="0"/>
        <v>-15.36768</v>
      </c>
      <c r="H9" s="123">
        <f t="shared" si="0"/>
        <v>-289.83850000000007</v>
      </c>
      <c r="I9" s="122">
        <f t="shared" si="0"/>
        <v>-864.64937302999988</v>
      </c>
      <c r="J9" s="124">
        <f t="shared" si="0"/>
        <v>-32.381552000000013</v>
      </c>
      <c r="L9" s="342">
        <v>10585.546877647803</v>
      </c>
      <c r="M9" s="33">
        <v>3430.5795544327866</v>
      </c>
      <c r="N9" s="33">
        <v>8453.9761399999988</v>
      </c>
      <c r="O9" s="33">
        <v>6.1624799999999995</v>
      </c>
      <c r="P9" s="33">
        <v>1557.2180000000001</v>
      </c>
      <c r="Q9" s="33">
        <v>1509.6322210000003</v>
      </c>
      <c r="R9" s="862">
        <v>67.647440000000003</v>
      </c>
      <c r="S9" s="5"/>
    </row>
    <row r="10" spans="1:24">
      <c r="A10" s="97" t="s">
        <v>44</v>
      </c>
      <c r="B10" s="98"/>
      <c r="C10" s="120"/>
      <c r="D10" s="832">
        <v>-396.86961386219167</v>
      </c>
      <c r="E10" s="834">
        <v>-338.54902816000003</v>
      </c>
      <c r="F10" s="832">
        <v>-649.07632999999998</v>
      </c>
      <c r="G10" s="834">
        <v>0.46223999999999998</v>
      </c>
      <c r="H10" s="832">
        <v>-63.937445999999817</v>
      </c>
      <c r="I10" s="834">
        <v>1067.6745700200001</v>
      </c>
      <c r="J10" s="835">
        <v>0</v>
      </c>
      <c r="L10" s="342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862">
        <v>0</v>
      </c>
      <c r="S10" s="5"/>
    </row>
    <row r="11" spans="1:24">
      <c r="A11" s="95" t="s">
        <v>45</v>
      </c>
      <c r="B11" s="18"/>
      <c r="C11" s="121"/>
      <c r="D11" s="123">
        <v>0</v>
      </c>
      <c r="E11" s="121">
        <v>0</v>
      </c>
      <c r="F11" s="123">
        <v>0</v>
      </c>
      <c r="G11" s="121">
        <v>0</v>
      </c>
      <c r="H11" s="123">
        <v>0</v>
      </c>
      <c r="I11" s="122">
        <v>0</v>
      </c>
      <c r="J11" s="114">
        <v>54.342960000000005</v>
      </c>
      <c r="L11" s="342">
        <v>12871.78676834999</v>
      </c>
      <c r="M11" s="33">
        <v>2141.9028960000001</v>
      </c>
      <c r="N11" s="33">
        <v>9892.8620256999984</v>
      </c>
      <c r="O11" s="33">
        <v>21.530159999999999</v>
      </c>
      <c r="P11" s="33">
        <v>1847.0565000000001</v>
      </c>
      <c r="Q11" s="33">
        <v>2374.2815940300002</v>
      </c>
      <c r="R11" s="862">
        <v>100.02899200000002</v>
      </c>
      <c r="S11" s="5"/>
    </row>
    <row r="12" spans="1:24">
      <c r="A12" s="97" t="s">
        <v>46</v>
      </c>
      <c r="B12" s="98"/>
      <c r="C12" s="115"/>
      <c r="D12" s="839">
        <f t="shared" ref="D12:J12" si="1">D6+D9+D10+D11</f>
        <v>207808.13080243563</v>
      </c>
      <c r="E12" s="840">
        <f t="shared" si="1"/>
        <v>24489.475966272788</v>
      </c>
      <c r="F12" s="839">
        <f t="shared" si="1"/>
        <v>85890.632569299996</v>
      </c>
      <c r="G12" s="840">
        <f t="shared" si="1"/>
        <v>88.774559999999994</v>
      </c>
      <c r="H12" s="839">
        <f t="shared" si="1"/>
        <v>4560.0360540000001</v>
      </c>
      <c r="I12" s="840">
        <f t="shared" si="1"/>
        <v>23537.166883990001</v>
      </c>
      <c r="J12" s="841">
        <f t="shared" si="1"/>
        <v>21.961407999999992</v>
      </c>
      <c r="L12" s="342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862">
        <v>0</v>
      </c>
      <c r="S12" s="5"/>
    </row>
    <row r="13" spans="1:24">
      <c r="A13" s="95"/>
      <c r="B13" s="18"/>
      <c r="C13" s="116"/>
      <c r="D13" s="117"/>
      <c r="E13" s="116"/>
      <c r="F13" s="117"/>
      <c r="G13" s="116"/>
      <c r="H13" s="117"/>
      <c r="I13" s="116"/>
      <c r="J13" s="118"/>
      <c r="L13" s="342">
        <v>-2286.2398907021879</v>
      </c>
      <c r="M13" s="33">
        <v>1288.676658432787</v>
      </c>
      <c r="N13" s="33">
        <v>-1438.8858856999984</v>
      </c>
      <c r="O13" s="33">
        <v>-15.367679999999998</v>
      </c>
      <c r="P13" s="33">
        <v>-289.83850000000001</v>
      </c>
      <c r="Q13" s="33">
        <v>-864.64937302999977</v>
      </c>
      <c r="R13" s="862">
        <v>-32.381552000000006</v>
      </c>
      <c r="S13" s="5"/>
    </row>
    <row r="14" spans="1:24" ht="15" customHeight="1">
      <c r="A14" s="125" t="s">
        <v>47</v>
      </c>
      <c r="B14" s="126"/>
      <c r="C14" s="112"/>
      <c r="D14" s="842">
        <v>44898.538890390002</v>
      </c>
      <c r="E14" s="843">
        <v>1755.9036320000002</v>
      </c>
      <c r="F14" s="842">
        <v>81779.31749999999</v>
      </c>
      <c r="G14" s="843">
        <v>87.850079999999991</v>
      </c>
      <c r="H14" s="842">
        <v>4689.4486500000003</v>
      </c>
      <c r="I14" s="843">
        <v>21189.974654910002</v>
      </c>
      <c r="J14" s="844">
        <v>38.235680000000002</v>
      </c>
      <c r="K14" s="9"/>
      <c r="L14" s="342">
        <v>-396.86961386219167</v>
      </c>
      <c r="M14" s="33">
        <v>-338.54902816000003</v>
      </c>
      <c r="N14" s="853">
        <v>-649.07632999999998</v>
      </c>
      <c r="O14" s="33">
        <v>0.46223999999999998</v>
      </c>
      <c r="P14" s="33">
        <v>-63.937445999999817</v>
      </c>
      <c r="Q14" s="33">
        <v>1067.6745700200001</v>
      </c>
      <c r="R14" s="862">
        <v>0</v>
      </c>
      <c r="S14" s="5"/>
    </row>
    <row r="15" spans="1:24" ht="15" customHeight="1">
      <c r="A15" s="95"/>
      <c r="B15" s="18"/>
      <c r="C15" s="108"/>
      <c r="D15" s="99">
        <v>0</v>
      </c>
      <c r="E15" s="108">
        <v>0</v>
      </c>
      <c r="F15" s="99">
        <v>0</v>
      </c>
      <c r="G15" s="108">
        <v>0</v>
      </c>
      <c r="H15" s="99">
        <v>0</v>
      </c>
      <c r="I15" s="108">
        <v>0</v>
      </c>
      <c r="J15" s="100">
        <v>0</v>
      </c>
      <c r="K15" s="87"/>
      <c r="L15" s="342">
        <v>0</v>
      </c>
      <c r="M15" s="33"/>
      <c r="N15" s="853"/>
      <c r="O15" s="33"/>
      <c r="P15" s="33"/>
      <c r="Q15" s="33"/>
      <c r="R15" s="862">
        <v>54.342960000000005</v>
      </c>
      <c r="S15" s="5"/>
    </row>
    <row r="16" spans="1:24" ht="15" customHeight="1">
      <c r="A16" s="97" t="s">
        <v>48</v>
      </c>
      <c r="B16" s="98"/>
      <c r="C16" s="107"/>
      <c r="D16" s="845">
        <v>163058.62295700001</v>
      </c>
      <c r="E16" s="846">
        <v>23167.987490965472</v>
      </c>
      <c r="F16" s="845">
        <v>5243.0554819999998</v>
      </c>
      <c r="G16" s="112">
        <v>0</v>
      </c>
      <c r="H16" s="88">
        <v>0</v>
      </c>
      <c r="I16" s="112">
        <v>0</v>
      </c>
      <c r="J16" s="89">
        <v>0</v>
      </c>
      <c r="L16" s="95"/>
      <c r="M16" s="18"/>
      <c r="N16" s="18"/>
      <c r="O16" s="54"/>
      <c r="P16" s="54"/>
      <c r="Q16" s="54"/>
      <c r="R16" s="883"/>
      <c r="S16" s="5"/>
    </row>
    <row r="17" spans="1:23" ht="15" customHeight="1">
      <c r="A17" s="95"/>
      <c r="B17" s="18"/>
      <c r="C17" s="109"/>
      <c r="D17" s="102"/>
      <c r="E17" s="111"/>
      <c r="F17" s="102"/>
      <c r="G17" s="109"/>
      <c r="H17" s="101">
        <v>0</v>
      </c>
      <c r="I17" s="109">
        <v>0</v>
      </c>
      <c r="J17" s="103">
        <v>0</v>
      </c>
      <c r="K17" s="87"/>
      <c r="L17" s="342">
        <v>207808.13080243563</v>
      </c>
      <c r="M17" s="33">
        <v>24489.475966272788</v>
      </c>
      <c r="N17" s="33">
        <v>85890.632569299996</v>
      </c>
      <c r="O17" s="33">
        <v>88.774559999999994</v>
      </c>
      <c r="P17" s="33">
        <v>4560.0360540000001</v>
      </c>
      <c r="Q17" s="33">
        <v>23537.166883990001</v>
      </c>
      <c r="R17" s="862">
        <v>21.961407999999999</v>
      </c>
      <c r="S17" s="5"/>
    </row>
    <row r="18" spans="1:23" ht="15" customHeight="1">
      <c r="A18" s="129" t="s">
        <v>49</v>
      </c>
      <c r="B18" s="104"/>
      <c r="C18" s="110"/>
      <c r="D18" s="847">
        <f t="shared" ref="D18:J18" si="2">D14+D16</f>
        <v>207957.16184739</v>
      </c>
      <c r="E18" s="848">
        <f t="shared" si="2"/>
        <v>24923.891122965473</v>
      </c>
      <c r="F18" s="847">
        <f t="shared" si="2"/>
        <v>87022.372981999986</v>
      </c>
      <c r="G18" s="848">
        <f t="shared" si="2"/>
        <v>87.850079999999991</v>
      </c>
      <c r="H18" s="847">
        <f t="shared" si="2"/>
        <v>4689.4486500000003</v>
      </c>
      <c r="I18" s="848">
        <f t="shared" si="2"/>
        <v>21189.974654910002</v>
      </c>
      <c r="J18" s="849">
        <f t="shared" si="2"/>
        <v>38.235680000000002</v>
      </c>
      <c r="L18" s="342"/>
      <c r="M18" s="33"/>
      <c r="N18" s="33"/>
      <c r="O18" s="33"/>
      <c r="P18" s="33"/>
      <c r="Q18" s="33"/>
      <c r="R18" s="862"/>
      <c r="S18" s="5"/>
    </row>
    <row r="19" spans="1:23">
      <c r="A19" s="22"/>
      <c r="D19" s="5"/>
      <c r="E19" s="5"/>
      <c r="L19" s="342">
        <v>44898.538890390002</v>
      </c>
      <c r="M19" s="33">
        <v>1755.9036320000002</v>
      </c>
      <c r="N19" s="33">
        <v>81779.31749999999</v>
      </c>
      <c r="O19" s="33">
        <v>87.850079999999991</v>
      </c>
      <c r="P19" s="33">
        <v>4689.4486500000003</v>
      </c>
      <c r="Q19" s="33">
        <v>21189.974654910002</v>
      </c>
      <c r="R19" s="862">
        <v>38.235680000000002</v>
      </c>
    </row>
    <row r="20" spans="1:23">
      <c r="I20" s="5"/>
      <c r="L20" s="342">
        <v>0</v>
      </c>
      <c r="M20" s="33">
        <v>0</v>
      </c>
      <c r="N20" s="33">
        <v>0</v>
      </c>
      <c r="O20" s="33"/>
      <c r="P20" s="33"/>
      <c r="Q20" s="33"/>
      <c r="R20" s="862"/>
    </row>
    <row r="21" spans="1:23">
      <c r="A21" s="131" t="s">
        <v>51</v>
      </c>
      <c r="B21" s="130"/>
      <c r="C21" s="168">
        <v>1.07</v>
      </c>
      <c r="D21" s="168">
        <v>1.0349999999999999</v>
      </c>
      <c r="E21" s="168">
        <v>1.0649999999999999</v>
      </c>
      <c r="F21" s="168">
        <v>0.96</v>
      </c>
      <c r="G21" s="168">
        <v>1.07</v>
      </c>
      <c r="H21" s="168">
        <v>1.1299999999999999</v>
      </c>
      <c r="I21" s="168">
        <v>1.07</v>
      </c>
      <c r="J21" s="168">
        <v>1.0449999999999999</v>
      </c>
      <c r="L21" s="342">
        <v>163058.62295700001</v>
      </c>
      <c r="M21" s="33">
        <v>23167.987490965472</v>
      </c>
      <c r="N21" s="33">
        <v>5243.0554819999998</v>
      </c>
      <c r="O21" s="33"/>
      <c r="P21" s="33"/>
      <c r="Q21" s="33"/>
      <c r="R21" s="862"/>
    </row>
    <row r="22" spans="1:23">
      <c r="L22" s="342"/>
      <c r="M22" s="33"/>
      <c r="N22" s="33"/>
      <c r="O22" s="33"/>
      <c r="P22" s="33"/>
      <c r="Q22" s="33"/>
      <c r="R22" s="862"/>
    </row>
    <row r="23" spans="1:23" ht="15.75">
      <c r="D23" s="21"/>
      <c r="E23" s="21"/>
      <c r="F23" s="140" t="s">
        <v>53</v>
      </c>
      <c r="G23" s="21"/>
      <c r="H23" s="21"/>
      <c r="I23" s="21"/>
      <c r="L23" s="884">
        <v>207957.16184739</v>
      </c>
      <c r="M23" s="878">
        <v>24923.891122965473</v>
      </c>
      <c r="N23" s="878">
        <v>87022.372981999986</v>
      </c>
      <c r="O23" s="878">
        <v>87.850079999999991</v>
      </c>
      <c r="P23" s="878">
        <v>4689.4486500000003</v>
      </c>
      <c r="Q23" s="878">
        <v>21189.974654910002</v>
      </c>
      <c r="R23" s="885">
        <v>38.235680000000002</v>
      </c>
      <c r="W23" s="9"/>
    </row>
    <row r="24" spans="1:23">
      <c r="A24" s="91"/>
      <c r="B24" s="92"/>
      <c r="C24" s="105" t="s">
        <v>35</v>
      </c>
      <c r="D24" s="93" t="s">
        <v>36</v>
      </c>
      <c r="E24" s="105" t="s">
        <v>37</v>
      </c>
      <c r="F24" s="93" t="s">
        <v>38</v>
      </c>
      <c r="G24" s="105" t="s">
        <v>39</v>
      </c>
      <c r="H24" s="93" t="s">
        <v>4</v>
      </c>
      <c r="I24" s="16" t="s">
        <v>41</v>
      </c>
      <c r="J24" s="94" t="s">
        <v>40</v>
      </c>
    </row>
    <row r="25" spans="1:23">
      <c r="A25" s="13" t="s">
        <v>42</v>
      </c>
      <c r="B25" s="14"/>
      <c r="C25" s="132">
        <f t="shared" ref="C25:J30" si="3">C6*C$21</f>
        <v>0</v>
      </c>
      <c r="D25" s="850">
        <f t="shared" si="3"/>
        <v>217858.43371774498</v>
      </c>
      <c r="E25" s="851">
        <f t="shared" si="3"/>
        <v>25069.405977840001</v>
      </c>
      <c r="F25" s="850">
        <f t="shared" si="3"/>
        <v>84459.450993599996</v>
      </c>
      <c r="G25" s="851">
        <f t="shared" si="3"/>
        <v>110.9376</v>
      </c>
      <c r="H25" s="850">
        <f t="shared" si="3"/>
        <v>5552.6075599999995</v>
      </c>
      <c r="I25" s="851">
        <f t="shared" si="3"/>
        <v>24967.53160509</v>
      </c>
      <c r="J25" s="852">
        <f t="shared" si="3"/>
        <v>0</v>
      </c>
    </row>
    <row r="26" spans="1:23">
      <c r="A26" s="95" t="s">
        <v>390</v>
      </c>
      <c r="B26" s="18"/>
      <c r="C26" s="128">
        <f t="shared" si="3"/>
        <v>0</v>
      </c>
      <c r="D26" s="853">
        <f t="shared" si="3"/>
        <v>10956.041018365475</v>
      </c>
      <c r="E26" s="854">
        <f t="shared" si="3"/>
        <v>3653.5672254709175</v>
      </c>
      <c r="F26" s="853">
        <f t="shared" si="3"/>
        <v>8115.8170943999985</v>
      </c>
      <c r="G26" s="854">
        <f t="shared" si="3"/>
        <v>6.5938536000000001</v>
      </c>
      <c r="H26" s="853">
        <f t="shared" si="3"/>
        <v>1759.65634</v>
      </c>
      <c r="I26" s="854">
        <f t="shared" si="3"/>
        <v>1615.3064764700005</v>
      </c>
      <c r="J26" s="855">
        <f t="shared" si="3"/>
        <v>70.691574799999998</v>
      </c>
    </row>
    <row r="27" spans="1:23">
      <c r="A27" s="13" t="s">
        <v>391</v>
      </c>
      <c r="B27" s="14"/>
      <c r="C27" s="132">
        <f t="shared" si="3"/>
        <v>0</v>
      </c>
      <c r="D27" s="850">
        <f t="shared" si="3"/>
        <v>13322.299305242239</v>
      </c>
      <c r="E27" s="851">
        <f t="shared" si="3"/>
        <v>2281.1265842399998</v>
      </c>
      <c r="F27" s="850">
        <f t="shared" si="3"/>
        <v>9497.1475446719978</v>
      </c>
      <c r="G27" s="851">
        <f t="shared" si="3"/>
        <v>23.037271199999999</v>
      </c>
      <c r="H27" s="850">
        <f t="shared" si="3"/>
        <v>2087.1738449999998</v>
      </c>
      <c r="I27" s="851">
        <f t="shared" si="3"/>
        <v>2540.4813056121002</v>
      </c>
      <c r="J27" s="852">
        <f t="shared" si="3"/>
        <v>104.53029664000002</v>
      </c>
      <c r="L27" s="72" t="s">
        <v>227</v>
      </c>
    </row>
    <row r="28" spans="1:23">
      <c r="A28" s="95" t="s">
        <v>43</v>
      </c>
      <c r="B28" s="18"/>
      <c r="C28" s="128">
        <f t="shared" si="3"/>
        <v>0</v>
      </c>
      <c r="D28" s="853">
        <f t="shared" si="3"/>
        <v>-2366.2582868767636</v>
      </c>
      <c r="E28" s="854">
        <f t="shared" si="3"/>
        <v>1372.4406412309177</v>
      </c>
      <c r="F28" s="853">
        <f t="shared" si="3"/>
        <v>-1381.3304502719996</v>
      </c>
      <c r="G28" s="854">
        <f t="shared" si="3"/>
        <v>-16.4434176</v>
      </c>
      <c r="H28" s="853">
        <f t="shared" si="3"/>
        <v>-327.51750500000003</v>
      </c>
      <c r="I28" s="854">
        <f t="shared" si="3"/>
        <v>-925.17482914209995</v>
      </c>
      <c r="J28" s="855">
        <f t="shared" si="3"/>
        <v>-33.838721840000012</v>
      </c>
    </row>
    <row r="29" spans="1:23">
      <c r="A29" s="13" t="s">
        <v>44</v>
      </c>
      <c r="B29" s="14"/>
      <c r="C29" s="132">
        <f t="shared" si="3"/>
        <v>0</v>
      </c>
      <c r="D29" s="850">
        <f t="shared" si="3"/>
        <v>-410.76005034736835</v>
      </c>
      <c r="E29" s="851">
        <f t="shared" si="3"/>
        <v>-360.55471499040004</v>
      </c>
      <c r="F29" s="850">
        <f t="shared" si="3"/>
        <v>-623.11327679999999</v>
      </c>
      <c r="G29" s="851">
        <f t="shared" si="3"/>
        <v>0.4945968</v>
      </c>
      <c r="H29" s="850">
        <f t="shared" si="3"/>
        <v>-72.249313979999783</v>
      </c>
      <c r="I29" s="851">
        <f t="shared" si="3"/>
        <v>1142.4117899214002</v>
      </c>
      <c r="J29" s="852">
        <f t="shared" si="3"/>
        <v>0</v>
      </c>
    </row>
    <row r="30" spans="1:23">
      <c r="A30" s="95" t="s">
        <v>45</v>
      </c>
      <c r="B30" s="18"/>
      <c r="C30" s="128">
        <f t="shared" si="3"/>
        <v>0</v>
      </c>
      <c r="D30" s="853">
        <f t="shared" si="3"/>
        <v>0</v>
      </c>
      <c r="E30" s="854">
        <f t="shared" si="3"/>
        <v>0</v>
      </c>
      <c r="F30" s="853">
        <f t="shared" si="3"/>
        <v>0</v>
      </c>
      <c r="G30" s="854">
        <f t="shared" si="3"/>
        <v>0</v>
      </c>
      <c r="H30" s="853">
        <f t="shared" si="3"/>
        <v>0</v>
      </c>
      <c r="I30" s="854">
        <f t="shared" si="3"/>
        <v>0</v>
      </c>
      <c r="J30" s="855">
        <f t="shared" si="3"/>
        <v>56.788393200000002</v>
      </c>
    </row>
    <row r="31" spans="1:23">
      <c r="A31" s="13" t="s">
        <v>46</v>
      </c>
      <c r="B31" s="14"/>
      <c r="C31" s="132">
        <f t="shared" ref="C31:J31" si="4">C25+C28+C29+C30</f>
        <v>0</v>
      </c>
      <c r="D31" s="850">
        <f t="shared" si="4"/>
        <v>215081.41538052086</v>
      </c>
      <c r="E31" s="851">
        <f t="shared" si="4"/>
        <v>26081.291904080517</v>
      </c>
      <c r="F31" s="850">
        <f t="shared" si="4"/>
        <v>82455.007266528002</v>
      </c>
      <c r="G31" s="851">
        <f t="shared" si="4"/>
        <v>94.988779199999996</v>
      </c>
      <c r="H31" s="850">
        <f t="shared" si="4"/>
        <v>5152.8407410199998</v>
      </c>
      <c r="I31" s="851">
        <f t="shared" si="4"/>
        <v>25184.768565869301</v>
      </c>
      <c r="J31" s="852">
        <f t="shared" si="4"/>
        <v>22.949671359999989</v>
      </c>
    </row>
    <row r="32" spans="1:23">
      <c r="A32" s="95"/>
      <c r="B32" s="18"/>
      <c r="C32" s="15"/>
      <c r="D32" s="35"/>
      <c r="E32" s="856"/>
      <c r="F32" s="35"/>
      <c r="G32" s="856"/>
      <c r="H32" s="35"/>
      <c r="I32" s="856"/>
      <c r="J32" s="857"/>
    </row>
    <row r="33" spans="1:24" ht="15" customHeight="1">
      <c r="A33" s="133" t="s">
        <v>47</v>
      </c>
      <c r="B33" s="134"/>
      <c r="C33" s="135">
        <f>C14*C$21</f>
        <v>0</v>
      </c>
      <c r="D33" s="858">
        <f t="shared" ref="D33:J33" si="5">D14*D$21</f>
        <v>46469.98775155365</v>
      </c>
      <c r="E33" s="859">
        <f t="shared" si="5"/>
        <v>1870.0373680800001</v>
      </c>
      <c r="F33" s="858">
        <f t="shared" si="5"/>
        <v>78508.144799999995</v>
      </c>
      <c r="G33" s="859">
        <f t="shared" si="5"/>
        <v>93.999585600000003</v>
      </c>
      <c r="H33" s="858">
        <f t="shared" si="5"/>
        <v>5299.0769744999998</v>
      </c>
      <c r="I33" s="859">
        <f t="shared" si="5"/>
        <v>22673.272880753702</v>
      </c>
      <c r="J33" s="860">
        <f t="shared" si="5"/>
        <v>39.956285600000001</v>
      </c>
    </row>
    <row r="34" spans="1:24" ht="15" customHeight="1">
      <c r="A34" s="95"/>
      <c r="B34" s="18"/>
      <c r="C34" s="106"/>
      <c r="D34" s="33"/>
      <c r="E34" s="861"/>
      <c r="F34" s="33"/>
      <c r="G34" s="861"/>
      <c r="H34" s="33"/>
      <c r="I34" s="861"/>
      <c r="J34" s="862"/>
    </row>
    <row r="35" spans="1:24" ht="15" customHeight="1">
      <c r="A35" s="13" t="s">
        <v>48</v>
      </c>
      <c r="B35" s="14"/>
      <c r="C35" s="136">
        <f t="shared" ref="C35:J35" si="6">C16*C$21</f>
        <v>0</v>
      </c>
      <c r="D35" s="863">
        <f t="shared" si="6"/>
        <v>168765.67476049499</v>
      </c>
      <c r="E35" s="864">
        <f t="shared" si="6"/>
        <v>24673.906677878225</v>
      </c>
      <c r="F35" s="863">
        <f t="shared" si="6"/>
        <v>5033.3332627199998</v>
      </c>
      <c r="G35" s="864">
        <f t="shared" si="6"/>
        <v>0</v>
      </c>
      <c r="H35" s="863">
        <f t="shared" si="6"/>
        <v>0</v>
      </c>
      <c r="I35" s="864">
        <f t="shared" si="6"/>
        <v>0</v>
      </c>
      <c r="J35" s="865">
        <f t="shared" si="6"/>
        <v>0</v>
      </c>
    </row>
    <row r="36" spans="1:24" ht="15" customHeight="1">
      <c r="A36" s="95"/>
      <c r="B36" s="18"/>
      <c r="C36" s="106"/>
      <c r="D36" s="33"/>
      <c r="E36" s="861"/>
      <c r="F36" s="33"/>
      <c r="G36" s="861"/>
      <c r="H36" s="33"/>
      <c r="I36" s="861"/>
      <c r="J36" s="862"/>
    </row>
    <row r="37" spans="1:24" ht="15" customHeight="1">
      <c r="A37" s="137" t="s">
        <v>49</v>
      </c>
      <c r="B37" s="138"/>
      <c r="C37" s="139">
        <f t="shared" ref="C37:J37" si="7">C33+C35</f>
        <v>0</v>
      </c>
      <c r="D37" s="866">
        <f t="shared" si="7"/>
        <v>215235.66251204864</v>
      </c>
      <c r="E37" s="867">
        <f t="shared" si="7"/>
        <v>26543.944045958226</v>
      </c>
      <c r="F37" s="866">
        <f t="shared" si="7"/>
        <v>83541.478062719994</v>
      </c>
      <c r="G37" s="867">
        <f t="shared" si="7"/>
        <v>93.999585600000003</v>
      </c>
      <c r="H37" s="866">
        <f t="shared" si="7"/>
        <v>5299.0769744999998</v>
      </c>
      <c r="I37" s="867">
        <f t="shared" si="7"/>
        <v>22673.272880753702</v>
      </c>
      <c r="J37" s="868">
        <f t="shared" si="7"/>
        <v>39.956285600000001</v>
      </c>
    </row>
    <row r="39" spans="1:24">
      <c r="D39" s="10">
        <f>D31-D35</f>
        <v>46315.74062002587</v>
      </c>
      <c r="F39" s="10">
        <f>F31-F35</f>
        <v>77421.674003808002</v>
      </c>
      <c r="H39" s="10">
        <f>H59+H60</f>
        <v>108.39570000000001</v>
      </c>
    </row>
    <row r="40" spans="1:24">
      <c r="C40" s="10">
        <f>C65+C67</f>
        <v>948.79650000000004</v>
      </c>
      <c r="D40" s="10">
        <f>D65+D67</f>
        <v>1486.3776</v>
      </c>
      <c r="J40" s="11"/>
      <c r="K40" s="10"/>
      <c r="M40" s="10">
        <f>M50+M59</f>
        <v>977.19058280000127</v>
      </c>
      <c r="N40" s="10">
        <f>N50+N59</f>
        <v>821.90195830000016</v>
      </c>
    </row>
    <row r="41" spans="1:24">
      <c r="C41" s="10">
        <f>C46+C47+C48</f>
        <v>3611.2392809999997</v>
      </c>
      <c r="D41" s="10">
        <f>D46+D47+D48</f>
        <v>3416.4953219999998</v>
      </c>
      <c r="J41" s="878"/>
    </row>
    <row r="42" spans="1:24">
      <c r="A42" s="911" t="s">
        <v>204</v>
      </c>
      <c r="B42" s="912"/>
      <c r="C42" s="913"/>
      <c r="E42" s="914" t="s">
        <v>205</v>
      </c>
      <c r="F42" s="915"/>
      <c r="G42" s="915"/>
      <c r="H42" s="916"/>
      <c r="J42" s="917" t="s">
        <v>380</v>
      </c>
      <c r="K42" s="918"/>
      <c r="L42" s="918"/>
      <c r="M42" s="919"/>
      <c r="O42" s="920" t="s">
        <v>212</v>
      </c>
      <c r="P42" s="921"/>
      <c r="Q42" s="921"/>
      <c r="R42" s="922"/>
      <c r="T42" s="908" t="s">
        <v>219</v>
      </c>
      <c r="U42" s="909"/>
      <c r="V42" s="909"/>
      <c r="W42" s="910"/>
      <c r="X42" s="6" t="s">
        <v>52</v>
      </c>
    </row>
    <row r="43" spans="1:24">
      <c r="A43" s="12"/>
      <c r="B43" s="12"/>
      <c r="C43" s="166" t="s">
        <v>52</v>
      </c>
      <c r="E43" s="144"/>
      <c r="F43" s="144"/>
      <c r="G43" s="144"/>
      <c r="H43" s="150" t="s">
        <v>52</v>
      </c>
      <c r="J43" s="151"/>
      <c r="K43" s="151"/>
      <c r="L43" s="151"/>
      <c r="M43" s="734" t="s">
        <v>408</v>
      </c>
      <c r="N43" s="758" t="s">
        <v>376</v>
      </c>
      <c r="O43" s="199"/>
      <c r="P43" s="199"/>
      <c r="Q43" s="199"/>
      <c r="R43" s="200" t="s">
        <v>52</v>
      </c>
      <c r="T43" s="208"/>
      <c r="U43" s="208"/>
      <c r="V43" s="208"/>
      <c r="W43" s="767" t="s">
        <v>410</v>
      </c>
      <c r="X43" s="769" t="s">
        <v>382</v>
      </c>
    </row>
    <row r="44" spans="1:24">
      <c r="A44" s="157" t="s">
        <v>170</v>
      </c>
      <c r="B44" s="158"/>
      <c r="C44" s="732" t="s">
        <v>408</v>
      </c>
      <c r="D44" s="738" t="s">
        <v>376</v>
      </c>
      <c r="E44" s="145" t="s">
        <v>201</v>
      </c>
      <c r="F44" s="146"/>
      <c r="G44" s="146"/>
      <c r="H44" s="733" t="s">
        <v>408</v>
      </c>
      <c r="I44" s="751" t="s">
        <v>376</v>
      </c>
      <c r="J44" s="152" t="s">
        <v>210</v>
      </c>
      <c r="K44" s="153"/>
      <c r="L44" s="153"/>
      <c r="M44" s="156">
        <v>3492.050333000002</v>
      </c>
      <c r="N44" s="759">
        <v>3568.9057320000011</v>
      </c>
      <c r="O44" s="201" t="s">
        <v>215</v>
      </c>
      <c r="P44" s="199"/>
      <c r="Q44" s="199"/>
      <c r="R44" s="783" t="s">
        <v>409</v>
      </c>
      <c r="S44" s="784" t="s">
        <v>381</v>
      </c>
      <c r="T44" s="209" t="s">
        <v>220</v>
      </c>
      <c r="U44" s="210"/>
      <c r="V44" s="210"/>
      <c r="W44" s="220">
        <v>81333.75</v>
      </c>
      <c r="X44" s="770">
        <v>83993.01</v>
      </c>
    </row>
    <row r="45" spans="1:24">
      <c r="A45" s="158" t="s">
        <v>79</v>
      </c>
      <c r="B45" s="158"/>
      <c r="C45" s="159">
        <v>12146.57625</v>
      </c>
      <c r="D45" s="739">
        <v>9744.5750430000007</v>
      </c>
      <c r="E45" s="146" t="s">
        <v>202</v>
      </c>
      <c r="F45" s="146"/>
      <c r="G45" s="146"/>
      <c r="H45" s="149">
        <v>19759.90414344001</v>
      </c>
      <c r="I45" s="752">
        <v>20581.641105569994</v>
      </c>
      <c r="J45" s="153"/>
      <c r="K45" s="153"/>
      <c r="L45" s="153"/>
      <c r="M45" s="153"/>
      <c r="N45" s="760"/>
      <c r="O45" s="202" t="s">
        <v>214</v>
      </c>
      <c r="P45" s="199"/>
      <c r="Q45" s="199"/>
      <c r="R45" s="203">
        <v>960.54739200000006</v>
      </c>
      <c r="S45" s="776">
        <v>823.41952000000003</v>
      </c>
      <c r="T45" s="210"/>
      <c r="U45" s="210"/>
      <c r="V45" s="210"/>
      <c r="W45" s="211"/>
      <c r="X45" s="770"/>
    </row>
    <row r="46" spans="1:24">
      <c r="A46" s="158" t="s">
        <v>171</v>
      </c>
      <c r="B46" s="158"/>
      <c r="C46" s="159">
        <v>1896.4692809999999</v>
      </c>
      <c r="D46" s="739">
        <v>1912.475322</v>
      </c>
      <c r="E46" s="146"/>
      <c r="F46" s="146"/>
      <c r="G46" s="146"/>
      <c r="H46" s="147"/>
      <c r="I46" s="752"/>
      <c r="J46" s="152" t="s">
        <v>100</v>
      </c>
      <c r="K46" s="153"/>
      <c r="L46" s="153"/>
      <c r="M46" s="153"/>
      <c r="N46" s="760"/>
      <c r="O46" s="202" t="s">
        <v>171</v>
      </c>
      <c r="P46" s="199"/>
      <c r="Q46" s="199"/>
      <c r="R46" s="203">
        <v>600.50323200000003</v>
      </c>
      <c r="S46" s="776">
        <v>482.25643200000007</v>
      </c>
      <c r="T46" s="209" t="s">
        <v>150</v>
      </c>
      <c r="U46" s="210"/>
      <c r="V46" s="210"/>
      <c r="W46" s="211"/>
      <c r="X46" s="770"/>
    </row>
    <row r="47" spans="1:24">
      <c r="A47" s="158" t="s">
        <v>172</v>
      </c>
      <c r="B47" s="158"/>
      <c r="C47" s="159">
        <v>163.64999999999998</v>
      </c>
      <c r="D47" s="739">
        <v>205.8</v>
      </c>
      <c r="E47" s="145" t="s">
        <v>181</v>
      </c>
      <c r="F47" s="146"/>
      <c r="G47" s="146"/>
      <c r="H47" s="147"/>
      <c r="I47" s="752"/>
      <c r="J47" s="153" t="s">
        <v>79</v>
      </c>
      <c r="K47" s="153"/>
      <c r="L47" s="153"/>
      <c r="M47" s="154">
        <v>768.15326620000121</v>
      </c>
      <c r="N47" s="759">
        <v>586.99701030000017</v>
      </c>
      <c r="O47" s="202" t="s">
        <v>213</v>
      </c>
      <c r="P47" s="199"/>
      <c r="Q47" s="199"/>
      <c r="R47" s="203">
        <v>190.03454400000001</v>
      </c>
      <c r="S47" s="776">
        <v>198.82710400000002</v>
      </c>
      <c r="T47" s="210" t="s">
        <v>172</v>
      </c>
      <c r="U47" s="210"/>
      <c r="V47" s="210"/>
      <c r="W47" s="211">
        <v>4007.7499999999995</v>
      </c>
      <c r="X47" s="770">
        <v>4158.63</v>
      </c>
    </row>
    <row r="48" spans="1:24">
      <c r="A48" s="158" t="s">
        <v>173</v>
      </c>
      <c r="B48" s="158"/>
      <c r="C48" s="159">
        <v>1551.12</v>
      </c>
      <c r="D48" s="739">
        <v>1298.22</v>
      </c>
      <c r="E48" s="146" t="s">
        <v>183</v>
      </c>
      <c r="F48" s="146"/>
      <c r="G48" s="146"/>
      <c r="H48" s="147">
        <v>972.36249999999995</v>
      </c>
      <c r="I48" s="752">
        <v>634.3075</v>
      </c>
      <c r="J48" s="153" t="s">
        <v>207</v>
      </c>
      <c r="K48" s="153"/>
      <c r="L48" s="153"/>
      <c r="M48" s="154">
        <v>122.18962860000008</v>
      </c>
      <c r="N48" s="759">
        <v>152.06861000000001</v>
      </c>
      <c r="O48" s="202" t="s">
        <v>216</v>
      </c>
      <c r="P48" s="199"/>
      <c r="Q48" s="199"/>
      <c r="R48" s="203">
        <v>0</v>
      </c>
      <c r="S48" s="776">
        <v>0</v>
      </c>
      <c r="T48" s="210" t="s">
        <v>208</v>
      </c>
      <c r="U48" s="210"/>
      <c r="V48" s="210"/>
      <c r="W48" s="212">
        <v>445.5675</v>
      </c>
      <c r="X48" s="771">
        <v>403.13249999999999</v>
      </c>
    </row>
    <row r="49" spans="1:24" ht="15.75" thickBot="1">
      <c r="A49" s="158" t="s">
        <v>195</v>
      </c>
      <c r="B49" s="158"/>
      <c r="C49" s="160">
        <v>8.0928000000000004</v>
      </c>
      <c r="D49" s="740">
        <v>8.43</v>
      </c>
      <c r="E49" s="146" t="s">
        <v>182</v>
      </c>
      <c r="F49" s="146"/>
      <c r="G49" s="146"/>
      <c r="H49" s="148">
        <v>5.6706000000000003</v>
      </c>
      <c r="I49" s="753">
        <v>5.8159999999999998</v>
      </c>
      <c r="J49" s="153" t="s">
        <v>195</v>
      </c>
      <c r="K49" s="153"/>
      <c r="L49" s="153"/>
      <c r="M49" s="155">
        <v>13.824310000000001</v>
      </c>
      <c r="N49" s="761">
        <v>9.8129600000000003</v>
      </c>
      <c r="O49" s="202" t="s">
        <v>195</v>
      </c>
      <c r="P49" s="199"/>
      <c r="Q49" s="199"/>
      <c r="R49" s="203">
        <v>0</v>
      </c>
      <c r="S49" s="776">
        <v>7.9027262631685948</v>
      </c>
      <c r="T49" s="210"/>
      <c r="U49" s="210"/>
      <c r="V49" s="210"/>
      <c r="W49" s="220">
        <f>W47+W48</f>
        <v>4453.3174999999992</v>
      </c>
      <c r="X49" s="770">
        <v>4561.7624999999998</v>
      </c>
    </row>
    <row r="50" spans="1:24" ht="15.75" thickBot="1">
      <c r="A50" s="161" t="s">
        <v>109</v>
      </c>
      <c r="B50" s="158"/>
      <c r="C50" s="162">
        <f>SUM(C45:C49)</f>
        <v>15765.908331000001</v>
      </c>
      <c r="D50" s="741">
        <v>13169.500365</v>
      </c>
      <c r="E50" s="146"/>
      <c r="F50" s="146"/>
      <c r="G50" s="146" t="s">
        <v>200</v>
      </c>
      <c r="H50" s="149">
        <f>SUM(H48:H49)</f>
        <v>978.03309999999999</v>
      </c>
      <c r="I50" s="752">
        <v>640.12350000000004</v>
      </c>
      <c r="J50" s="153"/>
      <c r="K50" s="153"/>
      <c r="L50" s="153" t="s">
        <v>200</v>
      </c>
      <c r="M50" s="156">
        <f>SUM(M47:M49)</f>
        <v>904.16720480000129</v>
      </c>
      <c r="N50" s="759">
        <v>748.87858030000018</v>
      </c>
      <c r="O50" s="202" t="s">
        <v>79</v>
      </c>
      <c r="P50" s="199"/>
      <c r="Q50" s="199"/>
      <c r="R50" s="255">
        <v>4.7040000000000006</v>
      </c>
      <c r="S50" s="777">
        <v>3.5280000000000005</v>
      </c>
      <c r="T50" s="208"/>
      <c r="U50" s="209" t="s">
        <v>232</v>
      </c>
      <c r="V50" s="209"/>
      <c r="W50" s="768">
        <f>W44+W49</f>
        <v>85787.067500000005</v>
      </c>
      <c r="X50" s="772">
        <v>88554.772499999992</v>
      </c>
    </row>
    <row r="51" spans="1:24" ht="15.75" thickBot="1">
      <c r="A51" s="157" t="s">
        <v>186</v>
      </c>
      <c r="B51" s="158"/>
      <c r="C51" s="163">
        <v>10795.81206</v>
      </c>
      <c r="D51" s="742">
        <v>10645.685562000001</v>
      </c>
      <c r="E51" s="145" t="s">
        <v>167</v>
      </c>
      <c r="F51" s="146"/>
      <c r="G51" s="146"/>
      <c r="H51" s="146"/>
      <c r="I51" s="754"/>
      <c r="J51" s="152" t="s">
        <v>20</v>
      </c>
      <c r="K51" s="153"/>
      <c r="L51" s="153"/>
      <c r="M51" s="153"/>
      <c r="N51" s="760"/>
      <c r="O51" s="199"/>
      <c r="P51" s="201" t="s">
        <v>231</v>
      </c>
      <c r="Q51" s="202"/>
      <c r="R51" s="781">
        <f>SUM(R45:R50)</f>
        <v>1755.789168</v>
      </c>
      <c r="S51" s="782">
        <v>1515.9337822631687</v>
      </c>
      <c r="T51" s="209" t="s">
        <v>206</v>
      </c>
      <c r="U51" s="210"/>
      <c r="V51" s="210"/>
      <c r="W51" s="210"/>
      <c r="X51" s="773"/>
    </row>
    <row r="52" spans="1:24">
      <c r="A52" s="161"/>
      <c r="B52" s="158"/>
      <c r="C52" s="55"/>
      <c r="D52" s="741"/>
      <c r="E52" s="146" t="s">
        <v>194</v>
      </c>
      <c r="F52" s="144"/>
      <c r="G52" s="144"/>
      <c r="H52" s="147">
        <v>11.766495000000001</v>
      </c>
      <c r="I52" s="752">
        <v>13.29683</v>
      </c>
      <c r="J52" s="153" t="s">
        <v>172</v>
      </c>
      <c r="K52" s="153"/>
      <c r="L52" s="153"/>
      <c r="M52" s="154">
        <v>152.25201300000001</v>
      </c>
      <c r="N52" s="759">
        <v>152.25201300000001</v>
      </c>
      <c r="O52" s="199"/>
      <c r="P52" s="199"/>
      <c r="Q52" s="199"/>
      <c r="R52" s="203"/>
      <c r="S52" s="776"/>
      <c r="T52" s="210"/>
      <c r="U52" s="221" t="s">
        <v>52</v>
      </c>
      <c r="V52" s="221" t="s">
        <v>166</v>
      </c>
      <c r="W52" s="221" t="s">
        <v>53</v>
      </c>
      <c r="X52" s="774" t="s">
        <v>53</v>
      </c>
    </row>
    <row r="53" spans="1:24">
      <c r="A53" s="157" t="s">
        <v>179</v>
      </c>
      <c r="B53" s="158"/>
      <c r="C53" s="158"/>
      <c r="D53" s="743"/>
      <c r="E53" s="146" t="s">
        <v>190</v>
      </c>
      <c r="F53" s="144"/>
      <c r="G53" s="144"/>
      <c r="H53" s="147">
        <v>185.74850000000001</v>
      </c>
      <c r="I53" s="752">
        <v>222.82550000000001</v>
      </c>
      <c r="J53" s="153" t="s">
        <v>208</v>
      </c>
      <c r="K53" s="153"/>
      <c r="L53" s="153"/>
      <c r="M53" s="154">
        <v>11.742000000000001</v>
      </c>
      <c r="N53" s="759">
        <v>11.742000000000001</v>
      </c>
      <c r="O53" s="201" t="s">
        <v>206</v>
      </c>
      <c r="P53" s="199"/>
      <c r="Q53" s="199"/>
      <c r="R53" s="199"/>
      <c r="S53" s="778"/>
      <c r="T53" s="210" t="s">
        <v>77</v>
      </c>
      <c r="U53" s="211">
        <f>W44</f>
        <v>81333.75</v>
      </c>
      <c r="V53" s="222">
        <f>U53/$U$55</f>
        <v>0.94808870812608204</v>
      </c>
      <c r="W53" s="211">
        <f>U53*0.96</f>
        <v>78080.399999999994</v>
      </c>
      <c r="X53" s="770">
        <v>80633.289599999989</v>
      </c>
    </row>
    <row r="54" spans="1:24">
      <c r="A54" s="158" t="s">
        <v>196</v>
      </c>
      <c r="B54" s="158"/>
      <c r="C54" s="159">
        <v>7944.2615310690026</v>
      </c>
      <c r="D54" s="739">
        <v>8139.0890516009995</v>
      </c>
      <c r="E54" s="146" t="s">
        <v>193</v>
      </c>
      <c r="F54" s="144"/>
      <c r="G54" s="144"/>
      <c r="H54" s="147">
        <v>50.89</v>
      </c>
      <c r="I54" s="752">
        <v>74.517499999999998</v>
      </c>
      <c r="J54" s="153" t="s">
        <v>171</v>
      </c>
      <c r="K54" s="153"/>
      <c r="L54" s="153"/>
      <c r="M54" s="154">
        <v>3.6520000000000001</v>
      </c>
      <c r="N54" s="759">
        <v>3.6520000000000001</v>
      </c>
      <c r="O54" s="202"/>
      <c r="P54" s="204" t="s">
        <v>52</v>
      </c>
      <c r="Q54" s="204" t="s">
        <v>166</v>
      </c>
      <c r="R54" s="204" t="s">
        <v>53</v>
      </c>
      <c r="S54" s="779" t="s">
        <v>53</v>
      </c>
      <c r="T54" s="223" t="s">
        <v>20</v>
      </c>
      <c r="U54" s="212">
        <f>W49</f>
        <v>4453.3174999999992</v>
      </c>
      <c r="V54" s="224">
        <f>U54/$U$55</f>
        <v>5.1911291873917929E-2</v>
      </c>
      <c r="W54" s="212">
        <f>U54*0.96</f>
        <v>4275.1847999999991</v>
      </c>
      <c r="X54" s="771">
        <v>4379.2919999999995</v>
      </c>
    </row>
    <row r="55" spans="1:24">
      <c r="A55" s="158" t="s">
        <v>197</v>
      </c>
      <c r="B55" s="158"/>
      <c r="C55" s="730">
        <v>1203.51738</v>
      </c>
      <c r="D55" s="739">
        <v>1156.347315</v>
      </c>
      <c r="E55" s="146" t="s">
        <v>191</v>
      </c>
      <c r="F55" s="144"/>
      <c r="G55" s="144"/>
      <c r="H55" s="148">
        <v>10.904999999999999</v>
      </c>
      <c r="I55" s="753">
        <v>14.54</v>
      </c>
      <c r="J55" s="153" t="s">
        <v>177</v>
      </c>
      <c r="K55" s="153"/>
      <c r="L55" s="153"/>
      <c r="M55" s="154">
        <v>12.6814</v>
      </c>
      <c r="N55" s="759">
        <v>12.6814</v>
      </c>
      <c r="O55" s="202" t="s">
        <v>218</v>
      </c>
      <c r="P55" s="203">
        <f>R45</f>
        <v>960.54739200000006</v>
      </c>
      <c r="Q55" s="205">
        <f>P55/$P$58</f>
        <v>0.54707444920288972</v>
      </c>
      <c r="R55" s="203">
        <f>1.065*P55</f>
        <v>1022.9829724800001</v>
      </c>
      <c r="S55" s="776">
        <v>876.94178880000004</v>
      </c>
      <c r="T55" s="210" t="s">
        <v>56</v>
      </c>
      <c r="U55" s="213">
        <f>U53+U54</f>
        <v>85787.067500000005</v>
      </c>
      <c r="V55" s="225">
        <f>U55/$U$55</f>
        <v>1</v>
      </c>
      <c r="W55" s="213">
        <f>W53+W54</f>
        <v>82355.584799999997</v>
      </c>
      <c r="X55" s="775">
        <v>85012.58159999999</v>
      </c>
    </row>
    <row r="56" spans="1:24">
      <c r="A56" s="158" t="s">
        <v>180</v>
      </c>
      <c r="B56" s="158"/>
      <c r="C56" s="160">
        <v>1934.6849999999999</v>
      </c>
      <c r="D56" s="740">
        <v>2044.2750000000001</v>
      </c>
      <c r="E56" s="146"/>
      <c r="F56" s="144"/>
      <c r="G56" s="146" t="s">
        <v>200</v>
      </c>
      <c r="H56" s="149">
        <f>SUM(H52:H55)</f>
        <v>259.30999499999996</v>
      </c>
      <c r="I56" s="752">
        <v>325.17983000000004</v>
      </c>
      <c r="J56" s="153" t="s">
        <v>174</v>
      </c>
      <c r="K56" s="153"/>
      <c r="L56" s="153"/>
      <c r="M56" s="155">
        <v>74.932021000000006</v>
      </c>
      <c r="N56" s="761">
        <v>74.932021000000006</v>
      </c>
      <c r="O56" s="202" t="s">
        <v>168</v>
      </c>
      <c r="P56" s="203">
        <f>R46</f>
        <v>600.50323200000003</v>
      </c>
      <c r="Q56" s="205">
        <f>P56/$P$58</f>
        <v>0.3420132911994363</v>
      </c>
      <c r="R56" s="203">
        <f>1.065*P56</f>
        <v>639.53594208000004</v>
      </c>
      <c r="S56" s="776">
        <v>513.6031000800001</v>
      </c>
    </row>
    <row r="57" spans="1:24">
      <c r="A57" s="161" t="s">
        <v>109</v>
      </c>
      <c r="B57" s="12"/>
      <c r="C57" s="55">
        <f>SUM(C54:C56)</f>
        <v>11082.463911069002</v>
      </c>
      <c r="D57" s="741">
        <v>11339.711366600999</v>
      </c>
      <c r="E57" s="145" t="s">
        <v>169</v>
      </c>
      <c r="F57" s="144"/>
      <c r="G57" s="144"/>
      <c r="H57" s="731"/>
      <c r="I57" s="754"/>
      <c r="J57" s="153"/>
      <c r="K57" s="153"/>
      <c r="L57" s="153" t="s">
        <v>200</v>
      </c>
      <c r="M57" s="156">
        <f>SUM(M52:M56)</f>
        <v>255.259434</v>
      </c>
      <c r="N57" s="759">
        <v>255.259434</v>
      </c>
      <c r="O57" s="202" t="s">
        <v>96</v>
      </c>
      <c r="P57" s="203">
        <f>SUM(R47:R50)</f>
        <v>194.73854400000002</v>
      </c>
      <c r="Q57" s="205">
        <f>P57/$P$58</f>
        <v>0.11091225959767398</v>
      </c>
      <c r="R57" s="203">
        <f>1.065*P57</f>
        <v>207.39654936000002</v>
      </c>
      <c r="S57" s="776">
        <v>223.92458923027456</v>
      </c>
    </row>
    <row r="58" spans="1:24">
      <c r="A58" s="157" t="s">
        <v>181</v>
      </c>
      <c r="B58" s="158"/>
      <c r="C58" s="158"/>
      <c r="D58" s="743"/>
      <c r="E58" s="146" t="s">
        <v>79</v>
      </c>
      <c r="F58" s="144"/>
      <c r="G58" s="144"/>
      <c r="H58" s="147">
        <v>57.796500000000002</v>
      </c>
      <c r="I58" s="752">
        <v>52.707500000000003</v>
      </c>
      <c r="J58" s="152" t="s">
        <v>209</v>
      </c>
      <c r="K58" s="153"/>
      <c r="L58" s="153"/>
      <c r="M58" s="153"/>
      <c r="N58" s="760"/>
      <c r="O58" s="202" t="s">
        <v>56</v>
      </c>
      <c r="P58" s="206">
        <f>SUM(P55:P57)</f>
        <v>1755.789168</v>
      </c>
      <c r="Q58" s="207">
        <f>SUM(Q55:Q57)</f>
        <v>1</v>
      </c>
      <c r="R58" s="206">
        <f>SUM(R55:R57)</f>
        <v>1869.9154639200003</v>
      </c>
      <c r="S58" s="780">
        <v>1614.4694781102746</v>
      </c>
    </row>
    <row r="59" spans="1:24">
      <c r="A59" s="158" t="s">
        <v>182</v>
      </c>
      <c r="B59" s="158"/>
      <c r="C59" s="159">
        <v>791.74559999999997</v>
      </c>
      <c r="D59" s="739">
        <v>996.6789</v>
      </c>
      <c r="E59" s="146" t="s">
        <v>178</v>
      </c>
      <c r="F59" s="144"/>
      <c r="G59" s="144"/>
      <c r="H59" s="147">
        <v>29.298099999999998</v>
      </c>
      <c r="I59" s="752">
        <v>13.813000000000001</v>
      </c>
      <c r="J59" s="153" t="s">
        <v>194</v>
      </c>
      <c r="K59" s="153"/>
      <c r="L59" s="153"/>
      <c r="M59" s="154">
        <v>73.023378000000037</v>
      </c>
      <c r="N59" s="759">
        <v>73.023378000000037</v>
      </c>
    </row>
    <row r="60" spans="1:24">
      <c r="A60" s="158" t="s">
        <v>183</v>
      </c>
      <c r="B60" s="158"/>
      <c r="C60" s="159">
        <v>851.43</v>
      </c>
      <c r="D60" s="739">
        <v>669.34199999999998</v>
      </c>
      <c r="E60" s="146" t="s">
        <v>171</v>
      </c>
      <c r="F60" s="144"/>
      <c r="G60" s="144"/>
      <c r="H60" s="148">
        <v>79.0976</v>
      </c>
      <c r="I60" s="753">
        <v>67.174800000000005</v>
      </c>
      <c r="J60" s="153" t="s">
        <v>190</v>
      </c>
      <c r="K60" s="153"/>
      <c r="L60" s="153"/>
      <c r="M60" s="154">
        <v>1.8</v>
      </c>
      <c r="N60" s="759">
        <v>1.8</v>
      </c>
      <c r="O60" s="905" t="s">
        <v>217</v>
      </c>
      <c r="P60" s="906"/>
      <c r="Q60" s="906"/>
      <c r="R60" s="907"/>
    </row>
    <row r="61" spans="1:24">
      <c r="A61" s="158" t="s">
        <v>184</v>
      </c>
      <c r="B61" s="158"/>
      <c r="C61" s="159">
        <v>184.34302500000001</v>
      </c>
      <c r="D61" s="739">
        <v>202.166574</v>
      </c>
      <c r="E61" s="146"/>
      <c r="F61" s="146"/>
      <c r="G61" s="146" t="s">
        <v>200</v>
      </c>
      <c r="H61" s="149">
        <f>SUM(H58:H60)</f>
        <v>166.19220000000001</v>
      </c>
      <c r="I61" s="752">
        <v>133.6953</v>
      </c>
      <c r="J61" s="153" t="s">
        <v>193</v>
      </c>
      <c r="K61" s="153"/>
      <c r="L61" s="153"/>
      <c r="M61" s="155">
        <v>0.80400000000000005</v>
      </c>
      <c r="N61" s="761">
        <v>0.80400000000000005</v>
      </c>
      <c r="O61" s="61"/>
      <c r="P61" s="61"/>
      <c r="Q61" s="61"/>
      <c r="R61" s="61"/>
    </row>
    <row r="62" spans="1:24">
      <c r="A62" s="158" t="s">
        <v>185</v>
      </c>
      <c r="B62" s="158"/>
      <c r="C62" s="160">
        <v>400.47557999999998</v>
      </c>
      <c r="D62" s="740">
        <v>518.50991099999999</v>
      </c>
      <c r="E62" s="144"/>
      <c r="F62" s="144"/>
      <c r="G62" s="144"/>
      <c r="H62" s="144"/>
      <c r="I62" s="754"/>
      <c r="J62" s="153"/>
      <c r="K62" s="153"/>
      <c r="L62" s="153" t="s">
        <v>200</v>
      </c>
      <c r="M62" s="154">
        <f>SUM(M59:M61)</f>
        <v>75.627378000000036</v>
      </c>
      <c r="N62" s="759">
        <v>75.627378000000036</v>
      </c>
      <c r="O62" s="214" t="s">
        <v>21</v>
      </c>
      <c r="P62" s="215"/>
      <c r="Q62" s="215"/>
      <c r="R62" s="785" t="s">
        <v>409</v>
      </c>
      <c r="S62" s="784" t="s">
        <v>382</v>
      </c>
    </row>
    <row r="63" spans="1:24" ht="15.75" thickBot="1">
      <c r="A63" s="158"/>
      <c r="B63" s="158"/>
      <c r="C63" s="162">
        <f>SUM(C59:C62)</f>
        <v>2227.994205</v>
      </c>
      <c r="D63" s="741">
        <v>2386.6973849999999</v>
      </c>
      <c r="E63" s="145" t="s">
        <v>81</v>
      </c>
      <c r="F63" s="146"/>
      <c r="G63" s="146"/>
      <c r="H63" s="146"/>
      <c r="I63" s="754"/>
      <c r="J63" s="151"/>
      <c r="K63" s="151"/>
      <c r="L63" s="151"/>
      <c r="M63" s="151"/>
      <c r="N63" s="760"/>
      <c r="O63" s="215" t="s">
        <v>228</v>
      </c>
      <c r="P63" s="215"/>
      <c r="Q63" s="216"/>
      <c r="R63" s="216">
        <v>24.111920000000001</v>
      </c>
      <c r="S63" s="216">
        <v>25.699520000000003</v>
      </c>
    </row>
    <row r="64" spans="1:24" ht="15.75" thickBot="1">
      <c r="A64" s="157" t="s">
        <v>150</v>
      </c>
      <c r="B64" s="158"/>
      <c r="C64" s="159"/>
      <c r="D64" s="739"/>
      <c r="E64" s="146" t="s">
        <v>174</v>
      </c>
      <c r="F64" s="144"/>
      <c r="G64" s="144"/>
      <c r="H64" s="149">
        <v>22.173500000000001</v>
      </c>
      <c r="I64" s="752">
        <v>30.170500000000001</v>
      </c>
      <c r="J64" s="153"/>
      <c r="K64" s="152" t="s">
        <v>211</v>
      </c>
      <c r="L64" s="153"/>
      <c r="M64" s="735">
        <f>M44+M50+M57+M62</f>
        <v>4727.1043498000026</v>
      </c>
      <c r="N64" s="762">
        <v>4648.6711243000009</v>
      </c>
      <c r="O64" s="215" t="s">
        <v>229</v>
      </c>
      <c r="P64" s="215"/>
      <c r="Q64" s="216"/>
      <c r="R64" s="217">
        <v>4.2061600000000006</v>
      </c>
      <c r="S64" s="217">
        <v>4.4844800000000005</v>
      </c>
    </row>
    <row r="65" spans="1:19" ht="15.75" thickBot="1">
      <c r="A65" s="158" t="s">
        <v>174</v>
      </c>
      <c r="B65" s="729" t="s">
        <v>377</v>
      </c>
      <c r="C65" s="159">
        <v>889.78650000000005</v>
      </c>
      <c r="D65" s="739">
        <v>1393.6476</v>
      </c>
      <c r="E65" s="144"/>
      <c r="F65" s="144"/>
      <c r="G65" s="144"/>
      <c r="H65" s="144"/>
      <c r="I65" s="754"/>
      <c r="J65" s="153"/>
      <c r="K65" s="151"/>
      <c r="L65" s="153"/>
      <c r="M65" s="167"/>
      <c r="N65" s="763"/>
      <c r="O65" s="215"/>
      <c r="P65" s="215"/>
      <c r="Q65" s="215"/>
      <c r="R65" s="218">
        <f>SUM(R63:R64)</f>
        <v>28.318080000000002</v>
      </c>
      <c r="S65" s="218">
        <f>S63+S64</f>
        <v>30.184000000000005</v>
      </c>
    </row>
    <row r="66" spans="1:19" ht="15.75" thickBot="1">
      <c r="A66" s="158" t="s">
        <v>175</v>
      </c>
      <c r="B66" s="729" t="s">
        <v>378</v>
      </c>
      <c r="C66" s="159">
        <v>1157.8605</v>
      </c>
      <c r="D66" s="739">
        <v>1163.3399999999999</v>
      </c>
      <c r="E66" s="144"/>
      <c r="F66" s="145" t="s">
        <v>203</v>
      </c>
      <c r="G66" s="146"/>
      <c r="H66" s="736">
        <f>H64+H61+H56+H50+H45</f>
        <v>21185.612938440008</v>
      </c>
      <c r="I66" s="755">
        <v>21710.810235569996</v>
      </c>
      <c r="J66" s="179" t="s">
        <v>206</v>
      </c>
      <c r="K66" s="180"/>
      <c r="L66" s="180"/>
      <c r="M66" s="737" t="s">
        <v>381</v>
      </c>
      <c r="N66" s="764" t="s">
        <v>381</v>
      </c>
      <c r="O66" s="214" t="s">
        <v>97</v>
      </c>
      <c r="P66" s="215"/>
      <c r="Q66" s="215"/>
      <c r="R66" s="215"/>
      <c r="S66" s="215"/>
    </row>
    <row r="67" spans="1:19">
      <c r="A67" s="158" t="s">
        <v>176</v>
      </c>
      <c r="B67" s="729" t="s">
        <v>377</v>
      </c>
      <c r="C67" s="159">
        <v>59.01</v>
      </c>
      <c r="D67" s="739">
        <v>92.73</v>
      </c>
      <c r="E67" s="144"/>
      <c r="F67" s="144"/>
      <c r="G67" s="144"/>
      <c r="H67" s="146"/>
      <c r="I67" s="754"/>
      <c r="J67" s="180"/>
      <c r="K67" s="181" t="s">
        <v>52</v>
      </c>
      <c r="L67" s="181" t="s">
        <v>166</v>
      </c>
      <c r="M67" s="181" t="s">
        <v>53</v>
      </c>
      <c r="N67" s="765" t="s">
        <v>53</v>
      </c>
      <c r="O67" s="215" t="s">
        <v>216</v>
      </c>
      <c r="P67" s="215"/>
      <c r="Q67" s="215"/>
      <c r="R67" s="216">
        <v>3.9200000000000004</v>
      </c>
      <c r="S67" s="216">
        <v>7.0716800000000006</v>
      </c>
    </row>
    <row r="68" spans="1:19">
      <c r="A68" s="158" t="s">
        <v>177</v>
      </c>
      <c r="B68" s="729" t="s">
        <v>378</v>
      </c>
      <c r="C68" s="159">
        <v>67.44</v>
      </c>
      <c r="D68" s="739">
        <v>75.87</v>
      </c>
      <c r="E68" s="169" t="s">
        <v>206</v>
      </c>
      <c r="F68" s="170"/>
      <c r="G68" s="170"/>
      <c r="H68" s="170"/>
      <c r="I68" s="754"/>
      <c r="J68" s="180" t="s">
        <v>21</v>
      </c>
      <c r="K68" s="182">
        <f>M44</f>
        <v>3492.050333000002</v>
      </c>
      <c r="L68" s="183">
        <f>K68/$K$72</f>
        <v>0.73872926734687927</v>
      </c>
      <c r="M68" s="182">
        <f>1.13*K68</f>
        <v>3946.0168762900016</v>
      </c>
      <c r="N68" s="759">
        <v>4032.8634771600009</v>
      </c>
      <c r="O68" s="215" t="s">
        <v>79</v>
      </c>
      <c r="P68" s="215"/>
      <c r="Q68" s="215"/>
      <c r="R68" s="216">
        <v>1.5680000000000001</v>
      </c>
      <c r="S68" s="216">
        <v>1.8816000000000002</v>
      </c>
    </row>
    <row r="69" spans="1:19">
      <c r="A69" s="158" t="s">
        <v>172</v>
      </c>
      <c r="B69" s="729" t="s">
        <v>378</v>
      </c>
      <c r="C69" s="160">
        <v>300</v>
      </c>
      <c r="D69" s="740">
        <v>300</v>
      </c>
      <c r="E69" s="170"/>
      <c r="F69" s="171" t="s">
        <v>52</v>
      </c>
      <c r="G69" s="171" t="s">
        <v>166</v>
      </c>
      <c r="H69" s="171" t="s">
        <v>53</v>
      </c>
      <c r="I69" s="756" t="s">
        <v>53</v>
      </c>
      <c r="J69" s="180" t="s">
        <v>100</v>
      </c>
      <c r="K69" s="182">
        <f>M50</f>
        <v>904.16720480000129</v>
      </c>
      <c r="L69" s="183">
        <f>K69/$K$72</f>
        <v>0.19127295229652702</v>
      </c>
      <c r="M69" s="182">
        <f>1.13*K69</f>
        <v>1021.7089414240014</v>
      </c>
      <c r="N69" s="759">
        <v>846.23279573900015</v>
      </c>
      <c r="O69" s="215" t="s">
        <v>230</v>
      </c>
      <c r="P69" s="215"/>
      <c r="Q69" s="216"/>
      <c r="R69" s="217">
        <v>0.17640000000000003</v>
      </c>
      <c r="S69" s="217">
        <v>0.11760000000000001</v>
      </c>
    </row>
    <row r="70" spans="1:19">
      <c r="A70" s="161" t="s">
        <v>109</v>
      </c>
      <c r="B70" s="158"/>
      <c r="C70" s="162">
        <f>SUM(C65:C69)</f>
        <v>2474.0970000000002</v>
      </c>
      <c r="D70" s="741">
        <v>3025.5875999999998</v>
      </c>
      <c r="E70" s="170" t="s">
        <v>94</v>
      </c>
      <c r="F70" s="172">
        <f>H45</f>
        <v>19759.90414344001</v>
      </c>
      <c r="G70" s="173">
        <f t="shared" ref="G70:G75" si="8">F70/$F$75</f>
        <v>0.93270391566471322</v>
      </c>
      <c r="H70" s="172">
        <f>1.07*F70</f>
        <v>21143.097433480812</v>
      </c>
      <c r="I70" s="752">
        <v>22022.355982959896</v>
      </c>
      <c r="J70" s="180" t="s">
        <v>20</v>
      </c>
      <c r="K70" s="182">
        <f>M57</f>
        <v>255.259434</v>
      </c>
      <c r="L70" s="183">
        <f>K70/$K$72</f>
        <v>5.399911131870818E-2</v>
      </c>
      <c r="M70" s="182">
        <f>1.13*K70</f>
        <v>288.44316041999997</v>
      </c>
      <c r="N70" s="759">
        <v>288.44316041999997</v>
      </c>
      <c r="O70" s="215"/>
      <c r="P70" s="215"/>
      <c r="Q70" s="215"/>
      <c r="R70" s="216">
        <f>SUM(R67:R69)</f>
        <v>5.6644000000000005</v>
      </c>
      <c r="S70" s="216">
        <f>SUM(S67:S69)</f>
        <v>9.0708800000000007</v>
      </c>
    </row>
    <row r="71" spans="1:19">
      <c r="A71" s="157" t="s">
        <v>198</v>
      </c>
      <c r="B71" s="158"/>
      <c r="C71" s="158"/>
      <c r="D71" s="743"/>
      <c r="E71" s="170" t="s">
        <v>163</v>
      </c>
      <c r="F71" s="172">
        <f>H50</f>
        <v>978.03309999999999</v>
      </c>
      <c r="G71" s="173">
        <f t="shared" si="8"/>
        <v>4.6164965953164286E-2</v>
      </c>
      <c r="H71" s="172">
        <f>1.07*F71</f>
        <v>1046.4954170000001</v>
      </c>
      <c r="I71" s="752">
        <v>684.93214500000011</v>
      </c>
      <c r="J71" s="184" t="s">
        <v>167</v>
      </c>
      <c r="K71" s="185">
        <f>M62</f>
        <v>75.627378000000036</v>
      </c>
      <c r="L71" s="186">
        <f>K71/$K$72</f>
        <v>1.5998669037885684E-2</v>
      </c>
      <c r="M71" s="185">
        <f>1.13*K71</f>
        <v>85.458937140000032</v>
      </c>
      <c r="N71" s="761">
        <v>85.458937140000032</v>
      </c>
      <c r="O71" s="214" t="s">
        <v>20</v>
      </c>
      <c r="P71" s="215"/>
      <c r="Q71" s="215"/>
      <c r="R71" s="215"/>
      <c r="S71" s="215"/>
    </row>
    <row r="72" spans="1:19">
      <c r="A72" s="158" t="s">
        <v>187</v>
      </c>
      <c r="B72" s="158"/>
      <c r="C72" s="159">
        <v>1639.2135000000001</v>
      </c>
      <c r="D72" s="739">
        <v>1331.94</v>
      </c>
      <c r="E72" s="170" t="s">
        <v>167</v>
      </c>
      <c r="F72" s="172">
        <f>H56</f>
        <v>259.30999499999996</v>
      </c>
      <c r="G72" s="173">
        <f t="shared" si="8"/>
        <v>1.223990996878347E-2</v>
      </c>
      <c r="H72" s="172">
        <f>1.07*F72</f>
        <v>277.46169464999997</v>
      </c>
      <c r="I72" s="752">
        <v>347.94241810000005</v>
      </c>
      <c r="J72" s="180" t="s">
        <v>56</v>
      </c>
      <c r="K72" s="187">
        <f>SUM(K68:K71)</f>
        <v>4727.1043498000026</v>
      </c>
      <c r="L72" s="188">
        <f>K72/$K$72</f>
        <v>1</v>
      </c>
      <c r="M72" s="187">
        <f>SUM(M68:M71)</f>
        <v>5341.6279152740026</v>
      </c>
      <c r="N72" s="766">
        <v>5252.9983704590004</v>
      </c>
      <c r="O72" s="215" t="s">
        <v>174</v>
      </c>
      <c r="P72" s="215"/>
      <c r="Q72" s="216"/>
      <c r="R72" s="217">
        <v>4.2336</v>
      </c>
      <c r="S72" s="217">
        <v>6.8992000000000004</v>
      </c>
    </row>
    <row r="73" spans="1:19">
      <c r="A73" s="158" t="s">
        <v>188</v>
      </c>
      <c r="B73" s="158"/>
      <c r="C73" s="160">
        <v>481.46204795100016</v>
      </c>
      <c r="D73" s="740">
        <v>489.23349297900006</v>
      </c>
      <c r="E73" s="170" t="s">
        <v>169</v>
      </c>
      <c r="F73" s="172">
        <f>H61</f>
        <v>166.19220000000001</v>
      </c>
      <c r="G73" s="173">
        <f t="shared" si="8"/>
        <v>7.8445783222280217E-3</v>
      </c>
      <c r="H73" s="172">
        <f>1.07*F73</f>
        <v>177.82565400000001</v>
      </c>
      <c r="I73" s="752">
        <v>143.05397100000002</v>
      </c>
      <c r="O73" s="215"/>
      <c r="P73" s="215"/>
      <c r="Q73" s="215"/>
      <c r="R73" s="219">
        <f>R65+R70+R72</f>
        <v>38.216080000000005</v>
      </c>
      <c r="S73" s="219">
        <v>46.154080000000008</v>
      </c>
    </row>
    <row r="74" spans="1:19">
      <c r="A74" s="161" t="s">
        <v>109</v>
      </c>
      <c r="B74" s="158"/>
      <c r="C74" s="162">
        <f>C72+C73</f>
        <v>2120.6755479510002</v>
      </c>
      <c r="D74" s="741">
        <v>1821.173492979</v>
      </c>
      <c r="E74" s="174" t="s">
        <v>81</v>
      </c>
      <c r="F74" s="175">
        <f>H64</f>
        <v>22.173500000000001</v>
      </c>
      <c r="G74" s="176">
        <f t="shared" si="8"/>
        <v>1.0466300911109127E-3</v>
      </c>
      <c r="H74" s="175">
        <f>1.07*F74</f>
        <v>23.725645000000004</v>
      </c>
      <c r="I74" s="753">
        <v>32.282435</v>
      </c>
      <c r="J74" s="904" t="s">
        <v>221</v>
      </c>
      <c r="K74" s="904"/>
      <c r="L74" s="904"/>
      <c r="M74" s="904"/>
    </row>
    <row r="75" spans="1:19">
      <c r="A75" s="157" t="s">
        <v>98</v>
      </c>
      <c r="B75" s="158"/>
      <c r="C75" s="158"/>
      <c r="D75" s="743"/>
      <c r="E75" s="170" t="s">
        <v>56</v>
      </c>
      <c r="F75" s="177">
        <f>SUM(F70:F74)</f>
        <v>21185.612938440012</v>
      </c>
      <c r="G75" s="178">
        <f t="shared" si="8"/>
        <v>1</v>
      </c>
      <c r="H75" s="177">
        <f>SUM(H70:H74)</f>
        <v>22668.605844130809</v>
      </c>
      <c r="I75" s="757">
        <v>23230.566952059897</v>
      </c>
      <c r="J75" s="85"/>
      <c r="K75" s="85"/>
      <c r="L75" s="85"/>
      <c r="M75" s="85"/>
      <c r="O75" s="876">
        <v>1157.8605</v>
      </c>
    </row>
    <row r="76" spans="1:19">
      <c r="A76" s="158" t="s">
        <v>189</v>
      </c>
      <c r="B76" s="158"/>
      <c r="C76" s="159">
        <v>172.15914599999999</v>
      </c>
      <c r="D76" s="739">
        <v>187.3989</v>
      </c>
      <c r="J76" s="226" t="s">
        <v>159</v>
      </c>
      <c r="K76" s="227"/>
      <c r="L76" s="231">
        <v>0.75</v>
      </c>
      <c r="M76" s="85"/>
      <c r="O76" s="877">
        <v>67.44</v>
      </c>
    </row>
    <row r="77" spans="1:19">
      <c r="A77" s="158" t="s">
        <v>190</v>
      </c>
      <c r="B77" s="158"/>
      <c r="C77" s="159">
        <v>150.30690000000001</v>
      </c>
      <c r="D77" s="739">
        <v>152.33009999999999</v>
      </c>
      <c r="E77" s="247" t="s">
        <v>225</v>
      </c>
      <c r="F77" s="248"/>
      <c r="G77" s="249"/>
      <c r="H77" s="250"/>
      <c r="J77" s="226" t="s">
        <v>79</v>
      </c>
      <c r="K77" s="227"/>
      <c r="L77" s="231">
        <v>0.2</v>
      </c>
      <c r="M77" s="85"/>
      <c r="O77">
        <v>300</v>
      </c>
    </row>
    <row r="78" spans="1:19">
      <c r="A78" s="158" t="s">
        <v>191</v>
      </c>
      <c r="B78" s="158"/>
      <c r="C78" s="159">
        <v>80.084999999999994</v>
      </c>
      <c r="D78" s="739">
        <v>88.515000000000001</v>
      </c>
      <c r="E78" s="251" t="s">
        <v>226</v>
      </c>
      <c r="F78" s="252"/>
      <c r="G78" s="253"/>
      <c r="H78" s="254"/>
      <c r="J78" s="230" t="s">
        <v>80</v>
      </c>
      <c r="K78" s="229"/>
      <c r="L78" s="232">
        <v>0.05</v>
      </c>
      <c r="M78" s="85"/>
    </row>
    <row r="79" spans="1:19">
      <c r="A79" s="158" t="s">
        <v>192</v>
      </c>
      <c r="B79" s="158"/>
      <c r="C79" s="159">
        <v>230.13900000000001</v>
      </c>
      <c r="D79" s="739">
        <v>138.868233</v>
      </c>
      <c r="E79" s="72"/>
      <c r="F79" s="72"/>
      <c r="J79" s="227" t="s">
        <v>56</v>
      </c>
      <c r="K79" s="227"/>
      <c r="L79" s="228">
        <f>SUM(L76:L78)</f>
        <v>1</v>
      </c>
      <c r="M79" s="85"/>
    </row>
    <row r="80" spans="1:19">
      <c r="A80" s="158" t="s">
        <v>193</v>
      </c>
      <c r="B80" s="158"/>
      <c r="C80" s="159">
        <v>570.71100000000001</v>
      </c>
      <c r="D80" s="739">
        <v>532.91088000000002</v>
      </c>
      <c r="F80" s="72"/>
    </row>
    <row r="81" spans="1:7">
      <c r="A81" s="158" t="s">
        <v>194</v>
      </c>
      <c r="B81" s="158"/>
      <c r="C81" s="730">
        <v>81.556034999999994</v>
      </c>
      <c r="D81" s="744">
        <v>84.450896999999998</v>
      </c>
      <c r="F81" s="72"/>
    </row>
    <row r="82" spans="1:7">
      <c r="A82" s="158" t="s">
        <v>379</v>
      </c>
      <c r="B82" s="158"/>
      <c r="C82" s="160">
        <v>2281.9706519999891</v>
      </c>
      <c r="D82" s="740">
        <v>2640.4344839999999</v>
      </c>
      <c r="F82" s="72"/>
    </row>
    <row r="83" spans="1:7">
      <c r="A83" s="161" t="s">
        <v>109</v>
      </c>
      <c r="B83" s="12"/>
      <c r="C83" s="55">
        <f>SUM(C76:C82)</f>
        <v>3566.9277329999891</v>
      </c>
      <c r="D83" s="741">
        <v>3824.9084939999998</v>
      </c>
      <c r="E83" s="72"/>
      <c r="F83" s="72"/>
      <c r="G83" s="10"/>
    </row>
    <row r="84" spans="1:7" ht="15.75" thickBot="1">
      <c r="A84" s="158"/>
      <c r="B84" s="158"/>
      <c r="C84" s="158"/>
      <c r="D84" s="743"/>
      <c r="E84" s="72"/>
      <c r="F84" s="289"/>
    </row>
    <row r="85" spans="1:7" ht="15.75" thickBot="1">
      <c r="A85" s="164" t="s">
        <v>199</v>
      </c>
      <c r="B85" s="158"/>
      <c r="C85" s="165">
        <f>C83+C74+C70+C63+C57+C51+C50</f>
        <v>48033.878788019996</v>
      </c>
      <c r="D85" s="745">
        <v>46213.264265579994</v>
      </c>
      <c r="F85" s="72"/>
    </row>
    <row r="86" spans="1:7">
      <c r="A86" s="12"/>
      <c r="B86" s="12"/>
      <c r="C86" s="12"/>
      <c r="D86" s="746"/>
      <c r="F86" s="72"/>
    </row>
    <row r="87" spans="1:7">
      <c r="A87" s="189" t="s">
        <v>412</v>
      </c>
      <c r="B87" s="190" t="s">
        <v>52</v>
      </c>
      <c r="C87" s="190" t="s">
        <v>166</v>
      </c>
      <c r="D87" s="747" t="s">
        <v>53</v>
      </c>
      <c r="F87" s="72"/>
    </row>
    <row r="88" spans="1:7">
      <c r="A88" s="191" t="s">
        <v>161</v>
      </c>
      <c r="B88" s="192">
        <f>C50</f>
        <v>15765.908331000001</v>
      </c>
      <c r="C88" s="193">
        <f t="shared" ref="C88:C95" si="9">B88/$B$95</f>
        <v>0.32822475987369421</v>
      </c>
      <c r="D88" s="748">
        <f>B88*1.035</f>
        <v>16317.715122584999</v>
      </c>
      <c r="F88" s="72"/>
    </row>
    <row r="89" spans="1:7">
      <c r="A89" s="191" t="s">
        <v>165</v>
      </c>
      <c r="B89" s="192">
        <f>C51</f>
        <v>10795.81206</v>
      </c>
      <c r="C89" s="193">
        <f t="shared" si="9"/>
        <v>0.22475411797667594</v>
      </c>
      <c r="D89" s="748">
        <f t="shared" ref="D89:D94" si="10">B89*1.035</f>
        <v>11173.665482099999</v>
      </c>
      <c r="F89" s="72"/>
    </row>
    <row r="90" spans="1:7">
      <c r="A90" s="191" t="s">
        <v>162</v>
      </c>
      <c r="B90" s="192">
        <f>C57</f>
        <v>11082.463911069002</v>
      </c>
      <c r="C90" s="193">
        <f t="shared" si="9"/>
        <v>0.23072181948864492</v>
      </c>
      <c r="D90" s="748">
        <f t="shared" si="10"/>
        <v>11470.350147956417</v>
      </c>
      <c r="F90" s="72"/>
    </row>
    <row r="91" spans="1:7">
      <c r="A91" s="191" t="s">
        <v>163</v>
      </c>
      <c r="B91" s="192">
        <f>C63</f>
        <v>2227.994205</v>
      </c>
      <c r="C91" s="193">
        <f t="shared" si="9"/>
        <v>4.6383807870949575E-2</v>
      </c>
      <c r="D91" s="748">
        <f t="shared" si="10"/>
        <v>2305.9740021749999</v>
      </c>
      <c r="F91" s="72"/>
    </row>
    <row r="92" spans="1:7">
      <c r="A92" s="191" t="s">
        <v>20</v>
      </c>
      <c r="B92" s="192">
        <f>C70</f>
        <v>2474.0970000000002</v>
      </c>
      <c r="C92" s="193">
        <f t="shared" si="9"/>
        <v>5.1507333207849497E-2</v>
      </c>
      <c r="D92" s="748">
        <f t="shared" si="10"/>
        <v>2560.6903950000001</v>
      </c>
      <c r="F92" s="72"/>
    </row>
    <row r="93" spans="1:7">
      <c r="A93" s="191" t="s">
        <v>164</v>
      </c>
      <c r="B93" s="192">
        <f>C74</f>
        <v>2120.6755479510002</v>
      </c>
      <c r="C93" s="193">
        <f t="shared" si="9"/>
        <v>4.4149579452240947E-2</v>
      </c>
      <c r="D93" s="748">
        <f t="shared" si="10"/>
        <v>2194.899192129285</v>
      </c>
      <c r="F93" s="72"/>
    </row>
    <row r="94" spans="1:7" ht="15.75" thickBot="1">
      <c r="A94" s="194" t="s">
        <v>97</v>
      </c>
      <c r="B94" s="195">
        <f>C83</f>
        <v>3566.9277329999891</v>
      </c>
      <c r="C94" s="196">
        <f t="shared" si="9"/>
        <v>7.4258582129944642E-2</v>
      </c>
      <c r="D94" s="749">
        <f t="shared" si="10"/>
        <v>3691.7702036549886</v>
      </c>
      <c r="F94" s="72"/>
    </row>
    <row r="95" spans="1:7" ht="15.75" thickBot="1">
      <c r="A95" s="197" t="s">
        <v>56</v>
      </c>
      <c r="B95" s="198">
        <f>SUM(B88:B94)</f>
        <v>48033.878788020003</v>
      </c>
      <c r="C95" s="193">
        <f t="shared" si="9"/>
        <v>1</v>
      </c>
      <c r="D95" s="750">
        <f>SUM(D88:D94)</f>
        <v>49715.064545600682</v>
      </c>
      <c r="F95" s="72"/>
    </row>
    <row r="97" spans="1:2">
      <c r="A97" s="233" t="s">
        <v>222</v>
      </c>
      <c r="B97" s="234"/>
    </row>
    <row r="98" spans="1:2">
      <c r="A98" s="235" t="s">
        <v>223</v>
      </c>
      <c r="B98" s="236">
        <v>0.35</v>
      </c>
    </row>
    <row r="99" spans="1:2">
      <c r="A99" s="235" t="s">
        <v>19</v>
      </c>
      <c r="B99" s="236">
        <v>0.31</v>
      </c>
    </row>
    <row r="100" spans="1:2">
      <c r="A100" s="240" t="s">
        <v>224</v>
      </c>
      <c r="B100" s="237"/>
    </row>
    <row r="101" spans="1:2">
      <c r="A101" s="238" t="s">
        <v>56</v>
      </c>
      <c r="B101" s="239">
        <f>SUM(B98:B100)</f>
        <v>0.65999999999999992</v>
      </c>
    </row>
    <row r="135" spans="3:3">
      <c r="C135" s="11"/>
    </row>
  </sheetData>
  <mergeCells count="7">
    <mergeCell ref="J74:M74"/>
    <mergeCell ref="O60:R60"/>
    <mergeCell ref="T42:W42"/>
    <mergeCell ref="A42:C42"/>
    <mergeCell ref="E42:H42"/>
    <mergeCell ref="J42:M42"/>
    <mergeCell ref="O42:R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15"/>
  <sheetViews>
    <sheetView topLeftCell="A16" zoomScaleNormal="100" workbookViewId="0">
      <selection activeCell="E39" sqref="E39"/>
    </sheetView>
  </sheetViews>
  <sheetFormatPr defaultRowHeight="15"/>
  <cols>
    <col min="1" max="1" width="21.28515625" customWidth="1"/>
    <col min="2" max="2" width="9.85546875" customWidth="1"/>
    <col min="3" max="3" width="11.85546875" customWidth="1"/>
    <col min="4" max="4" width="11.140625" customWidth="1"/>
    <col min="5" max="5" width="9.7109375" customWidth="1"/>
    <col min="6" max="6" width="12.7109375" customWidth="1"/>
    <col min="7" max="7" width="7.140625" customWidth="1"/>
    <col min="8" max="8" width="9.140625" customWidth="1"/>
    <col min="9" max="9" width="10.85546875" customWidth="1"/>
    <col min="10" max="10" width="7.85546875" customWidth="1"/>
    <col min="11" max="11" width="9.7109375" customWidth="1"/>
    <col min="12" max="12" width="13.5703125" customWidth="1"/>
    <col min="13" max="13" width="7.28515625" customWidth="1"/>
    <col min="14" max="14" width="9.7109375" customWidth="1"/>
    <col min="15" max="15" width="12" customWidth="1"/>
    <col min="16" max="16" width="11" customWidth="1"/>
    <col min="17" max="17" width="9" customWidth="1"/>
    <col min="18" max="18" width="12.42578125" customWidth="1"/>
    <col min="19" max="19" width="11.42578125" customWidth="1"/>
    <col min="20" max="20" width="20" bestFit="1" customWidth="1"/>
    <col min="21" max="21" width="11.28515625" customWidth="1"/>
    <col min="22" max="22" width="10" bestFit="1" customWidth="1"/>
  </cols>
  <sheetData>
    <row r="1" spans="1:28" ht="18">
      <c r="C1" s="698"/>
      <c r="D1" s="830"/>
      <c r="F1" s="938" t="s">
        <v>401</v>
      </c>
      <c r="G1" s="938"/>
      <c r="H1" s="955" t="s">
        <v>243</v>
      </c>
      <c r="I1" s="955"/>
      <c r="J1" s="955"/>
      <c r="K1" s="955"/>
      <c r="L1" s="955"/>
      <c r="O1" s="705"/>
      <c r="P1" s="700">
        <v>2560956</v>
      </c>
    </row>
    <row r="2" spans="1:28" ht="15.75">
      <c r="A2" s="62" t="s">
        <v>244</v>
      </c>
      <c r="D2" s="691"/>
      <c r="E2" s="687">
        <f>E6+E10+E14+E15</f>
        <v>10860.759013950001</v>
      </c>
      <c r="F2" s="687"/>
      <c r="I2" s="688"/>
      <c r="L2" s="700"/>
      <c r="O2" s="703"/>
      <c r="P2" s="698">
        <v>9474737</v>
      </c>
    </row>
    <row r="3" spans="1:28">
      <c r="A3" s="71" t="s">
        <v>89</v>
      </c>
      <c r="E3" s="687">
        <f>E7+E11</f>
        <v>78852.36575135999</v>
      </c>
      <c r="F3" s="11"/>
      <c r="T3" s="313" t="s">
        <v>69</v>
      </c>
      <c r="U3" s="313" t="s">
        <v>301</v>
      </c>
    </row>
    <row r="4" spans="1:28" s="72" customFormat="1" ht="12.75">
      <c r="A4" s="82" t="s">
        <v>72</v>
      </c>
      <c r="B4" s="82" t="s">
        <v>69</v>
      </c>
      <c r="C4" s="939" t="s">
        <v>55</v>
      </c>
      <c r="D4" s="940"/>
      <c r="E4" s="941"/>
      <c r="F4" s="936" t="s">
        <v>250</v>
      </c>
      <c r="G4" s="937"/>
      <c r="H4" s="945"/>
      <c r="I4" s="933" t="s">
        <v>70</v>
      </c>
      <c r="J4" s="933"/>
      <c r="K4" s="933"/>
      <c r="L4" s="925" t="s">
        <v>59</v>
      </c>
      <c r="M4" s="926"/>
      <c r="N4" s="927"/>
      <c r="O4" s="928" t="s">
        <v>60</v>
      </c>
      <c r="P4" s="929"/>
      <c r="Q4" s="930"/>
      <c r="S4" s="312"/>
      <c r="T4" s="313" t="s">
        <v>238</v>
      </c>
      <c r="U4" s="313" t="s">
        <v>302</v>
      </c>
      <c r="V4" s="313" t="s">
        <v>241</v>
      </c>
    </row>
    <row r="5" spans="1:28" s="72" customFormat="1" ht="12.75">
      <c r="A5" s="280"/>
      <c r="B5" s="316"/>
      <c r="C5" s="405" t="s">
        <v>245</v>
      </c>
      <c r="D5" s="406" t="s">
        <v>52</v>
      </c>
      <c r="E5" s="407" t="s">
        <v>53</v>
      </c>
      <c r="F5" s="438" t="s">
        <v>62</v>
      </c>
      <c r="G5" s="439" t="s">
        <v>64</v>
      </c>
      <c r="H5" s="440" t="s">
        <v>53</v>
      </c>
      <c r="I5" s="467" t="s">
        <v>66</v>
      </c>
      <c r="J5" s="467" t="s">
        <v>67</v>
      </c>
      <c r="K5" s="467" t="s">
        <v>71</v>
      </c>
      <c r="L5" s="491" t="s">
        <v>62</v>
      </c>
      <c r="M5" s="492" t="s">
        <v>64</v>
      </c>
      <c r="N5" s="493" t="s">
        <v>53</v>
      </c>
      <c r="O5" s="521" t="s">
        <v>62</v>
      </c>
      <c r="P5" s="522" t="s">
        <v>64</v>
      </c>
      <c r="Q5" s="523" t="s">
        <v>53</v>
      </c>
      <c r="S5" s="306"/>
      <c r="T5" s="314" t="s">
        <v>240</v>
      </c>
      <c r="U5" s="314" t="s">
        <v>239</v>
      </c>
      <c r="V5" s="314" t="s">
        <v>242</v>
      </c>
      <c r="X5" s="542" t="s">
        <v>298</v>
      </c>
      <c r="Y5" s="543"/>
      <c r="AA5" s="542" t="s">
        <v>298</v>
      </c>
      <c r="AB5" s="543"/>
    </row>
    <row r="6" spans="1:28" s="72" customFormat="1" ht="15" customHeight="1">
      <c r="A6" s="282" t="s">
        <v>290</v>
      </c>
      <c r="B6" s="281" t="s">
        <v>57</v>
      </c>
      <c r="C6" s="699">
        <v>83820</v>
      </c>
      <c r="D6" s="408">
        <f>C6*$Y$6/1000</f>
        <v>70.660259999999994</v>
      </c>
      <c r="E6" s="409">
        <f>D6*$U$6</f>
        <v>73.133369099999982</v>
      </c>
      <c r="F6" s="699">
        <v>255563</v>
      </c>
      <c r="G6" s="441">
        <f>F6/1000000</f>
        <v>0.25556299999999998</v>
      </c>
      <c r="H6" s="442">
        <f>G6*$U$8</f>
        <v>21.978417999999998</v>
      </c>
      <c r="I6" s="468">
        <f>C6/F6</f>
        <v>0.32798175009684499</v>
      </c>
      <c r="J6" s="469">
        <f>F6/C6</f>
        <v>3.0489501312335956</v>
      </c>
      <c r="K6" s="470">
        <f>H6/E6</f>
        <v>0.30052516751891312</v>
      </c>
      <c r="L6" s="931">
        <v>2382370</v>
      </c>
      <c r="M6" s="934">
        <f>L6/1000000</f>
        <v>2.3823699999999999</v>
      </c>
      <c r="N6" s="498"/>
      <c r="O6" s="524"/>
      <c r="P6" s="525"/>
      <c r="Q6" s="526"/>
      <c r="S6" s="314" t="s">
        <v>57</v>
      </c>
      <c r="T6" s="292">
        <v>0.83809999999999996</v>
      </c>
      <c r="U6" s="716">
        <v>1.0349999999999999</v>
      </c>
      <c r="V6" s="292"/>
      <c r="X6" s="544" t="s">
        <v>57</v>
      </c>
      <c r="Y6" s="545">
        <v>0.84299999999999997</v>
      </c>
      <c r="AA6" s="544" t="s">
        <v>57</v>
      </c>
      <c r="AB6" s="546">
        <v>0.82979999999999998</v>
      </c>
    </row>
    <row r="7" spans="1:28" s="72" customFormat="1" ht="12.75">
      <c r="B7" s="283" t="s">
        <v>58</v>
      </c>
      <c r="C7" s="701">
        <v>6839620</v>
      </c>
      <c r="D7" s="410">
        <f>C7*$Y$7/1000</f>
        <v>6449.7616599999992</v>
      </c>
      <c r="E7" s="411">
        <f>D7*$U$7</f>
        <v>6191.7711935999987</v>
      </c>
      <c r="F7" s="701">
        <v>28137247</v>
      </c>
      <c r="G7" s="443">
        <f t="shared" ref="G7:G14" si="0">F7/1000000</f>
        <v>28.137246999999999</v>
      </c>
      <c r="H7" s="444">
        <f>G7*$U$8</f>
        <v>2419.803242</v>
      </c>
      <c r="I7" s="489">
        <f>C7/F7</f>
        <v>0.24308063969442356</v>
      </c>
      <c r="J7" s="472">
        <f>F7/C7</f>
        <v>4.113861150180858</v>
      </c>
      <c r="K7" s="490">
        <f>H7/E7</f>
        <v>0.39080953839204868</v>
      </c>
      <c r="L7" s="932"/>
      <c r="M7" s="935"/>
      <c r="N7" s="495"/>
      <c r="O7" s="527"/>
      <c r="P7" s="528"/>
      <c r="Q7" s="529"/>
      <c r="S7" s="314" t="s">
        <v>58</v>
      </c>
      <c r="T7" s="292">
        <v>0.93600000000000005</v>
      </c>
      <c r="U7" s="716">
        <v>0.96</v>
      </c>
      <c r="V7" s="292"/>
      <c r="X7" s="544" t="s">
        <v>58</v>
      </c>
      <c r="Y7" s="545">
        <v>0.94299999999999995</v>
      </c>
      <c r="AA7" s="544" t="s">
        <v>58</v>
      </c>
      <c r="AB7" s="545">
        <v>0.93600000000000005</v>
      </c>
    </row>
    <row r="8" spans="1:28" s="72" customFormat="1">
      <c r="A8" s="280"/>
      <c r="B8" s="281" t="s">
        <v>109</v>
      </c>
      <c r="C8" s="412"/>
      <c r="D8" s="413"/>
      <c r="E8" s="414">
        <f>SUM(E6:E7)</f>
        <v>6264.9045626999987</v>
      </c>
      <c r="F8" s="445">
        <f>SUM(F6:F7)</f>
        <v>28392810</v>
      </c>
      <c r="G8" s="446">
        <f>SUM(G6:G7)</f>
        <v>28.392809999999997</v>
      </c>
      <c r="H8" s="447">
        <f>SUM(H6:H7)</f>
        <v>2441.7816600000001</v>
      </c>
      <c r="I8" s="243"/>
      <c r="J8" s="243"/>
      <c r="K8" s="470">
        <f>H8/E8</f>
        <v>0.38975560370670043</v>
      </c>
      <c r="L8" s="496">
        <f>L6</f>
        <v>2382370</v>
      </c>
      <c r="M8" s="497">
        <f>L8/1000000</f>
        <v>2.3823699999999999</v>
      </c>
      <c r="N8" s="498">
        <f>M8*86</f>
        <v>204.88381999999999</v>
      </c>
      <c r="O8" s="717">
        <f>F8-L8</f>
        <v>26010440</v>
      </c>
      <c r="P8" s="531">
        <f>O8/1000000</f>
        <v>26.010439999999999</v>
      </c>
      <c r="Q8" s="432">
        <f>P8*86</f>
        <v>2236.8978400000001</v>
      </c>
      <c r="S8" s="314" t="s">
        <v>78</v>
      </c>
      <c r="T8" s="292"/>
      <c r="U8" s="292">
        <v>86</v>
      </c>
      <c r="V8" s="315"/>
      <c r="X8" s="72" t="s">
        <v>299</v>
      </c>
      <c r="AA8" s="72" t="s">
        <v>300</v>
      </c>
      <c r="AB8"/>
    </row>
    <row r="9" spans="1:28" s="72" customFormat="1" ht="8.25" customHeight="1">
      <c r="A9" s="280"/>
      <c r="B9" s="281"/>
      <c r="C9" s="412"/>
      <c r="D9" s="413"/>
      <c r="E9" s="414"/>
      <c r="F9" s="445"/>
      <c r="G9" s="446"/>
      <c r="H9" s="447"/>
      <c r="I9" s="243"/>
      <c r="J9" s="243"/>
      <c r="K9" s="470"/>
      <c r="L9" s="496"/>
      <c r="M9" s="497"/>
      <c r="N9" s="498"/>
      <c r="O9" s="530"/>
      <c r="P9" s="531"/>
      <c r="Q9" s="432"/>
      <c r="S9" s="711"/>
      <c r="T9" s="306"/>
      <c r="U9" s="306"/>
      <c r="V9" s="315"/>
      <c r="AB9"/>
    </row>
    <row r="10" spans="1:28" s="72" customFormat="1" ht="15" customHeight="1">
      <c r="A10" s="282" t="s">
        <v>289</v>
      </c>
      <c r="B10" s="281" t="s">
        <v>57</v>
      </c>
      <c r="C10" s="699">
        <v>45780</v>
      </c>
      <c r="D10" s="415">
        <f>C10*$Y$6/1000</f>
        <v>38.59254</v>
      </c>
      <c r="E10" s="416">
        <f>D10*$U$6</f>
        <v>39.943278899999996</v>
      </c>
      <c r="F10" s="699">
        <v>186170</v>
      </c>
      <c r="G10" s="448">
        <f t="shared" si="0"/>
        <v>0.18617</v>
      </c>
      <c r="H10" s="449">
        <f>G10*$U$8</f>
        <v>16.010619999999999</v>
      </c>
      <c r="I10" s="468">
        <f>C10/F10</f>
        <v>0.24590428103346404</v>
      </c>
      <c r="J10" s="469">
        <f>F10/C10</f>
        <v>4.0666229794670166</v>
      </c>
      <c r="K10" s="470">
        <f t="shared" ref="K10:K15" si="1">H10/E10</f>
        <v>0.40083389348389226</v>
      </c>
      <c r="L10" s="931">
        <v>9474737</v>
      </c>
      <c r="M10" s="934">
        <f>L10/1000000</f>
        <v>9.4747369999999993</v>
      </c>
      <c r="N10" s="494"/>
      <c r="O10" s="524"/>
      <c r="P10" s="525"/>
      <c r="Q10" s="526"/>
      <c r="T10" s="72" t="s">
        <v>303</v>
      </c>
    </row>
    <row r="11" spans="1:28" s="72" customFormat="1" ht="12.75">
      <c r="B11" s="283" t="s">
        <v>58</v>
      </c>
      <c r="C11" s="702">
        <v>80263117</v>
      </c>
      <c r="D11" s="417">
        <f>C11*$Y$7/1000</f>
        <v>75688.119330999994</v>
      </c>
      <c r="E11" s="418">
        <f>D11*$U$7</f>
        <v>72660.594557759992</v>
      </c>
      <c r="F11" s="702">
        <v>350750606</v>
      </c>
      <c r="G11" s="450">
        <f t="shared" si="0"/>
        <v>350.750606</v>
      </c>
      <c r="H11" s="451">
        <f>G11*$U$8</f>
        <v>30164.552115999999</v>
      </c>
      <c r="I11" s="471">
        <f>C11/F11</f>
        <v>0.22883243999299036</v>
      </c>
      <c r="J11" s="472">
        <f>F11/C11</f>
        <v>4.3700097767197352</v>
      </c>
      <c r="K11" s="473">
        <f t="shared" si="1"/>
        <v>0.41514320519385967</v>
      </c>
      <c r="L11" s="932"/>
      <c r="M11" s="935"/>
      <c r="N11" s="495"/>
      <c r="O11" s="527"/>
      <c r="P11" s="528"/>
      <c r="Q11" s="529"/>
      <c r="V11" s="285"/>
    </row>
    <row r="12" spans="1:28" s="72" customFormat="1" ht="12.75">
      <c r="A12" s="281"/>
      <c r="B12" s="281" t="s">
        <v>109</v>
      </c>
      <c r="C12" s="412"/>
      <c r="D12" s="415"/>
      <c r="E12" s="419">
        <f>SUM(E10:E11)</f>
        <v>72700.537836659991</v>
      </c>
      <c r="F12" s="445">
        <f>SUM(F10:F11)</f>
        <v>350936776</v>
      </c>
      <c r="G12" s="452">
        <f>SUM(G10:G11)</f>
        <v>350.93677600000001</v>
      </c>
      <c r="H12" s="453">
        <f>SUM(H10:H11)</f>
        <v>30180.562736</v>
      </c>
      <c r="I12" s="468"/>
      <c r="J12" s="243"/>
      <c r="K12" s="470">
        <f t="shared" si="1"/>
        <v>0.41513534334241392</v>
      </c>
      <c r="L12" s="496">
        <f>L10</f>
        <v>9474737</v>
      </c>
      <c r="M12" s="499">
        <f>L12/1000000</f>
        <v>9.4747369999999993</v>
      </c>
      <c r="N12" s="500">
        <f>M12*86</f>
        <v>814.82738199999994</v>
      </c>
      <c r="O12" s="717">
        <f>F12-L12</f>
        <v>341462039</v>
      </c>
      <c r="P12" s="532">
        <f>O12/1000000</f>
        <v>341.462039</v>
      </c>
      <c r="Q12" s="433">
        <f>P12*86</f>
        <v>29365.735354</v>
      </c>
    </row>
    <row r="13" spans="1:28" s="72" customFormat="1" ht="8.25" customHeight="1">
      <c r="A13" s="281"/>
      <c r="B13" s="281"/>
      <c r="C13" s="712"/>
      <c r="D13" s="415"/>
      <c r="E13" s="419"/>
      <c r="F13" s="713"/>
      <c r="G13" s="452"/>
      <c r="H13" s="453"/>
      <c r="I13" s="468"/>
      <c r="J13" s="243"/>
      <c r="K13" s="470"/>
      <c r="L13" s="496"/>
      <c r="M13" s="499"/>
      <c r="N13" s="500"/>
      <c r="O13" s="530"/>
      <c r="P13" s="532"/>
      <c r="Q13" s="433"/>
    </row>
    <row r="14" spans="1:28" s="72" customFormat="1" ht="12.75">
      <c r="A14" s="282" t="s">
        <v>288</v>
      </c>
      <c r="B14" s="281" t="s">
        <v>57</v>
      </c>
      <c r="C14" s="704">
        <v>12286928</v>
      </c>
      <c r="D14" s="415">
        <f>C14*$Y$6/1000</f>
        <v>10357.880304</v>
      </c>
      <c r="E14" s="416">
        <f>D14*$U$6</f>
        <v>10720.40611464</v>
      </c>
      <c r="F14" s="704">
        <v>44679453</v>
      </c>
      <c r="G14" s="448">
        <f t="shared" si="0"/>
        <v>44.679453000000002</v>
      </c>
      <c r="H14" s="449">
        <f>G14*$U$8</f>
        <v>3842.4329580000003</v>
      </c>
      <c r="I14" s="468">
        <f>C14/F14</f>
        <v>0.2750017552811132</v>
      </c>
      <c r="J14" s="469">
        <f>F14/C14</f>
        <v>3.6363404261830135</v>
      </c>
      <c r="K14" s="470">
        <f t="shared" si="1"/>
        <v>0.35842233185109446</v>
      </c>
      <c r="L14" s="707">
        <v>960089</v>
      </c>
      <c r="M14" s="499">
        <f>L14/1000000</f>
        <v>0.96008899999999997</v>
      </c>
      <c r="N14" s="500">
        <f>M14*86</f>
        <v>82.567654000000005</v>
      </c>
      <c r="O14" s="717">
        <f>F14-L14</f>
        <v>43719364</v>
      </c>
      <c r="P14" s="532">
        <f>O14/1000000</f>
        <v>43.719363999999999</v>
      </c>
      <c r="Q14" s="433">
        <f>P14*86</f>
        <v>3759.8653039999999</v>
      </c>
      <c r="R14" s="72">
        <v>51915917</v>
      </c>
      <c r="S14" s="700">
        <v>2560956</v>
      </c>
    </row>
    <row r="15" spans="1:28" s="72" customFormat="1" ht="12.75">
      <c r="A15" s="689" t="s">
        <v>371</v>
      </c>
      <c r="B15" s="283" t="s">
        <v>57</v>
      </c>
      <c r="C15" s="715">
        <v>31262</v>
      </c>
      <c r="D15" s="417">
        <f>C15*$Y$6/1000</f>
        <v>26.353865999999996</v>
      </c>
      <c r="E15" s="418">
        <f>D15*$U$6</f>
        <v>27.276251309999996</v>
      </c>
      <c r="F15" s="706">
        <v>109904</v>
      </c>
      <c r="G15" s="450">
        <f>F15/1000000</f>
        <v>0.109904</v>
      </c>
      <c r="H15" s="451">
        <f>G15*$U$8</f>
        <v>9.4517439999999997</v>
      </c>
      <c r="I15" s="471">
        <f>C15/F15</f>
        <v>0.28444824574173827</v>
      </c>
      <c r="J15" s="472">
        <f>F15/C15</f>
        <v>3.5155780180410723</v>
      </c>
      <c r="K15" s="473">
        <f t="shared" si="1"/>
        <v>0.34651917129590348</v>
      </c>
      <c r="L15" s="710">
        <v>1000</v>
      </c>
      <c r="M15" s="499">
        <f>L15/1000000</f>
        <v>1E-3</v>
      </c>
      <c r="N15" s="500">
        <f>M15*86</f>
        <v>8.6000000000000007E-2</v>
      </c>
      <c r="O15" s="533">
        <f>F15-L15</f>
        <v>108904</v>
      </c>
      <c r="P15" s="534">
        <f>O15/1000000</f>
        <v>0.108904</v>
      </c>
      <c r="Q15" s="434">
        <f>P15*86</f>
        <v>9.3657439999999994</v>
      </c>
      <c r="S15" s="698">
        <v>9474737</v>
      </c>
    </row>
    <row r="16" spans="1:28" s="72" customFormat="1" ht="16.5" customHeight="1" thickBot="1">
      <c r="A16" s="689"/>
      <c r="B16" s="281" t="s">
        <v>109</v>
      </c>
      <c r="C16" s="704"/>
      <c r="D16" s="415"/>
      <c r="E16" s="416">
        <f>SUM(E14:E15)</f>
        <v>10747.682365950001</v>
      </c>
      <c r="F16" s="714">
        <f>SUM(F14:F15)</f>
        <v>44789357</v>
      </c>
      <c r="G16" s="448"/>
      <c r="H16" s="449"/>
      <c r="I16" s="468"/>
      <c r="J16" s="469"/>
      <c r="K16" s="470"/>
      <c r="L16" s="496">
        <f>SUM(L14:L15)</f>
        <v>961089</v>
      </c>
      <c r="M16" s="499"/>
      <c r="N16" s="500"/>
      <c r="O16" s="530">
        <f>SUM(O14:O15)</f>
        <v>43828268</v>
      </c>
      <c r="P16" s="532"/>
      <c r="Q16" s="433"/>
      <c r="S16" s="705">
        <f>SUM(S14:S15)</f>
        <v>12035693</v>
      </c>
    </row>
    <row r="17" spans="1:21" s="72" customFormat="1" ht="12.75">
      <c r="A17" s="317" t="s">
        <v>375</v>
      </c>
      <c r="B17" s="284"/>
      <c r="C17" s="420"/>
      <c r="D17" s="421"/>
      <c r="E17" s="718">
        <f>E8+E12+E16</f>
        <v>89713.12476531</v>
      </c>
      <c r="F17" s="718">
        <f>F8+F12+F16</f>
        <v>424118943</v>
      </c>
      <c r="G17" s="454">
        <f>G8+G12+G14+G15</f>
        <v>424.118943</v>
      </c>
      <c r="H17" s="455">
        <f>H8+H12+H14+H15</f>
        <v>36474.229097999996</v>
      </c>
      <c r="I17" s="474"/>
      <c r="J17" s="474"/>
      <c r="K17" s="475">
        <f>H17/E17</f>
        <v>0.40656513964279772</v>
      </c>
      <c r="L17" s="718">
        <f>L8+L12+L16</f>
        <v>12818196</v>
      </c>
      <c r="M17" s="501">
        <f>M8+M12+M14</f>
        <v>12.817195999999999</v>
      </c>
      <c r="N17" s="502">
        <f>N8+N12+N14</f>
        <v>1102.2788559999999</v>
      </c>
      <c r="O17" s="435">
        <f>O8+O12+O16</f>
        <v>411300747</v>
      </c>
      <c r="P17" s="436">
        <f>P8+P12+P14</f>
        <v>411.19184300000001</v>
      </c>
      <c r="Q17" s="437">
        <f>Q8+Q12+Q14</f>
        <v>35362.498498000001</v>
      </c>
    </row>
    <row r="18" spans="1:21">
      <c r="F18" s="10"/>
      <c r="G18" s="9">
        <f>G7+G11</f>
        <v>378.88785300000001</v>
      </c>
    </row>
    <row r="19" spans="1:21" s="72" customFormat="1">
      <c r="A19" s="71" t="s">
        <v>237</v>
      </c>
      <c r="C19" s="422" t="s">
        <v>74</v>
      </c>
      <c r="D19" s="423" t="s">
        <v>286</v>
      </c>
      <c r="E19" s="285"/>
      <c r="F19" s="936" t="s">
        <v>250</v>
      </c>
      <c r="G19" s="937"/>
      <c r="H19" s="945"/>
      <c r="I19" s="933" t="s">
        <v>70</v>
      </c>
      <c r="J19" s="933"/>
      <c r="K19" s="933"/>
      <c r="L19" s="925" t="s">
        <v>287</v>
      </c>
      <c r="M19" s="926"/>
      <c r="N19" s="927"/>
      <c r="O19" s="928" t="s">
        <v>60</v>
      </c>
      <c r="P19" s="929"/>
      <c r="Q19" s="930"/>
      <c r="S19" s="690"/>
    </row>
    <row r="20" spans="1:21" s="72" customFormat="1" ht="12.75">
      <c r="A20" s="400" t="s">
        <v>257</v>
      </c>
      <c r="C20" s="424" t="s">
        <v>61</v>
      </c>
      <c r="D20" s="425" t="s">
        <v>75</v>
      </c>
      <c r="E20" s="285"/>
      <c r="F20" s="438" t="s">
        <v>62</v>
      </c>
      <c r="G20" s="439" t="s">
        <v>64</v>
      </c>
      <c r="H20" s="440" t="s">
        <v>53</v>
      </c>
      <c r="I20" s="476" t="s">
        <v>246</v>
      </c>
      <c r="J20" s="477" t="s">
        <v>103</v>
      </c>
      <c r="K20" s="242"/>
      <c r="L20" s="503" t="s">
        <v>62</v>
      </c>
      <c r="M20" s="504" t="s">
        <v>64</v>
      </c>
      <c r="N20" s="505" t="s">
        <v>53</v>
      </c>
      <c r="O20" s="521" t="s">
        <v>62</v>
      </c>
      <c r="P20" s="522" t="s">
        <v>64</v>
      </c>
      <c r="Q20" s="523" t="s">
        <v>53</v>
      </c>
      <c r="S20" s="690"/>
    </row>
    <row r="21" spans="1:21" s="72" customFormat="1">
      <c r="A21" s="400" t="s">
        <v>258</v>
      </c>
      <c r="C21" s="426">
        <v>6000</v>
      </c>
      <c r="D21" s="427">
        <f>365*24</f>
        <v>8760</v>
      </c>
      <c r="E21" s="287"/>
      <c r="F21" s="706">
        <v>5078618</v>
      </c>
      <c r="G21" s="695">
        <f>F21/1000000</f>
        <v>5.0786179999999996</v>
      </c>
      <c r="H21" s="451">
        <f>G21*$U$8</f>
        <v>436.76114799999999</v>
      </c>
      <c r="I21" s="478">
        <f>F21/(C21*D21)</f>
        <v>9.6625152207001519E-2</v>
      </c>
      <c r="J21" s="479">
        <f>F21/C21</f>
        <v>846.43633333333332</v>
      </c>
      <c r="K21" s="246"/>
      <c r="L21" s="709">
        <v>140000</v>
      </c>
      <c r="M21" s="506">
        <f>L21/1000000</f>
        <v>0.14000000000000001</v>
      </c>
      <c r="N21" s="507">
        <f>M21*86</f>
        <v>12.040000000000001</v>
      </c>
      <c r="O21" s="719">
        <f>F21-L21</f>
        <v>4938618</v>
      </c>
      <c r="P21" s="534">
        <f>O21/1000000</f>
        <v>4.938618</v>
      </c>
      <c r="Q21" s="434">
        <f>P21*86</f>
        <v>424.72114799999997</v>
      </c>
      <c r="S21" s="690"/>
    </row>
    <row r="22" spans="1:21">
      <c r="F22" s="10"/>
      <c r="S22" s="690"/>
      <c r="T22" s="72"/>
      <c r="U22" s="72"/>
    </row>
    <row r="23" spans="1:21" s="72" customFormat="1">
      <c r="A23" s="71" t="s">
        <v>76</v>
      </c>
      <c r="B23" s="318"/>
      <c r="C23" s="680" t="s">
        <v>74</v>
      </c>
      <c r="D23" s="681" t="s">
        <v>286</v>
      </c>
      <c r="E23" s="285"/>
      <c r="F23" s="936" t="s">
        <v>250</v>
      </c>
      <c r="G23" s="937"/>
      <c r="H23" s="945"/>
      <c r="I23" s="923" t="s">
        <v>70</v>
      </c>
      <c r="J23" s="923"/>
      <c r="K23" s="924"/>
      <c r="L23" s="925" t="s">
        <v>287</v>
      </c>
      <c r="M23" s="926"/>
      <c r="N23" s="927"/>
      <c r="O23" s="928" t="s">
        <v>60</v>
      </c>
      <c r="P23" s="929"/>
      <c r="Q23" s="930"/>
    </row>
    <row r="24" spans="1:21" s="72" customFormat="1" ht="12.75">
      <c r="A24" s="401" t="s">
        <v>251</v>
      </c>
      <c r="B24" s="318"/>
      <c r="C24" s="405" t="s">
        <v>61</v>
      </c>
      <c r="D24" s="407" t="s">
        <v>75</v>
      </c>
      <c r="E24" s="285"/>
      <c r="F24" s="438" t="s">
        <v>62</v>
      </c>
      <c r="G24" s="439" t="s">
        <v>64</v>
      </c>
      <c r="H24" s="440" t="s">
        <v>53</v>
      </c>
      <c r="I24" s="477" t="s">
        <v>246</v>
      </c>
      <c r="J24" s="477" t="s">
        <v>103</v>
      </c>
      <c r="K24" s="241"/>
      <c r="L24" s="503" t="s">
        <v>62</v>
      </c>
      <c r="M24" s="504" t="s">
        <v>64</v>
      </c>
      <c r="N24" s="505" t="s">
        <v>53</v>
      </c>
      <c r="O24" s="522" t="s">
        <v>62</v>
      </c>
      <c r="P24" s="522" t="s">
        <v>64</v>
      </c>
      <c r="Q24" s="523" t="s">
        <v>53</v>
      </c>
    </row>
    <row r="25" spans="1:21" s="72" customFormat="1" ht="12.75">
      <c r="A25" s="400" t="s">
        <v>431</v>
      </c>
      <c r="B25" s="318"/>
      <c r="C25" s="708">
        <v>6000</v>
      </c>
      <c r="D25" s="425">
        <f>365*24</f>
        <v>8760</v>
      </c>
      <c r="E25" s="399"/>
      <c r="F25" s="707">
        <v>6403205</v>
      </c>
      <c r="G25" s="441">
        <f>F25/1000000</f>
        <v>6.4032049999999998</v>
      </c>
      <c r="H25" s="449">
        <f>G25*$U$8</f>
        <v>550.67562999999996</v>
      </c>
      <c r="I25" s="480">
        <f>F25/(C25*D25)</f>
        <v>0.12182657914764079</v>
      </c>
      <c r="J25" s="481">
        <f>F25/C25</f>
        <v>1067.2008333333333</v>
      </c>
      <c r="K25" s="243"/>
      <c r="L25" s="708">
        <v>44000</v>
      </c>
      <c r="M25" s="802">
        <f>L25/1000000</f>
        <v>4.3999999999999997E-2</v>
      </c>
      <c r="N25" s="498">
        <f>M25*86</f>
        <v>3.7839999999999998</v>
      </c>
      <c r="O25" s="535">
        <f>F25-L25</f>
        <v>6359205</v>
      </c>
      <c r="P25" s="532">
        <f>O25/1000000</f>
        <v>6.3592050000000002</v>
      </c>
      <c r="Q25" s="433">
        <f>P25*86</f>
        <v>546.89162999999996</v>
      </c>
    </row>
    <row r="26" spans="1:21" s="72" customFormat="1" ht="12.75">
      <c r="A26" s="400" t="s">
        <v>432</v>
      </c>
      <c r="B26" s="318"/>
      <c r="C26" s="708">
        <v>5400</v>
      </c>
      <c r="D26" s="425">
        <f>365*24</f>
        <v>8760</v>
      </c>
      <c r="E26" s="399"/>
      <c r="F26" s="707">
        <v>6169014</v>
      </c>
      <c r="G26" s="441">
        <f>F26/1000000</f>
        <v>6.1690139999999998</v>
      </c>
      <c r="H26" s="449">
        <f>G26*$U$8</f>
        <v>530.53520400000002</v>
      </c>
      <c r="I26" s="480">
        <f>F26/(C26*D26)</f>
        <v>0.13041210045662099</v>
      </c>
      <c r="J26" s="481">
        <f>F26/C26</f>
        <v>1142.4100000000001</v>
      </c>
      <c r="K26" s="243"/>
      <c r="L26" s="708">
        <v>3000</v>
      </c>
      <c r="M26" s="802">
        <f>L26/1000000</f>
        <v>3.0000000000000001E-3</v>
      </c>
      <c r="N26" s="498">
        <f>M26*86</f>
        <v>0.25800000000000001</v>
      </c>
      <c r="O26" s="535">
        <f>F26-L26</f>
        <v>6166014</v>
      </c>
      <c r="P26" s="532">
        <f>O26/1000000</f>
        <v>6.1660139999999997</v>
      </c>
      <c r="Q26" s="433">
        <f>P26*86</f>
        <v>530.27720399999998</v>
      </c>
    </row>
    <row r="27" spans="1:21" s="72" customFormat="1" ht="12.75">
      <c r="A27" s="400" t="s">
        <v>433</v>
      </c>
      <c r="B27" s="318"/>
      <c r="C27" s="708">
        <v>822</v>
      </c>
      <c r="D27" s="425">
        <f>365*24</f>
        <v>8760</v>
      </c>
      <c r="E27" s="399"/>
      <c r="F27" s="707">
        <v>790850</v>
      </c>
      <c r="G27" s="441">
        <f>F27/1000000</f>
        <v>0.79085000000000005</v>
      </c>
      <c r="H27" s="449">
        <f>G27*$U$8</f>
        <v>68.013100000000009</v>
      </c>
      <c r="I27" s="480">
        <f>F27/(C27*D27)</f>
        <v>0.10982929484829294</v>
      </c>
      <c r="J27" s="481">
        <f>F27/C27</f>
        <v>962.10462287104622</v>
      </c>
      <c r="K27" s="243"/>
      <c r="L27" s="491">
        <v>0</v>
      </c>
      <c r="M27" s="497">
        <f>L27/1000000</f>
        <v>0</v>
      </c>
      <c r="N27" s="498">
        <f>M27*86</f>
        <v>0</v>
      </c>
      <c r="O27" s="535">
        <f>F27-L27</f>
        <v>790850</v>
      </c>
      <c r="P27" s="532">
        <f>O27/1000000</f>
        <v>0.79085000000000005</v>
      </c>
      <c r="Q27" s="433">
        <f>P27*86</f>
        <v>68.013100000000009</v>
      </c>
    </row>
    <row r="28" spans="1:21" s="72" customFormat="1" ht="12.75">
      <c r="A28" s="400" t="s">
        <v>434</v>
      </c>
      <c r="B28" s="318"/>
      <c r="C28" s="831">
        <v>191</v>
      </c>
      <c r="D28" s="427">
        <f>365*24</f>
        <v>8760</v>
      </c>
      <c r="E28" s="399"/>
      <c r="F28" s="720">
        <v>179851</v>
      </c>
      <c r="G28" s="443">
        <f>F28/1000000</f>
        <v>0.17985100000000001</v>
      </c>
      <c r="H28" s="451">
        <f>G28*$U$8</f>
        <v>15.467186000000002</v>
      </c>
      <c r="I28" s="480">
        <f>F28/(C28*D28)</f>
        <v>0.10749181190083434</v>
      </c>
      <c r="J28" s="481">
        <f>F28/C28</f>
        <v>941.62827225130889</v>
      </c>
      <c r="K28" s="243"/>
      <c r="L28" s="508">
        <v>0</v>
      </c>
      <c r="M28" s="506">
        <f>L28/1000000</f>
        <v>0</v>
      </c>
      <c r="N28" s="507">
        <f>M28*86</f>
        <v>0</v>
      </c>
      <c r="O28" s="535">
        <f>F28-L28</f>
        <v>179851</v>
      </c>
      <c r="P28" s="532">
        <f>O28/1000000</f>
        <v>0.17985100000000001</v>
      </c>
      <c r="Q28" s="433">
        <f>P28*86</f>
        <v>15.467186000000002</v>
      </c>
    </row>
    <row r="29" spans="1:21" s="72" customFormat="1">
      <c r="A29" s="308" t="s">
        <v>109</v>
      </c>
      <c r="C29" s="686">
        <f>SUM(C25:C28)</f>
        <v>12413</v>
      </c>
      <c r="D29" s="427">
        <v>8760</v>
      </c>
      <c r="F29" s="460">
        <f>SUM(F25:F28)</f>
        <v>13542920</v>
      </c>
      <c r="G29" s="897">
        <f>SUM(G25:G28)</f>
        <v>13.542920000000001</v>
      </c>
      <c r="H29" s="898">
        <f>SUM(H25:H28)</f>
        <v>1164.6911200000002</v>
      </c>
      <c r="I29" s="482">
        <f>F29/(C29*D29)</f>
        <v>0.12454647819140854</v>
      </c>
      <c r="J29" s="483">
        <f>F29/C29</f>
        <v>1091.027148956739</v>
      </c>
      <c r="K29" s="243"/>
      <c r="L29" s="397"/>
      <c r="M29" s="397"/>
      <c r="N29" s="397"/>
      <c r="O29" s="536">
        <f>SUM(O25:O27)</f>
        <v>13316069</v>
      </c>
      <c r="P29" s="537">
        <f>SUM(P25:P27)</f>
        <v>13.316069000000001</v>
      </c>
      <c r="Q29" s="538">
        <f>SUM(Q25:Q27)</f>
        <v>1145.1819340000002</v>
      </c>
    </row>
    <row r="30" spans="1:21" s="72" customFormat="1">
      <c r="A30" s="401" t="s">
        <v>252</v>
      </c>
      <c r="B30" s="72" t="s">
        <v>430</v>
      </c>
      <c r="C30"/>
      <c r="D30"/>
      <c r="F30"/>
      <c r="G30"/>
      <c r="H30"/>
      <c r="I30" s="467" t="s">
        <v>246</v>
      </c>
      <c r="J30" s="467" t="s">
        <v>103</v>
      </c>
      <c r="K30" s="484"/>
      <c r="L30" s="308" t="s">
        <v>249</v>
      </c>
      <c r="M30" s="72" t="s">
        <v>73</v>
      </c>
      <c r="O30" s="290"/>
      <c r="P30" s="290"/>
      <c r="Q30" s="290"/>
    </row>
    <row r="31" spans="1:21" s="72" customFormat="1" ht="12.75">
      <c r="A31" s="318" t="s">
        <v>283</v>
      </c>
      <c r="B31" s="72">
        <v>2010</v>
      </c>
      <c r="C31" s="682">
        <v>25.38</v>
      </c>
      <c r="D31" s="407">
        <v>8760</v>
      </c>
      <c r="F31" s="683">
        <v>38171</v>
      </c>
      <c r="G31" s="684">
        <f>F31/1000000</f>
        <v>3.8170999999999997E-2</v>
      </c>
      <c r="H31" s="685">
        <f>G31*$U$8</f>
        <v>3.2827059999999997</v>
      </c>
      <c r="I31" s="480">
        <f>F31/(C31*D31)</f>
        <v>0.17168715883862101</v>
      </c>
      <c r="J31" s="485">
        <f>F31/C31</f>
        <v>1503.97951142632</v>
      </c>
      <c r="K31" s="244"/>
      <c r="L31" s="308" t="s">
        <v>248</v>
      </c>
      <c r="M31" s="72" t="s">
        <v>247</v>
      </c>
      <c r="N31" s="288"/>
      <c r="O31" s="290"/>
      <c r="P31" s="290"/>
      <c r="Q31" s="290"/>
    </row>
    <row r="32" spans="1:21" s="72" customFormat="1">
      <c r="A32" s="318" t="s">
        <v>285</v>
      </c>
      <c r="C32" s="428"/>
      <c r="D32" s="429"/>
      <c r="F32" s="457"/>
      <c r="G32" s="458"/>
      <c r="H32" s="442"/>
      <c r="I32" s="243"/>
      <c r="J32" s="243"/>
      <c r="K32" s="244"/>
      <c r="L32" s="398"/>
      <c r="N32" s="397"/>
      <c r="O32" s="397"/>
    </row>
    <row r="33" spans="1:23" s="72" customFormat="1">
      <c r="A33" s="318" t="s">
        <v>284</v>
      </c>
      <c r="B33" s="72">
        <v>2019</v>
      </c>
      <c r="C33" s="895">
        <v>752</v>
      </c>
      <c r="D33" s="425">
        <v>8760</v>
      </c>
      <c r="F33" s="894"/>
      <c r="G33" s="458">
        <f>F33/1000000</f>
        <v>0</v>
      </c>
      <c r="H33" s="442">
        <f>G33*$U$8</f>
        <v>0</v>
      </c>
      <c r="I33" s="243"/>
      <c r="J33" s="485">
        <v>1400</v>
      </c>
      <c r="K33" s="244"/>
      <c r="L33" s="398"/>
      <c r="N33" s="397"/>
      <c r="O33" s="397"/>
      <c r="Q33" s="289"/>
    </row>
    <row r="34" spans="1:23" s="72" customFormat="1">
      <c r="A34" s="318" t="s">
        <v>402</v>
      </c>
      <c r="B34" s="72">
        <v>2021</v>
      </c>
      <c r="C34" s="895">
        <v>2500</v>
      </c>
      <c r="D34" s="425">
        <v>8760</v>
      </c>
      <c r="F34" s="894"/>
      <c r="G34" s="458">
        <f t="shared" ref="G34:G36" si="2">F34/1000000</f>
        <v>0</v>
      </c>
      <c r="H34" s="442">
        <f t="shared" ref="H34:H36" si="3">G34*$U$8</f>
        <v>0</v>
      </c>
      <c r="I34" s="243"/>
      <c r="J34" s="485">
        <v>1400</v>
      </c>
      <c r="K34" s="244"/>
      <c r="L34" s="398"/>
      <c r="N34" s="397"/>
      <c r="O34" s="397"/>
      <c r="Q34" s="289"/>
    </row>
    <row r="35" spans="1:23" s="72" customFormat="1">
      <c r="A35" s="72" t="s">
        <v>435</v>
      </c>
      <c r="B35" s="72">
        <v>2021</v>
      </c>
      <c r="C35" s="895">
        <v>250</v>
      </c>
      <c r="D35" s="425">
        <v>8760</v>
      </c>
      <c r="F35" s="894"/>
      <c r="G35" s="458">
        <f t="shared" si="2"/>
        <v>0</v>
      </c>
      <c r="H35" s="442">
        <f t="shared" si="3"/>
        <v>0</v>
      </c>
      <c r="J35" s="485">
        <v>1400</v>
      </c>
      <c r="L35" s="398"/>
      <c r="N35" s="397"/>
      <c r="O35" s="397"/>
      <c r="Q35" s="289"/>
    </row>
    <row r="36" spans="1:23" s="72" customFormat="1">
      <c r="A36" s="318" t="s">
        <v>429</v>
      </c>
      <c r="B36" s="72">
        <v>2021</v>
      </c>
      <c r="C36" s="896">
        <v>150</v>
      </c>
      <c r="D36" s="427">
        <v>8760</v>
      </c>
      <c r="F36" s="456"/>
      <c r="G36" s="459">
        <f t="shared" si="2"/>
        <v>0</v>
      </c>
      <c r="H36" s="444">
        <f t="shared" si="3"/>
        <v>0</v>
      </c>
      <c r="I36" s="243"/>
      <c r="J36" s="485">
        <v>1400</v>
      </c>
      <c r="K36" s="244"/>
      <c r="L36" s="398"/>
      <c r="N36" s="397"/>
      <c r="O36" s="397"/>
      <c r="Q36" s="289"/>
    </row>
    <row r="37" spans="1:23" s="72" customFormat="1">
      <c r="A37" s="308" t="s">
        <v>56</v>
      </c>
      <c r="C37" s="430">
        <f>SUM(C31:C33)</f>
        <v>777.38</v>
      </c>
      <c r="D37" s="431">
        <v>8760</v>
      </c>
      <c r="F37" s="460">
        <f>SUM(F31:F33)</f>
        <v>38171</v>
      </c>
      <c r="G37" s="461">
        <f>SUM(G31:G33)</f>
        <v>3.8170999999999997E-2</v>
      </c>
      <c r="H37" s="462">
        <f>SUM(H31:H33)</f>
        <v>3.2827059999999997</v>
      </c>
      <c r="I37" s="245"/>
      <c r="J37" s="245"/>
      <c r="K37" s="246"/>
      <c r="L37" s="398"/>
      <c r="N37" s="397"/>
      <c r="O37" s="397"/>
      <c r="Q37" s="289"/>
    </row>
    <row r="38" spans="1:23">
      <c r="G38" s="679">
        <f>G29+G37</f>
        <v>13.581091000000001</v>
      </c>
      <c r="L38" s="398"/>
      <c r="N38" s="397"/>
      <c r="O38" s="816"/>
      <c r="P38" s="817" t="s">
        <v>392</v>
      </c>
      <c r="Q38" s="816"/>
      <c r="R38" s="816"/>
      <c r="S38" s="816"/>
      <c r="T38" s="816"/>
      <c r="U38" s="816"/>
      <c r="V38" s="816"/>
      <c r="W38" s="816"/>
    </row>
    <row r="39" spans="1:23" ht="15.75">
      <c r="A39" s="279" t="s">
        <v>253</v>
      </c>
      <c r="E39" s="72"/>
      <c r="F39" s="72"/>
      <c r="G39" s="72"/>
      <c r="N39" s="397"/>
      <c r="O39" s="816"/>
      <c r="P39" s="816"/>
      <c r="Q39" s="816"/>
      <c r="R39" s="818"/>
      <c r="S39" s="816"/>
      <c r="T39" s="816"/>
      <c r="U39" s="816"/>
      <c r="V39" s="816"/>
      <c r="W39" s="816"/>
    </row>
    <row r="40" spans="1:23">
      <c r="E40" s="72"/>
      <c r="F40" s="72"/>
      <c r="G40" s="72"/>
      <c r="O40" s="816"/>
      <c r="P40" s="819" t="s">
        <v>393</v>
      </c>
      <c r="Q40" s="819" t="s">
        <v>394</v>
      </c>
      <c r="R40" s="819" t="s">
        <v>395</v>
      </c>
      <c r="S40" s="819" t="s">
        <v>396</v>
      </c>
      <c r="T40" s="819" t="s">
        <v>397</v>
      </c>
      <c r="U40" s="816"/>
      <c r="V40" s="816"/>
      <c r="W40" s="816"/>
    </row>
    <row r="41" spans="1:23" s="72" customFormat="1" ht="12.75">
      <c r="A41" s="291" t="s">
        <v>151</v>
      </c>
      <c r="B41" s="82" t="s">
        <v>64</v>
      </c>
      <c r="C41" s="291" t="s">
        <v>142</v>
      </c>
      <c r="O41" s="820" t="s">
        <v>9</v>
      </c>
      <c r="P41" s="821">
        <f>F21</f>
        <v>5078618</v>
      </c>
      <c r="Q41" s="822">
        <f>L21</f>
        <v>140000</v>
      </c>
      <c r="R41" s="823">
        <f>P41-Q41</f>
        <v>4938618</v>
      </c>
      <c r="S41" s="824">
        <f>D62</f>
        <v>5.2542527702972998E-2</v>
      </c>
      <c r="T41" s="823">
        <f>R41*(1-S41)</f>
        <v>4679130.5269205989</v>
      </c>
      <c r="U41" s="820" t="s">
        <v>62</v>
      </c>
      <c r="V41" s="820"/>
      <c r="W41" s="820"/>
    </row>
    <row r="42" spans="1:23" s="72" customFormat="1" ht="12.75">
      <c r="A42" s="292" t="s">
        <v>254</v>
      </c>
      <c r="B42" s="309">
        <f>(F7+F11)/1000000</f>
        <v>378.88785300000001</v>
      </c>
      <c r="C42" s="293">
        <f>$B42/$B$46</f>
        <v>0.8557048793761628</v>
      </c>
      <c r="O42" s="820"/>
      <c r="P42" s="820"/>
      <c r="Q42" s="820"/>
      <c r="R42" s="820"/>
      <c r="S42" s="820"/>
      <c r="T42" s="820"/>
      <c r="U42" s="820"/>
      <c r="V42" s="820"/>
      <c r="W42" s="820"/>
    </row>
    <row r="43" spans="1:23" s="72" customFormat="1" ht="12.75">
      <c r="A43" s="292" t="s">
        <v>255</v>
      </c>
      <c r="B43" s="309">
        <f>(F6+F10+F14+F15)/1000000</f>
        <v>45.231090000000002</v>
      </c>
      <c r="C43" s="293">
        <f>$B43/$B$46</f>
        <v>0.10215282465786088</v>
      </c>
      <c r="O43" s="820" t="s">
        <v>91</v>
      </c>
      <c r="P43" s="821">
        <f>F29</f>
        <v>13542920</v>
      </c>
      <c r="Q43" s="821">
        <f>L25</f>
        <v>44000</v>
      </c>
      <c r="R43" s="821">
        <f>P43-Q43</f>
        <v>13498920</v>
      </c>
      <c r="S43" s="824">
        <f>D62</f>
        <v>5.2542527702972998E-2</v>
      </c>
      <c r="T43" s="823">
        <f>R43*(1-S43)</f>
        <v>12789652.621939784</v>
      </c>
      <c r="U43" s="820" t="s">
        <v>62</v>
      </c>
      <c r="V43" s="820"/>
      <c r="W43" s="820"/>
    </row>
    <row r="44" spans="1:23" s="72" customFormat="1" ht="12.75">
      <c r="A44" s="292" t="s">
        <v>256</v>
      </c>
      <c r="B44" s="309">
        <f>F21/1000000</f>
        <v>5.0786179999999996</v>
      </c>
      <c r="C44" s="293">
        <f>$B44/$B$46</f>
        <v>1.1469879988703699E-2</v>
      </c>
      <c r="O44" s="820"/>
      <c r="P44" s="820"/>
      <c r="Q44" s="820"/>
      <c r="R44" s="820"/>
      <c r="S44" s="820"/>
      <c r="T44" s="820"/>
      <c r="U44" s="820"/>
      <c r="V44" s="820"/>
      <c r="W44" s="820"/>
    </row>
    <row r="45" spans="1:23" s="72" customFormat="1" ht="12.75">
      <c r="A45" s="292" t="s">
        <v>91</v>
      </c>
      <c r="B45" s="309">
        <f>(F29+F37)/1000000</f>
        <v>13.581091000000001</v>
      </c>
      <c r="C45" s="293">
        <f>$B45/$B$46</f>
        <v>3.0672415977272546E-2</v>
      </c>
      <c r="O45" s="825" t="s">
        <v>109</v>
      </c>
      <c r="P45" s="820"/>
      <c r="Q45" s="820"/>
      <c r="R45" s="820"/>
      <c r="S45" s="820"/>
      <c r="T45" s="826">
        <f>T41+T43</f>
        <v>17468783.148860384</v>
      </c>
      <c r="U45" s="820" t="s">
        <v>62</v>
      </c>
      <c r="V45" s="827">
        <f>T45/1000000*86</f>
        <v>1502.3153508019932</v>
      </c>
      <c r="W45" s="820" t="s">
        <v>53</v>
      </c>
    </row>
    <row r="46" spans="1:23" s="72" customFormat="1" ht="12.75">
      <c r="A46" s="291" t="s">
        <v>56</v>
      </c>
      <c r="B46" s="806">
        <f>SUM(B42:B45)</f>
        <v>442.77865200000002</v>
      </c>
      <c r="C46" s="294">
        <f>$B46/$B$46</f>
        <v>1</v>
      </c>
      <c r="O46" s="820"/>
      <c r="P46" s="820"/>
      <c r="Q46" s="820"/>
      <c r="R46" s="820"/>
      <c r="S46" s="820"/>
      <c r="T46" s="820"/>
      <c r="U46" s="820"/>
      <c r="V46" s="820"/>
      <c r="W46" s="820"/>
    </row>
    <row r="47" spans="1:23" s="72" customFormat="1" ht="12.75">
      <c r="O47" s="820" t="s">
        <v>398</v>
      </c>
      <c r="P47" s="820"/>
      <c r="Q47" s="820"/>
      <c r="R47" s="820"/>
      <c r="S47" s="820"/>
      <c r="T47" s="821">
        <v>401657822</v>
      </c>
      <c r="U47" s="820" t="s">
        <v>62</v>
      </c>
      <c r="V47" s="823">
        <f>T47/1000000*86</f>
        <v>34542.572692000002</v>
      </c>
      <c r="W47" s="820" t="s">
        <v>53</v>
      </c>
    </row>
    <row r="48" spans="1:23" s="72" customFormat="1" ht="12.75">
      <c r="A48" s="72" t="s">
        <v>111</v>
      </c>
      <c r="H48" s="295"/>
      <c r="O48" s="820"/>
      <c r="P48" s="820"/>
      <c r="Q48" s="820"/>
      <c r="R48" s="820"/>
      <c r="S48" s="820"/>
      <c r="T48" s="820"/>
      <c r="U48" s="820"/>
      <c r="V48" s="820"/>
      <c r="W48" s="820"/>
    </row>
    <row r="49" spans="1:23" s="72" customFormat="1" ht="12.75">
      <c r="B49" s="296" t="s">
        <v>83</v>
      </c>
      <c r="C49" s="296" t="s">
        <v>68</v>
      </c>
      <c r="D49" s="72" t="s">
        <v>371</v>
      </c>
      <c r="E49" s="72" t="s">
        <v>388</v>
      </c>
      <c r="F49" s="296" t="s">
        <v>56</v>
      </c>
      <c r="G49" s="295"/>
      <c r="O49" s="820" t="s">
        <v>399</v>
      </c>
      <c r="P49" s="820"/>
      <c r="Q49" s="820"/>
      <c r="R49" s="820"/>
      <c r="S49" s="820"/>
      <c r="T49" s="829">
        <f>T45/T47</f>
        <v>4.3491704112413335E-2</v>
      </c>
      <c r="U49" s="820"/>
      <c r="V49" s="820"/>
      <c r="W49" s="820"/>
    </row>
    <row r="50" spans="1:23" s="72" customFormat="1" ht="12.75">
      <c r="A50" s="304" t="s">
        <v>104</v>
      </c>
      <c r="B50" s="310">
        <f>G8+G12</f>
        <v>379.32958600000001</v>
      </c>
      <c r="C50" s="311">
        <f>G14</f>
        <v>44.679453000000002</v>
      </c>
      <c r="D50" s="801">
        <f>G15</f>
        <v>0.109904</v>
      </c>
      <c r="E50" s="809"/>
      <c r="F50" s="311">
        <f>SUM(B50:D50)</f>
        <v>424.118943</v>
      </c>
      <c r="G50" s="295"/>
      <c r="O50" s="820"/>
      <c r="P50" s="820"/>
      <c r="Q50" s="820"/>
      <c r="R50" s="820"/>
      <c r="S50" s="820"/>
      <c r="T50" s="820"/>
      <c r="U50" s="820"/>
      <c r="V50" s="820"/>
      <c r="W50" s="820"/>
    </row>
    <row r="51" spans="1:23" s="72" customFormat="1" ht="12.75">
      <c r="A51" s="304" t="s">
        <v>105</v>
      </c>
      <c r="B51" s="520">
        <f>G21+G25</f>
        <v>11.481822999999999</v>
      </c>
      <c r="C51" s="311">
        <f>G27</f>
        <v>0.79085000000000005</v>
      </c>
      <c r="D51" s="299">
        <f>G28</f>
        <v>0.17985100000000001</v>
      </c>
      <c r="E51" s="808">
        <f>G37</f>
        <v>3.8170999999999997E-2</v>
      </c>
      <c r="F51" s="311">
        <f>SUM(B51:E51)</f>
        <v>12.490694999999999</v>
      </c>
      <c r="G51" s="295"/>
      <c r="O51" s="820" t="s">
        <v>87</v>
      </c>
      <c r="P51" s="820"/>
      <c r="Q51" s="820"/>
      <c r="R51" s="820"/>
      <c r="S51" s="820"/>
      <c r="T51" s="820"/>
      <c r="U51" s="820"/>
      <c r="V51" s="823">
        <f>'Energy Balance-2021'!O37</f>
        <v>96824.01376576531</v>
      </c>
      <c r="W51" s="820" t="s">
        <v>53</v>
      </c>
    </row>
    <row r="52" spans="1:23" s="72" customFormat="1" ht="12.75">
      <c r="A52" s="304" t="s">
        <v>109</v>
      </c>
      <c r="B52" s="310">
        <f>B50+B51</f>
        <v>390.81140900000003</v>
      </c>
      <c r="C52" s="310">
        <f>C50+C51</f>
        <v>45.470303000000001</v>
      </c>
      <c r="D52" s="310">
        <f>D50+D51</f>
        <v>0.28975499999999998</v>
      </c>
      <c r="E52" s="310">
        <f>E50+E51</f>
        <v>3.8170999999999997E-2</v>
      </c>
      <c r="F52" s="807">
        <f>F50+F51</f>
        <v>436.60963800000002</v>
      </c>
      <c r="O52" s="820"/>
      <c r="P52" s="820"/>
      <c r="Q52" s="820"/>
      <c r="R52" s="820"/>
      <c r="S52" s="820"/>
      <c r="T52" s="820"/>
      <c r="U52" s="820"/>
      <c r="V52" s="820"/>
      <c r="W52" s="820"/>
    </row>
    <row r="53" spans="1:23" s="72" customFormat="1" ht="12.75">
      <c r="A53" s="402" t="s">
        <v>293</v>
      </c>
      <c r="B53" s="520">
        <f>B51*0.2248</f>
        <v>2.5811138103999998</v>
      </c>
      <c r="C53" s="520">
        <f>C51*0.2248</f>
        <v>0.17778308000000001</v>
      </c>
      <c r="D53" s="520">
        <f>D51*0.2248</f>
        <v>4.0430504800000003E-2</v>
      </c>
      <c r="E53" s="520">
        <f>E51*0.2248</f>
        <v>8.5808407999999996E-3</v>
      </c>
      <c r="F53" s="311">
        <f>SUM(B53:E53)</f>
        <v>2.8079082360000003</v>
      </c>
      <c r="G53" s="87" t="s">
        <v>294</v>
      </c>
      <c r="O53" s="820" t="s">
        <v>400</v>
      </c>
      <c r="P53" s="820"/>
      <c r="Q53" s="820"/>
      <c r="R53" s="820"/>
      <c r="S53" s="820"/>
      <c r="T53" s="820"/>
      <c r="U53" s="820"/>
      <c r="V53" s="828">
        <f>V45/V51</f>
        <v>1.5515937548678409E-2</v>
      </c>
      <c r="W53" s="820"/>
    </row>
    <row r="54" spans="1:23" s="72" customFormat="1" ht="12.75">
      <c r="L54" s="142"/>
    </row>
    <row r="55" spans="1:23" s="72" customFormat="1" ht="12.75">
      <c r="L55" s="142"/>
      <c r="O55" s="72" t="s">
        <v>417</v>
      </c>
      <c r="T55" s="289">
        <v>401657822</v>
      </c>
      <c r="U55" s="72" t="s">
        <v>62</v>
      </c>
    </row>
    <row r="56" spans="1:23" s="72" customFormat="1" ht="12.75">
      <c r="A56" s="72" t="s">
        <v>291</v>
      </c>
      <c r="B56" s="300"/>
      <c r="C56" s="301"/>
      <c r="D56" s="301"/>
      <c r="E56" s="301"/>
      <c r="O56" s="72" t="s">
        <v>418</v>
      </c>
      <c r="T56" s="888">
        <f>J85*1000000</f>
        <v>65840208.99475003</v>
      </c>
      <c r="U56" s="72" t="s">
        <v>62</v>
      </c>
    </row>
    <row r="57" spans="1:23" s="72" customFormat="1" ht="12.75">
      <c r="B57" s="296" t="s">
        <v>83</v>
      </c>
      <c r="C57" s="296" t="s">
        <v>68</v>
      </c>
      <c r="D57" s="296" t="s">
        <v>56</v>
      </c>
      <c r="E57" s="288" t="s">
        <v>292</v>
      </c>
      <c r="R57" s="72" t="s">
        <v>419</v>
      </c>
      <c r="T57" s="290">
        <f>T55+T56</f>
        <v>467498030.99475002</v>
      </c>
      <c r="U57" s="72" t="s">
        <v>62</v>
      </c>
    </row>
    <row r="58" spans="1:23" s="72" customFormat="1" ht="12.75">
      <c r="A58" s="304" t="s">
        <v>108</v>
      </c>
      <c r="B58" s="297">
        <f>(M8+M12+M21+M25)</f>
        <v>12.041107</v>
      </c>
      <c r="C58" s="298">
        <f>M14+M27</f>
        <v>0.96008899999999997</v>
      </c>
      <c r="D58" s="298">
        <f>B58+C58</f>
        <v>13.001196</v>
      </c>
      <c r="E58" s="338">
        <f>D58*86</f>
        <v>1118.102856</v>
      </c>
      <c r="O58" s="72" t="s">
        <v>420</v>
      </c>
      <c r="T58" s="889">
        <f>T41/T57</f>
        <v>1.0008877506851243E-2</v>
      </c>
    </row>
    <row r="59" spans="1:23" s="72" customFormat="1" ht="12.75">
      <c r="A59" s="304" t="s">
        <v>107</v>
      </c>
      <c r="B59" s="297">
        <f>B52-B58</f>
        <v>378.77030200000002</v>
      </c>
      <c r="C59" s="298">
        <f>C52-C58</f>
        <v>44.510214000000005</v>
      </c>
      <c r="D59" s="298">
        <f>B59+C59</f>
        <v>423.28051600000003</v>
      </c>
      <c r="E59" s="338">
        <f>D59*86</f>
        <v>36402.124376</v>
      </c>
      <c r="O59" s="72" t="s">
        <v>421</v>
      </c>
      <c r="T59" s="889">
        <f>T43/T57</f>
        <v>2.7357660939717223E-2</v>
      </c>
    </row>
    <row r="60" spans="1:23" s="72" customFormat="1" ht="12.75">
      <c r="A60" s="305" t="s">
        <v>106</v>
      </c>
      <c r="B60" s="302">
        <v>354.28327200000001</v>
      </c>
      <c r="C60" s="302">
        <v>46.056669999999997</v>
      </c>
      <c r="D60" s="298">
        <f>B60+C60</f>
        <v>400.33994200000001</v>
      </c>
      <c r="E60" s="338">
        <f>D60*86</f>
        <v>34429.235011999997</v>
      </c>
      <c r="O60" s="72" t="s">
        <v>422</v>
      </c>
      <c r="T60" s="889">
        <f>1-T58-T59</f>
        <v>0.96263346155343155</v>
      </c>
    </row>
    <row r="61" spans="1:23" s="72" customFormat="1" ht="15" customHeight="1">
      <c r="A61" s="304" t="s">
        <v>110</v>
      </c>
      <c r="B61" s="299">
        <f>B59-B60</f>
        <v>24.487030000000004</v>
      </c>
      <c r="C61" s="299">
        <f>C59-C60</f>
        <v>-1.5464559999999921</v>
      </c>
      <c r="D61" s="298">
        <f>B61+C61</f>
        <v>22.940574000000012</v>
      </c>
      <c r="E61" s="338">
        <f>D61*86</f>
        <v>1972.889364000001</v>
      </c>
      <c r="I61" s="688">
        <f>C67+C68</f>
        <v>0</v>
      </c>
    </row>
    <row r="62" spans="1:23" ht="15" customHeight="1">
      <c r="A62" s="304" t="s">
        <v>112</v>
      </c>
      <c r="B62" s="303">
        <f>B61/B52</f>
        <v>6.2656896487891439E-2</v>
      </c>
      <c r="C62" s="303">
        <f>C61/C52</f>
        <v>-3.4010241805514076E-2</v>
      </c>
      <c r="D62" s="303">
        <f>D61/F52</f>
        <v>5.2542527702972998E-2</v>
      </c>
      <c r="E62" s="72"/>
      <c r="I62" s="688">
        <f>I61+C69</f>
        <v>93437</v>
      </c>
    </row>
    <row r="63" spans="1:23">
      <c r="I63" s="805">
        <f>D64-I61</f>
        <v>0</v>
      </c>
      <c r="S63" s="869" t="s">
        <v>405</v>
      </c>
      <c r="T63" s="870" t="s">
        <v>62</v>
      </c>
    </row>
    <row r="64" spans="1:23" ht="15.75">
      <c r="A64" s="307" t="s">
        <v>411</v>
      </c>
      <c r="D64" s="804"/>
      <c r="N64" s="555"/>
      <c r="O64" s="556" t="s">
        <v>62</v>
      </c>
      <c r="P64" s="557" t="s">
        <v>64</v>
      </c>
      <c r="S64" s="871" t="s">
        <v>406</v>
      </c>
      <c r="T64" s="872">
        <v>363267008</v>
      </c>
    </row>
    <row r="65" spans="1:20">
      <c r="F65" s="690"/>
      <c r="H65" s="953" t="s">
        <v>114</v>
      </c>
      <c r="I65" s="954"/>
      <c r="J65" s="548"/>
      <c r="K65" s="548"/>
      <c r="L65" s="566">
        <f>F66</f>
        <v>138745369</v>
      </c>
      <c r="N65" s="558" t="s">
        <v>114</v>
      </c>
      <c r="O65" s="722">
        <f>L65</f>
        <v>138745369</v>
      </c>
      <c r="P65" s="560">
        <f>O65/1000000</f>
        <v>138.74536900000001</v>
      </c>
      <c r="S65" s="873" t="s">
        <v>407</v>
      </c>
      <c r="T65" s="874">
        <v>38390814</v>
      </c>
    </row>
    <row r="66" spans="1:20">
      <c r="A66" s="547" t="s">
        <v>114</v>
      </c>
      <c r="B66" s="548"/>
      <c r="C66" s="725">
        <v>138745369</v>
      </c>
      <c r="E66" s="555" t="s">
        <v>114</v>
      </c>
      <c r="F66" s="726">
        <f>C66</f>
        <v>138745369</v>
      </c>
      <c r="H66" s="561"/>
      <c r="I66" s="550"/>
      <c r="J66" s="550"/>
      <c r="K66" s="550"/>
      <c r="L66" s="562"/>
      <c r="N66" s="561"/>
      <c r="O66" s="550"/>
      <c r="P66" s="562"/>
      <c r="S66" s="871"/>
      <c r="T66" s="875">
        <f>T64+T65</f>
        <v>401657822</v>
      </c>
    </row>
    <row r="67" spans="1:20">
      <c r="A67" s="549" t="s">
        <v>268</v>
      </c>
      <c r="B67" s="550"/>
      <c r="C67" s="697"/>
      <c r="E67" s="561"/>
      <c r="F67" s="690"/>
      <c r="H67" s="948" t="s">
        <v>269</v>
      </c>
      <c r="I67" s="949"/>
      <c r="J67" s="949"/>
      <c r="K67" s="950"/>
      <c r="L67" s="554">
        <f>0.27*F68</f>
        <v>56004170.850000001</v>
      </c>
      <c r="N67" s="558" t="s">
        <v>20</v>
      </c>
      <c r="O67" s="559">
        <f>L67</f>
        <v>56004170.850000001</v>
      </c>
      <c r="P67" s="560">
        <f>O67/1000000</f>
        <v>56.004170850000001</v>
      </c>
      <c r="T67" s="11"/>
    </row>
    <row r="68" spans="1:20">
      <c r="A68" s="549" t="s">
        <v>374</v>
      </c>
      <c r="B68" s="550"/>
      <c r="C68" s="697"/>
      <c r="E68" s="558" t="s">
        <v>147</v>
      </c>
      <c r="F68" s="727">
        <v>207422855</v>
      </c>
      <c r="H68" s="561"/>
      <c r="I68" s="550"/>
      <c r="J68" s="550"/>
      <c r="K68" s="550"/>
      <c r="L68" s="562"/>
      <c r="N68" s="561"/>
      <c r="O68" s="550"/>
      <c r="P68" s="562"/>
    </row>
    <row r="69" spans="1:20">
      <c r="A69" s="551" t="s">
        <v>267</v>
      </c>
      <c r="B69" s="552"/>
      <c r="C69" s="803">
        <v>93437</v>
      </c>
      <c r="E69" s="561"/>
      <c r="F69" s="562"/>
      <c r="H69" s="948" t="s">
        <v>270</v>
      </c>
      <c r="I69" s="949"/>
      <c r="J69" s="949"/>
      <c r="K69" s="950"/>
      <c r="L69" s="554">
        <f>F68-L67</f>
        <v>151418684.15000001</v>
      </c>
      <c r="N69" s="561"/>
      <c r="O69" s="550"/>
      <c r="P69" s="562"/>
    </row>
    <row r="70" spans="1:20">
      <c r="A70" s="549" t="s">
        <v>115</v>
      </c>
      <c r="B70" s="550"/>
      <c r="C70" s="697"/>
      <c r="E70" s="558" t="s">
        <v>167</v>
      </c>
      <c r="F70" s="562"/>
      <c r="H70" s="561"/>
      <c r="I70" s="550"/>
      <c r="J70" s="550"/>
      <c r="K70" s="550"/>
      <c r="L70" s="562"/>
      <c r="N70" s="558" t="s">
        <v>97</v>
      </c>
      <c r="O70" s="723">
        <f>L69+L71</f>
        <v>206908282.15000001</v>
      </c>
      <c r="P70" s="560">
        <f>O70/1000000</f>
        <v>206.90828215000002</v>
      </c>
    </row>
    <row r="71" spans="1:20">
      <c r="A71" s="549" t="s">
        <v>77</v>
      </c>
      <c r="B71" s="550"/>
      <c r="C71" s="697"/>
      <c r="E71" s="561"/>
      <c r="F71" s="728">
        <v>55489598</v>
      </c>
      <c r="H71" s="951" t="s">
        <v>167</v>
      </c>
      <c r="I71" s="952"/>
      <c r="J71" s="550"/>
      <c r="K71" s="550"/>
      <c r="L71" s="554">
        <f>F71</f>
        <v>55489598</v>
      </c>
      <c r="N71" s="561"/>
      <c r="O71" s="550"/>
      <c r="P71" s="562"/>
    </row>
    <row r="72" spans="1:20">
      <c r="A72" s="549" t="s">
        <v>99</v>
      </c>
      <c r="B72" s="550"/>
      <c r="C72" s="697">
        <v>1019437</v>
      </c>
      <c r="E72" s="561"/>
      <c r="F72" s="563"/>
      <c r="H72" s="561"/>
      <c r="I72" s="550"/>
      <c r="J72" s="550"/>
      <c r="K72" s="550"/>
      <c r="L72" s="567"/>
      <c r="N72" s="561"/>
      <c r="O72" s="552"/>
      <c r="P72" s="563"/>
      <c r="S72" s="9"/>
    </row>
    <row r="73" spans="1:20">
      <c r="A73" s="553" t="s">
        <v>56</v>
      </c>
      <c r="B73" s="552"/>
      <c r="C73" s="721"/>
      <c r="E73" s="564"/>
      <c r="F73" s="568">
        <f>F66+F68+F71</f>
        <v>401657822</v>
      </c>
      <c r="H73" s="564"/>
      <c r="I73" s="552"/>
      <c r="J73" s="552"/>
      <c r="K73" s="552"/>
      <c r="L73" s="568">
        <f>L65+L67+L69+L71</f>
        <v>401657822</v>
      </c>
      <c r="N73" s="564"/>
      <c r="O73" s="724">
        <f>O65+O67+O70</f>
        <v>401657822</v>
      </c>
      <c r="P73" s="565">
        <f>O73/1000000</f>
        <v>401.65782200000001</v>
      </c>
      <c r="S73" s="9"/>
    </row>
    <row r="75" spans="1:20">
      <c r="L75" s="18"/>
      <c r="M75" s="18"/>
    </row>
    <row r="76" spans="1:20" ht="18.75">
      <c r="A76" s="62" t="s">
        <v>296</v>
      </c>
      <c r="C76" s="69"/>
    </row>
    <row r="77" spans="1:20">
      <c r="F77" s="946" t="s">
        <v>70</v>
      </c>
      <c r="G77" s="933"/>
      <c r="H77" s="933"/>
      <c r="I77" s="947"/>
    </row>
    <row r="78" spans="1:20">
      <c r="A78" s="82" t="s">
        <v>259</v>
      </c>
      <c r="B78" s="322" t="s">
        <v>69</v>
      </c>
      <c r="C78" s="939" t="s">
        <v>55</v>
      </c>
      <c r="D78" s="940"/>
      <c r="E78" s="941"/>
      <c r="F78" s="942" t="s">
        <v>385</v>
      </c>
      <c r="G78" s="943"/>
      <c r="H78" s="944"/>
      <c r="I78" s="486" t="s">
        <v>386</v>
      </c>
      <c r="J78" s="936" t="s">
        <v>250</v>
      </c>
      <c r="K78" s="937"/>
      <c r="L78" s="786" t="s">
        <v>260</v>
      </c>
      <c r="M78" s="787"/>
      <c r="N78" s="788" t="s">
        <v>261</v>
      </c>
      <c r="O78" s="789"/>
    </row>
    <row r="79" spans="1:20" ht="15.75">
      <c r="A79" s="321"/>
      <c r="B79" s="316"/>
      <c r="C79" s="406" t="s">
        <v>245</v>
      </c>
      <c r="D79" s="406" t="s">
        <v>52</v>
      </c>
      <c r="E79" s="407" t="s">
        <v>53</v>
      </c>
      <c r="F79" s="476" t="s">
        <v>265</v>
      </c>
      <c r="G79" s="476" t="s">
        <v>383</v>
      </c>
      <c r="H79" s="798" t="s">
        <v>384</v>
      </c>
      <c r="I79" s="486" t="s">
        <v>387</v>
      </c>
      <c r="J79" s="439" t="s">
        <v>64</v>
      </c>
      <c r="K79" s="439" t="s">
        <v>53</v>
      </c>
      <c r="L79" s="491" t="s">
        <v>64</v>
      </c>
      <c r="M79" s="493" t="s">
        <v>53</v>
      </c>
      <c r="N79" s="522" t="s">
        <v>64</v>
      </c>
      <c r="O79" s="523" t="s">
        <v>53</v>
      </c>
    </row>
    <row r="80" spans="1:20">
      <c r="A80" s="280" t="s">
        <v>79</v>
      </c>
      <c r="B80" s="281" t="s">
        <v>57</v>
      </c>
      <c r="C80" s="511"/>
      <c r="D80" s="512">
        <f>'Petroleum Stat-2021'!C45</f>
        <v>12146.57625</v>
      </c>
      <c r="E80" s="513">
        <f>D80*$U$6</f>
        <v>12571.70641875</v>
      </c>
      <c r="F80" s="790">
        <v>3.5</v>
      </c>
      <c r="G80" s="793">
        <f>1/F80</f>
        <v>0.2857142857142857</v>
      </c>
      <c r="H80" s="795">
        <f>G80*0.8381*1000</f>
        <v>239.45714285714283</v>
      </c>
      <c r="I80" s="487">
        <f>K80/E80</f>
        <v>0.34700066345143465</v>
      </c>
      <c r="J80" s="463">
        <f>D80/H80</f>
        <v>50.725470558405924</v>
      </c>
      <c r="K80" s="464">
        <f>J80*86</f>
        <v>4362.3904680229098</v>
      </c>
      <c r="L80" s="491"/>
      <c r="M80" s="493"/>
      <c r="N80" s="539">
        <f>J80</f>
        <v>50.725470558405924</v>
      </c>
      <c r="O80" s="540">
        <f>N80*86</f>
        <v>4362.3904680229098</v>
      </c>
    </row>
    <row r="81" spans="1:15">
      <c r="A81" s="280" t="s">
        <v>262</v>
      </c>
      <c r="B81" s="281" t="s">
        <v>57</v>
      </c>
      <c r="C81" s="511"/>
      <c r="D81" s="512">
        <f>'Petroleum Stat-2021'!C46</f>
        <v>1896.4692809999999</v>
      </c>
      <c r="E81" s="513">
        <f>D81*$U$6</f>
        <v>1962.8457058349998</v>
      </c>
      <c r="F81" s="790">
        <v>3.5</v>
      </c>
      <c r="G81" s="793">
        <f>1/F81</f>
        <v>0.2857142857142857</v>
      </c>
      <c r="H81" s="795">
        <f>G81*0.8381*1000</f>
        <v>239.45714285714283</v>
      </c>
      <c r="I81" s="487">
        <f>K81/E81</f>
        <v>0.34700066345143465</v>
      </c>
      <c r="J81" s="463">
        <f>D81/H81</f>
        <v>7.9198693276458663</v>
      </c>
      <c r="K81" s="464">
        <f>J81*86</f>
        <v>681.10876217754446</v>
      </c>
      <c r="L81" s="491"/>
      <c r="M81" s="493"/>
      <c r="N81" s="539">
        <f>J81</f>
        <v>7.9198693276458663</v>
      </c>
      <c r="O81" s="540">
        <f>N81*86</f>
        <v>681.10876217754446</v>
      </c>
    </row>
    <row r="82" spans="1:15">
      <c r="A82" s="280" t="s">
        <v>172</v>
      </c>
      <c r="B82" s="281" t="s">
        <v>57</v>
      </c>
      <c r="C82" s="511"/>
      <c r="D82" s="512">
        <f>'Petroleum Stat-2021'!C47</f>
        <v>163.64999999999998</v>
      </c>
      <c r="E82" s="513">
        <f>D82*$U$6</f>
        <v>169.37774999999996</v>
      </c>
      <c r="F82" s="790">
        <v>3.5</v>
      </c>
      <c r="G82" s="793">
        <f>1/F82</f>
        <v>0.2857142857142857</v>
      </c>
      <c r="H82" s="795">
        <f>G82*0.8381*1000</f>
        <v>239.45714285714283</v>
      </c>
      <c r="I82" s="487">
        <f>K82/E82</f>
        <v>0.34700066345143471</v>
      </c>
      <c r="J82" s="463">
        <f>D82/H82</f>
        <v>0.68342083283617705</v>
      </c>
      <c r="K82" s="464">
        <f>J82*86</f>
        <v>58.774191623911229</v>
      </c>
      <c r="L82" s="799">
        <f>J82</f>
        <v>0.68342083283617705</v>
      </c>
      <c r="M82" s="509">
        <f>L82*86</f>
        <v>58.774191623911229</v>
      </c>
      <c r="N82" s="522"/>
      <c r="O82" s="523"/>
    </row>
    <row r="83" spans="1:15">
      <c r="A83" s="280" t="s">
        <v>263</v>
      </c>
      <c r="B83" s="281" t="s">
        <v>57</v>
      </c>
      <c r="C83" s="511"/>
      <c r="D83" s="512">
        <f>'Petroleum Stat-2021'!C48</f>
        <v>1551.12</v>
      </c>
      <c r="E83" s="513">
        <f>D83*$U$6</f>
        <v>1605.4091999999998</v>
      </c>
      <c r="F83" s="790">
        <v>3.5</v>
      </c>
      <c r="G83" s="793">
        <f>1/F83</f>
        <v>0.2857142857142857</v>
      </c>
      <c r="H83" s="795">
        <f>G83*0.8381*1000</f>
        <v>239.45714285714283</v>
      </c>
      <c r="I83" s="487">
        <f>K83/E83</f>
        <v>0.34700066345143471</v>
      </c>
      <c r="J83" s="463">
        <f>D83/H83</f>
        <v>6.4776518315236853</v>
      </c>
      <c r="K83" s="464">
        <f>J83*86</f>
        <v>557.07805751103695</v>
      </c>
      <c r="L83" s="799">
        <f>J83</f>
        <v>6.4776518315236853</v>
      </c>
      <c r="M83" s="509">
        <f>L83*86</f>
        <v>557.07805751103695</v>
      </c>
      <c r="N83" s="539">
        <f>Q83/1000000</f>
        <v>0</v>
      </c>
      <c r="O83" s="540">
        <f>N83*86</f>
        <v>0</v>
      </c>
    </row>
    <row r="84" spans="1:15">
      <c r="A84" s="320" t="s">
        <v>370</v>
      </c>
      <c r="B84" s="283" t="s">
        <v>57</v>
      </c>
      <c r="C84" s="514"/>
      <c r="D84" s="886">
        <f>'Petroleum Stat-2021'!C49</f>
        <v>8.0928000000000004</v>
      </c>
      <c r="E84" s="515">
        <f>D84*$U$6</f>
        <v>8.376047999999999</v>
      </c>
      <c r="F84" s="791">
        <v>3.5</v>
      </c>
      <c r="G84" s="794">
        <f>1/F84</f>
        <v>0.2857142857142857</v>
      </c>
      <c r="H84" s="796">
        <f>G84*0.8381*1000</f>
        <v>239.45714285714283</v>
      </c>
      <c r="I84" s="488">
        <f>K84/E84</f>
        <v>0.34700066345143471</v>
      </c>
      <c r="J84" s="463">
        <f>D84/H84</f>
        <v>3.3796444338384447E-2</v>
      </c>
      <c r="K84" s="465">
        <f>J84*86</f>
        <v>2.9064942131010625</v>
      </c>
      <c r="L84" s="491"/>
      <c r="M84" s="493"/>
      <c r="N84" s="539">
        <f>J84</f>
        <v>3.3796444338384447E-2</v>
      </c>
      <c r="O84" s="540">
        <f>N84*86</f>
        <v>2.9064942131010625</v>
      </c>
    </row>
    <row r="85" spans="1:15">
      <c r="A85" s="323" t="s">
        <v>56</v>
      </c>
      <c r="B85" s="324"/>
      <c r="C85" s="516">
        <f>SUM(C80:C84)</f>
        <v>0</v>
      </c>
      <c r="D85" s="516">
        <f>SUM(D80:D84)</f>
        <v>15765.908331000001</v>
      </c>
      <c r="E85" s="516">
        <f>SUM(E80:E84)</f>
        <v>16317.715122584999</v>
      </c>
      <c r="F85" s="792"/>
      <c r="G85" s="489"/>
      <c r="H85" s="797"/>
      <c r="I85" s="490"/>
      <c r="J85" s="890">
        <f t="shared" ref="J85:O85" si="4">SUM(J80:J84)</f>
        <v>65.840208994750029</v>
      </c>
      <c r="K85" s="466">
        <f t="shared" si="4"/>
        <v>5662.2579735485024</v>
      </c>
      <c r="L85" s="510">
        <f t="shared" si="4"/>
        <v>7.1610726643598621</v>
      </c>
      <c r="M85" s="510">
        <f t="shared" si="4"/>
        <v>615.85224913494812</v>
      </c>
      <c r="N85" s="800">
        <f t="shared" si="4"/>
        <v>58.679136330390172</v>
      </c>
      <c r="O85" s="541">
        <f t="shared" si="4"/>
        <v>5046.4057244135547</v>
      </c>
    </row>
    <row r="86" spans="1:15">
      <c r="A86" s="87" t="s">
        <v>264</v>
      </c>
    </row>
    <row r="87" spans="1:15">
      <c r="A87" s="325" t="s">
        <v>266</v>
      </c>
      <c r="I87" s="11"/>
      <c r="N87" s="5"/>
    </row>
    <row r="88" spans="1:15">
      <c r="I88" s="11"/>
    </row>
    <row r="89" spans="1:15" ht="15.75">
      <c r="A89" s="62" t="s">
        <v>272</v>
      </c>
      <c r="I89" s="11"/>
    </row>
    <row r="90" spans="1:15">
      <c r="I90" s="11"/>
    </row>
    <row r="91" spans="1:15">
      <c r="A91" t="s">
        <v>295</v>
      </c>
      <c r="B91" s="326" t="s">
        <v>77</v>
      </c>
      <c r="C91" s="326" t="s">
        <v>271</v>
      </c>
      <c r="D91" s="319" t="s">
        <v>56</v>
      </c>
      <c r="E91" s="78" t="s">
        <v>297</v>
      </c>
      <c r="I91" s="11"/>
    </row>
    <row r="92" spans="1:15">
      <c r="B92" s="327" t="s">
        <v>64</v>
      </c>
      <c r="C92" s="327" t="s">
        <v>64</v>
      </c>
      <c r="D92" s="327" t="s">
        <v>64</v>
      </c>
      <c r="E92" s="327" t="s">
        <v>53</v>
      </c>
    </row>
    <row r="93" spans="1:15">
      <c r="A93" s="328" t="s">
        <v>114</v>
      </c>
      <c r="B93" s="329">
        <f>O65/1000000</f>
        <v>138.74536900000001</v>
      </c>
      <c r="C93" s="329"/>
      <c r="D93" s="330">
        <f>B93+C93</f>
        <v>138.74536900000001</v>
      </c>
      <c r="E93" s="331">
        <f>D93*86</f>
        <v>11932.101734000002</v>
      </c>
      <c r="F93" s="53"/>
    </row>
    <row r="94" spans="1:15">
      <c r="A94" s="332" t="s">
        <v>20</v>
      </c>
      <c r="B94" s="30">
        <f>O67/1000000</f>
        <v>56.004170850000001</v>
      </c>
      <c r="C94" s="30">
        <f>L85</f>
        <v>7.1610726643598621</v>
      </c>
      <c r="D94" s="36">
        <f>B94+C94</f>
        <v>63.165243514359865</v>
      </c>
      <c r="E94" s="333">
        <f>D94*86</f>
        <v>5432.2109422349486</v>
      </c>
      <c r="F94" s="53"/>
    </row>
    <row r="95" spans="1:15">
      <c r="A95" s="334" t="s">
        <v>97</v>
      </c>
      <c r="B95" s="335">
        <f>O70/1000000</f>
        <v>206.90828215000002</v>
      </c>
      <c r="C95" s="335">
        <f>N85</f>
        <v>58.679136330390172</v>
      </c>
      <c r="D95" s="336">
        <f>B95+C95</f>
        <v>265.58741848039017</v>
      </c>
      <c r="E95" s="337">
        <f>D95*86</f>
        <v>22840.517989313554</v>
      </c>
      <c r="F95" s="53"/>
    </row>
    <row r="96" spans="1:15">
      <c r="A96" s="91" t="s">
        <v>56</v>
      </c>
      <c r="B96" s="403">
        <f>SUM(B93:B95)</f>
        <v>401.65782200000001</v>
      </c>
      <c r="C96" s="403">
        <f>SUM(C93:C95)</f>
        <v>65.840208994750029</v>
      </c>
      <c r="D96" s="403">
        <f>SUM(D93:D95)</f>
        <v>467.49803099475002</v>
      </c>
      <c r="E96" s="404">
        <f>SUM(E93:E95)</f>
        <v>40204.830665548507</v>
      </c>
      <c r="F96" s="53"/>
      <c r="G96" s="2"/>
      <c r="H96" s="2"/>
      <c r="I96" s="887">
        <v>467498</v>
      </c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9" spans="1:10">
      <c r="A99" s="17"/>
      <c r="B99" s="17"/>
      <c r="D99" s="11"/>
      <c r="E99" s="11"/>
      <c r="F99" s="11"/>
      <c r="G99" s="11"/>
      <c r="H99" s="11"/>
      <c r="I99" s="11"/>
      <c r="J99" s="11"/>
    </row>
    <row r="100" spans="1:10">
      <c r="A100" s="17"/>
      <c r="B100" s="17"/>
      <c r="D100" s="11"/>
      <c r="E100" s="11"/>
      <c r="F100" s="11"/>
      <c r="G100" s="11"/>
      <c r="H100" s="11"/>
      <c r="I100" s="11"/>
      <c r="J100" s="11"/>
    </row>
    <row r="101" spans="1:10">
      <c r="A101" s="17"/>
      <c r="B101" s="17"/>
      <c r="D101" s="11"/>
      <c r="E101" s="11"/>
      <c r="F101" s="11"/>
      <c r="G101" s="11"/>
      <c r="H101" s="11"/>
      <c r="I101" s="11"/>
      <c r="J101" s="11"/>
    </row>
    <row r="102" spans="1:10">
      <c r="A102" s="17"/>
      <c r="B102" s="17"/>
      <c r="D102" s="11"/>
      <c r="E102" s="11"/>
      <c r="F102" s="11"/>
      <c r="G102" s="11"/>
      <c r="H102" s="11"/>
      <c r="I102" s="11"/>
      <c r="J102" s="11"/>
    </row>
    <row r="103" spans="1:10">
      <c r="A103" s="17"/>
      <c r="B103" s="17"/>
      <c r="D103" s="11"/>
      <c r="E103" s="11"/>
      <c r="F103" s="11"/>
      <c r="G103" s="11"/>
      <c r="H103" s="11"/>
      <c r="I103" s="11"/>
      <c r="J103" s="11"/>
    </row>
    <row r="104" spans="1:10">
      <c r="D104" s="11"/>
      <c r="E104" s="11"/>
      <c r="F104" s="11"/>
      <c r="G104" s="11"/>
      <c r="H104" s="11"/>
      <c r="I104" s="11"/>
      <c r="J104" s="11"/>
    </row>
    <row r="105" spans="1:10">
      <c r="A105" s="22"/>
      <c r="B105" s="22"/>
      <c r="C105" s="22"/>
      <c r="D105" s="63"/>
      <c r="E105" s="63"/>
      <c r="F105" s="63"/>
      <c r="G105" s="63"/>
      <c r="H105" s="63"/>
      <c r="I105" s="63"/>
      <c r="J105" s="63"/>
    </row>
    <row r="115" spans="3:7">
      <c r="C115" s="46"/>
      <c r="G115" s="11"/>
    </row>
  </sheetData>
  <mergeCells count="27">
    <mergeCell ref="J78:K78"/>
    <mergeCell ref="F1:G1"/>
    <mergeCell ref="C78:E78"/>
    <mergeCell ref="F78:H78"/>
    <mergeCell ref="C4:E4"/>
    <mergeCell ref="F4:H4"/>
    <mergeCell ref="F23:H23"/>
    <mergeCell ref="F19:H19"/>
    <mergeCell ref="F77:I77"/>
    <mergeCell ref="H69:K69"/>
    <mergeCell ref="H71:I71"/>
    <mergeCell ref="H65:I65"/>
    <mergeCell ref="I19:K19"/>
    <mergeCell ref="H67:K67"/>
    <mergeCell ref="H1:L1"/>
    <mergeCell ref="L19:N19"/>
    <mergeCell ref="I23:K23"/>
    <mergeCell ref="L23:N23"/>
    <mergeCell ref="O19:Q19"/>
    <mergeCell ref="L4:N4"/>
    <mergeCell ref="O23:Q23"/>
    <mergeCell ref="O4:Q4"/>
    <mergeCell ref="L6:L7"/>
    <mergeCell ref="L10:L11"/>
    <mergeCell ref="I4:K4"/>
    <mergeCell ref="M6:M7"/>
    <mergeCell ref="M10:M11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6"/>
  <sheetViews>
    <sheetView topLeftCell="A43" zoomScale="90" zoomScaleNormal="90" workbookViewId="0">
      <selection activeCell="B42" sqref="B42"/>
    </sheetView>
  </sheetViews>
  <sheetFormatPr defaultRowHeight="15"/>
  <cols>
    <col min="1" max="1" width="15" customWidth="1"/>
    <col min="4" max="4" width="10.28515625" customWidth="1"/>
    <col min="5" max="5" width="11.28515625" customWidth="1"/>
    <col min="6" max="6" width="13.28515625" customWidth="1"/>
    <col min="7" max="7" width="14.85546875" customWidth="1"/>
    <col min="8" max="8" width="12.7109375" customWidth="1"/>
    <col min="9" max="9" width="11.85546875" customWidth="1"/>
    <col min="10" max="10" width="11.7109375" customWidth="1"/>
    <col min="11" max="11" width="10.42578125" customWidth="1"/>
    <col min="12" max="12" width="10.85546875" customWidth="1"/>
    <col min="13" max="13" width="13" customWidth="1"/>
    <col min="15" max="15" width="13.28515625" customWidth="1"/>
    <col min="16" max="16" width="9.5703125" bestFit="1" customWidth="1"/>
    <col min="24" max="24" width="11.5703125" customWidth="1"/>
  </cols>
  <sheetData>
    <row r="1" spans="1:18" ht="18.75">
      <c r="D1" s="642" t="s">
        <v>333</v>
      </c>
    </row>
    <row r="3" spans="1:18">
      <c r="A3" s="576" t="s">
        <v>156</v>
      </c>
    </row>
    <row r="4" spans="1:18">
      <c r="A4" s="72" t="s">
        <v>305</v>
      </c>
    </row>
    <row r="5" spans="1:18">
      <c r="A5" s="72"/>
      <c r="Q5" s="18"/>
      <c r="R5" s="18"/>
    </row>
    <row r="6" spans="1:18">
      <c r="A6" s="73"/>
      <c r="B6" s="641" t="s">
        <v>157</v>
      </c>
      <c r="C6" s="74"/>
      <c r="D6" s="74"/>
      <c r="G6" s="570" t="s">
        <v>124</v>
      </c>
      <c r="H6" s="575" t="s">
        <v>331</v>
      </c>
      <c r="I6" s="92"/>
      <c r="J6" s="92"/>
      <c r="K6" s="92"/>
      <c r="L6" s="92"/>
      <c r="M6" s="92"/>
      <c r="N6" s="92"/>
      <c r="O6" s="92"/>
      <c r="P6" s="571"/>
      <c r="Q6" s="18"/>
      <c r="R6" s="18"/>
    </row>
    <row r="7" spans="1:18">
      <c r="B7" s="641" t="s">
        <v>158</v>
      </c>
      <c r="G7" s="578" t="s">
        <v>306</v>
      </c>
      <c r="H7" s="579"/>
      <c r="I7" s="579"/>
      <c r="J7" s="579"/>
      <c r="K7" s="579"/>
      <c r="L7" s="579"/>
      <c r="M7" s="579"/>
      <c r="N7" s="579"/>
      <c r="O7" s="579"/>
      <c r="P7" s="586"/>
      <c r="Q7" s="318"/>
      <c r="R7" s="18"/>
    </row>
    <row r="8" spans="1:18">
      <c r="G8" s="578" t="s">
        <v>125</v>
      </c>
      <c r="H8" s="579"/>
      <c r="I8" s="579"/>
      <c r="J8" s="579"/>
      <c r="K8" s="579"/>
      <c r="L8" s="579"/>
      <c r="M8" s="579"/>
      <c r="N8" s="579"/>
      <c r="O8" s="579"/>
      <c r="P8" s="586"/>
      <c r="Q8" s="579"/>
      <c r="R8" s="18"/>
    </row>
    <row r="9" spans="1:18">
      <c r="A9" s="640" t="s">
        <v>334</v>
      </c>
      <c r="B9" s="956">
        <v>2002</v>
      </c>
      <c r="C9" s="957"/>
      <c r="D9" s="958">
        <v>2010</v>
      </c>
      <c r="E9" s="959"/>
      <c r="G9" s="578" t="s">
        <v>121</v>
      </c>
      <c r="H9" s="595">
        <v>1</v>
      </c>
      <c r="I9" s="579" t="s">
        <v>117</v>
      </c>
      <c r="J9" s="600" t="s">
        <v>126</v>
      </c>
      <c r="K9" s="318"/>
      <c r="L9" s="18"/>
      <c r="M9" s="580" t="s">
        <v>127</v>
      </c>
      <c r="N9" s="318"/>
      <c r="O9" s="579">
        <f>2.5*365</f>
        <v>912.5</v>
      </c>
      <c r="P9" s="586" t="s">
        <v>117</v>
      </c>
      <c r="Q9" s="579"/>
      <c r="R9" s="599"/>
    </row>
    <row r="10" spans="1:18">
      <c r="A10" s="321" t="s">
        <v>130</v>
      </c>
      <c r="B10" s="621">
        <v>18211</v>
      </c>
      <c r="C10" s="622">
        <f>B10/$B$18</f>
        <v>0.86996608226245642</v>
      </c>
      <c r="D10" s="629">
        <v>22650</v>
      </c>
      <c r="E10" s="630">
        <f t="shared" ref="E10:E18" si="0">D10/$D$18</f>
        <v>0.91441259588211543</v>
      </c>
      <c r="G10" s="578" t="s">
        <v>122</v>
      </c>
      <c r="H10" s="595">
        <v>1</v>
      </c>
      <c r="I10" s="579" t="s">
        <v>117</v>
      </c>
      <c r="J10" s="318" t="s">
        <v>314</v>
      </c>
      <c r="K10" s="318"/>
      <c r="L10" s="318" t="s">
        <v>315</v>
      </c>
      <c r="M10" s="579"/>
      <c r="N10" s="581"/>
      <c r="O10" s="579">
        <f>O9/1000</f>
        <v>0.91249999999999998</v>
      </c>
      <c r="P10" s="586" t="s">
        <v>313</v>
      </c>
      <c r="Q10" s="579"/>
      <c r="R10" s="18"/>
    </row>
    <row r="11" spans="1:18">
      <c r="A11" s="280" t="s">
        <v>93</v>
      </c>
      <c r="B11" s="621">
        <v>1556</v>
      </c>
      <c r="C11" s="622">
        <f>B11/$B$18</f>
        <v>7.4332393827927196E-2</v>
      </c>
      <c r="D11" s="629">
        <v>1052</v>
      </c>
      <c r="E11" s="630">
        <f t="shared" si="0"/>
        <v>4.2470730722648363E-2</v>
      </c>
      <c r="G11" s="578" t="s">
        <v>123</v>
      </c>
      <c r="H11" s="596">
        <v>0.5</v>
      </c>
      <c r="I11" s="579" t="s">
        <v>117</v>
      </c>
      <c r="J11" s="18"/>
      <c r="K11" s="579"/>
      <c r="L11" s="584"/>
      <c r="M11" s="579"/>
      <c r="N11" s="579"/>
      <c r="O11" s="579">
        <f>O10/0.5</f>
        <v>1.825</v>
      </c>
      <c r="P11" s="586" t="s">
        <v>119</v>
      </c>
      <c r="Q11" s="579"/>
      <c r="R11" s="599"/>
    </row>
    <row r="12" spans="1:18">
      <c r="A12" s="280" t="s">
        <v>131</v>
      </c>
      <c r="B12" s="621"/>
      <c r="C12" s="622"/>
      <c r="D12" s="629">
        <v>215</v>
      </c>
      <c r="E12" s="630">
        <f t="shared" si="0"/>
        <v>8.6798546628986673E-3</v>
      </c>
      <c r="G12" s="597"/>
      <c r="H12" s="596">
        <f>SUM(H9:H11)</f>
        <v>2.5</v>
      </c>
      <c r="I12" s="577" t="s">
        <v>117</v>
      </c>
      <c r="J12" s="583" t="s">
        <v>316</v>
      </c>
      <c r="K12" s="598"/>
      <c r="L12" s="577"/>
      <c r="M12" s="583"/>
      <c r="N12" s="577"/>
      <c r="O12" s="619">
        <f>O11*0.233</f>
        <v>0.42522500000000002</v>
      </c>
      <c r="P12" s="601" t="s">
        <v>319</v>
      </c>
      <c r="Q12" s="579"/>
      <c r="R12" s="599"/>
    </row>
    <row r="13" spans="1:18">
      <c r="A13" s="280" t="s">
        <v>54</v>
      </c>
      <c r="B13" s="621">
        <v>432</v>
      </c>
      <c r="C13" s="622">
        <f t="shared" ref="C13:C18" si="1">B13/$B$18</f>
        <v>2.0637271294128887E-2</v>
      </c>
      <c r="D13" s="629">
        <v>19</v>
      </c>
      <c r="E13" s="630">
        <f t="shared" si="0"/>
        <v>7.6705692369802183E-4</v>
      </c>
      <c r="Q13" s="579"/>
      <c r="R13" s="18"/>
    </row>
    <row r="14" spans="1:18">
      <c r="A14" s="637" t="s">
        <v>118</v>
      </c>
      <c r="B14" s="623">
        <v>192</v>
      </c>
      <c r="C14" s="624">
        <f t="shared" si="1"/>
        <v>9.1721205751683944E-3</v>
      </c>
      <c r="D14" s="631">
        <v>125</v>
      </c>
      <c r="E14" s="624">
        <f t="shared" si="0"/>
        <v>5.0464271295922484E-3</v>
      </c>
      <c r="G14" s="570" t="s">
        <v>128</v>
      </c>
      <c r="H14" s="575" t="s">
        <v>332</v>
      </c>
      <c r="I14" s="92"/>
      <c r="J14" s="92"/>
      <c r="K14" s="92"/>
      <c r="L14" s="92"/>
      <c r="M14" s="92"/>
      <c r="N14" s="92"/>
      <c r="O14" s="92"/>
      <c r="P14" s="571"/>
      <c r="Q14" s="318"/>
      <c r="R14" s="18"/>
    </row>
    <row r="15" spans="1:18">
      <c r="A15" s="637" t="s">
        <v>120</v>
      </c>
      <c r="B15" s="623">
        <v>22</v>
      </c>
      <c r="C15" s="624">
        <f t="shared" si="1"/>
        <v>1.0509721492380452E-3</v>
      </c>
      <c r="D15" s="631">
        <v>9</v>
      </c>
      <c r="E15" s="632">
        <f t="shared" si="0"/>
        <v>3.633427533306419E-4</v>
      </c>
      <c r="G15" s="578" t="s">
        <v>307</v>
      </c>
      <c r="H15" s="579"/>
      <c r="I15" s="318"/>
      <c r="J15" s="579"/>
      <c r="K15" s="579"/>
      <c r="L15" s="579"/>
      <c r="M15" s="579"/>
      <c r="N15" s="579"/>
      <c r="O15" s="318"/>
      <c r="P15" s="96"/>
      <c r="Q15" s="18"/>
      <c r="R15" s="18"/>
    </row>
    <row r="16" spans="1:18">
      <c r="A16" s="280" t="s">
        <v>132</v>
      </c>
      <c r="B16" s="621">
        <v>197</v>
      </c>
      <c r="C16" s="622">
        <f t="shared" si="1"/>
        <v>9.4109778818134045E-3</v>
      </c>
      <c r="D16" s="629">
        <v>257</v>
      </c>
      <c r="E16" s="630">
        <f t="shared" si="0"/>
        <v>1.0375454178441663E-2</v>
      </c>
      <c r="G16" s="578" t="s">
        <v>125</v>
      </c>
      <c r="H16" s="579"/>
      <c r="I16" s="579"/>
      <c r="J16" s="579"/>
      <c r="K16" s="318"/>
      <c r="L16" s="318"/>
      <c r="M16" s="318"/>
      <c r="N16" s="318"/>
      <c r="O16" s="318"/>
      <c r="P16" s="96"/>
      <c r="Q16" s="18"/>
    </row>
    <row r="17" spans="1:18">
      <c r="A17" s="638" t="s">
        <v>133</v>
      </c>
      <c r="B17" s="625">
        <v>323</v>
      </c>
      <c r="C17" s="626">
        <f t="shared" si="1"/>
        <v>1.5430182009267664E-2</v>
      </c>
      <c r="D17" s="633">
        <v>443</v>
      </c>
      <c r="E17" s="634">
        <f t="shared" si="0"/>
        <v>1.7884537747274928E-2</v>
      </c>
      <c r="G17" s="578" t="s">
        <v>121</v>
      </c>
      <c r="H17" s="595">
        <v>0.5</v>
      </c>
      <c r="I17" s="579" t="s">
        <v>117</v>
      </c>
      <c r="J17" s="318" t="s">
        <v>126</v>
      </c>
      <c r="K17" s="318"/>
      <c r="L17" s="18"/>
      <c r="M17" s="580" t="s">
        <v>129</v>
      </c>
      <c r="N17" s="318"/>
      <c r="O17" s="579">
        <f>1.3*365</f>
        <v>474.5</v>
      </c>
      <c r="P17" s="586" t="s">
        <v>308</v>
      </c>
      <c r="Q17" s="18"/>
    </row>
    <row r="18" spans="1:18">
      <c r="A18" s="639" t="s">
        <v>56</v>
      </c>
      <c r="B18" s="627">
        <f>SUM(B10:B17)</f>
        <v>20933</v>
      </c>
      <c r="C18" s="628">
        <f t="shared" si="1"/>
        <v>1</v>
      </c>
      <c r="D18" s="635">
        <f>SUM(D10:D17)</f>
        <v>24770</v>
      </c>
      <c r="E18" s="636">
        <f t="shared" si="0"/>
        <v>1</v>
      </c>
      <c r="G18" s="578" t="s">
        <v>122</v>
      </c>
      <c r="H18" s="595">
        <v>0.5</v>
      </c>
      <c r="I18" s="579" t="s">
        <v>117</v>
      </c>
      <c r="J18" s="579" t="s">
        <v>317</v>
      </c>
      <c r="K18" s="18"/>
      <c r="L18" s="18"/>
      <c r="M18" s="18"/>
      <c r="N18" s="18"/>
      <c r="O18" s="127">
        <f>O17/1000</f>
        <v>0.47449999999999998</v>
      </c>
      <c r="P18" s="96" t="s">
        <v>313</v>
      </c>
      <c r="Q18" s="18"/>
    </row>
    <row r="19" spans="1:18">
      <c r="A19" s="86" t="s">
        <v>153</v>
      </c>
      <c r="G19" s="578" t="s">
        <v>123</v>
      </c>
      <c r="H19" s="596">
        <v>0.3</v>
      </c>
      <c r="I19" s="579" t="s">
        <v>117</v>
      </c>
      <c r="J19" s="318" t="s">
        <v>318</v>
      </c>
      <c r="K19" s="318"/>
      <c r="L19" s="318"/>
      <c r="M19" s="318"/>
      <c r="N19" s="318"/>
      <c r="O19" s="620">
        <f>0.69*O18</f>
        <v>0.32740499999999995</v>
      </c>
      <c r="P19" s="601" t="s">
        <v>319</v>
      </c>
      <c r="Q19" s="18"/>
    </row>
    <row r="20" spans="1:18">
      <c r="A20" s="72" t="s">
        <v>154</v>
      </c>
      <c r="G20" s="597"/>
      <c r="H20" s="596">
        <f>SUM(H17:H19)</f>
        <v>1.3</v>
      </c>
      <c r="I20" s="577" t="s">
        <v>117</v>
      </c>
      <c r="J20" s="48"/>
      <c r="K20" s="583"/>
      <c r="L20" s="583"/>
      <c r="M20" s="577"/>
      <c r="N20" s="602"/>
      <c r="O20" s="577"/>
      <c r="P20" s="572"/>
      <c r="Q20" s="18"/>
    </row>
    <row r="21" spans="1:18">
      <c r="A21" s="72" t="s">
        <v>155</v>
      </c>
    </row>
    <row r="22" spans="1:18">
      <c r="A22" s="72"/>
      <c r="G22" s="570" t="s">
        <v>40</v>
      </c>
      <c r="H22" s="92"/>
      <c r="I22" s="575" t="s">
        <v>144</v>
      </c>
      <c r="J22" s="92"/>
      <c r="K22" s="92"/>
      <c r="L22" s="92"/>
      <c r="M22" s="571"/>
    </row>
    <row r="23" spans="1:18">
      <c r="A23" s="72"/>
      <c r="G23" s="573" t="s">
        <v>145</v>
      </c>
      <c r="H23" s="318"/>
      <c r="I23" s="318"/>
      <c r="J23" s="318"/>
      <c r="K23" s="318"/>
      <c r="L23" s="318"/>
      <c r="M23" s="585"/>
    </row>
    <row r="24" spans="1:18">
      <c r="C24" s="518"/>
      <c r="G24" s="574" t="s">
        <v>126</v>
      </c>
      <c r="H24" s="318"/>
      <c r="I24" s="318"/>
      <c r="J24" s="318" t="s">
        <v>146</v>
      </c>
      <c r="K24" s="318"/>
      <c r="L24" s="318">
        <f>0.5*365</f>
        <v>182.5</v>
      </c>
      <c r="M24" s="585" t="s">
        <v>324</v>
      </c>
    </row>
    <row r="25" spans="1:18">
      <c r="B25" s="517"/>
      <c r="D25" s="518"/>
      <c r="F25" s="70"/>
      <c r="G25" s="574" t="s">
        <v>322</v>
      </c>
      <c r="H25" s="318"/>
      <c r="I25" s="318" t="s">
        <v>323</v>
      </c>
      <c r="J25" s="318"/>
      <c r="K25" s="18"/>
      <c r="L25" s="127">
        <f>L24*0.784</f>
        <v>143.08000000000001</v>
      </c>
      <c r="M25" s="585" t="s">
        <v>326</v>
      </c>
      <c r="N25" s="318"/>
      <c r="O25" s="318"/>
      <c r="P25" s="18"/>
    </row>
    <row r="26" spans="1:18">
      <c r="C26" s="519"/>
      <c r="E26" s="519"/>
      <c r="F26" s="318"/>
      <c r="G26" s="582" t="s">
        <v>325</v>
      </c>
      <c r="H26" s="583"/>
      <c r="I26" s="583"/>
      <c r="J26" s="583"/>
      <c r="K26" s="48"/>
      <c r="L26" s="620">
        <f>L25/1000*1.045</f>
        <v>0.1495186</v>
      </c>
      <c r="M26" s="613" t="s">
        <v>319</v>
      </c>
      <c r="N26" s="318"/>
      <c r="O26" s="318"/>
      <c r="P26" s="318"/>
      <c r="Q26" s="318"/>
      <c r="R26" s="318"/>
    </row>
    <row r="27" spans="1:18">
      <c r="C27" s="519"/>
      <c r="E27" s="519"/>
      <c r="F27" s="318"/>
      <c r="G27" s="318"/>
      <c r="H27" s="318"/>
      <c r="I27" s="318"/>
      <c r="J27" s="318"/>
      <c r="K27" s="18"/>
      <c r="L27" s="318"/>
      <c r="M27" s="600"/>
      <c r="N27" s="318"/>
      <c r="O27" s="318"/>
      <c r="P27" s="318"/>
      <c r="Q27" s="318"/>
      <c r="R27" s="318"/>
    </row>
    <row r="28" spans="1:18">
      <c r="C28" s="519"/>
      <c r="E28" s="519"/>
      <c r="F28" s="318"/>
      <c r="G28" s="318"/>
      <c r="H28" s="318"/>
      <c r="I28" s="318"/>
      <c r="J28" s="318"/>
      <c r="K28" s="18"/>
      <c r="L28" s="318"/>
      <c r="M28" s="600"/>
      <c r="N28" s="318"/>
      <c r="O28" s="318"/>
      <c r="P28" s="318"/>
      <c r="Q28" s="318"/>
      <c r="R28" s="318"/>
    </row>
    <row r="29" spans="1:18"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</row>
    <row r="30" spans="1:18" ht="42.75" customHeight="1">
      <c r="A30" s="590" t="s">
        <v>309</v>
      </c>
      <c r="B30" s="590" t="s">
        <v>310</v>
      </c>
      <c r="C30" s="590" t="s">
        <v>312</v>
      </c>
      <c r="D30" s="590" t="s">
        <v>311</v>
      </c>
      <c r="E30" s="611" t="s">
        <v>320</v>
      </c>
      <c r="F30" s="611" t="s">
        <v>330</v>
      </c>
      <c r="G30" s="612" t="s">
        <v>321</v>
      </c>
      <c r="H30" s="612" t="s">
        <v>329</v>
      </c>
      <c r="I30" s="614" t="s">
        <v>327</v>
      </c>
      <c r="J30" s="614" t="s">
        <v>328</v>
      </c>
      <c r="K30" s="647" t="s">
        <v>344</v>
      </c>
      <c r="L30" s="647" t="s">
        <v>355</v>
      </c>
      <c r="M30" s="614" t="s">
        <v>369</v>
      </c>
      <c r="N30" s="318"/>
      <c r="O30" s="318"/>
      <c r="P30" s="318"/>
      <c r="Q30" s="318"/>
      <c r="R30" s="318"/>
    </row>
    <row r="31" spans="1:18">
      <c r="A31" s="587">
        <v>2010</v>
      </c>
      <c r="B31" s="593">
        <v>89770</v>
      </c>
      <c r="C31" s="589">
        <f>B31/D31</f>
        <v>3.6241421073879692</v>
      </c>
      <c r="D31" s="593">
        <v>24770</v>
      </c>
      <c r="E31" s="603">
        <f>0.5%*D31</f>
        <v>123.85000000000001</v>
      </c>
      <c r="F31" s="605">
        <f t="shared" ref="F31:F40" si="2">E31*$O$12</f>
        <v>52.664116250000006</v>
      </c>
      <c r="G31" s="607">
        <f>0.04%*D31</f>
        <v>9.9080000000000013</v>
      </c>
      <c r="H31" s="609">
        <f t="shared" ref="H31:H40" si="3">G31*$O$19</f>
        <v>3.2439287399999999</v>
      </c>
      <c r="I31" s="615">
        <f>0.1%*D31</f>
        <v>24.77</v>
      </c>
      <c r="J31" s="616">
        <f t="shared" ref="J31:J40" si="4">I31*$L$26</f>
        <v>3.7035757220000001</v>
      </c>
      <c r="K31" s="648">
        <f>16.7%*D31</f>
        <v>4136.5899999999992</v>
      </c>
      <c r="L31" s="648">
        <f t="shared" ref="L31:L40" si="5">K31*$G$62</f>
        <v>71.618691105378787</v>
      </c>
      <c r="M31" s="679">
        <f>F31+H31</f>
        <v>55.908044990000008</v>
      </c>
    </row>
    <row r="32" spans="1:18">
      <c r="A32" s="587">
        <v>2011</v>
      </c>
      <c r="B32" s="593">
        <v>87441</v>
      </c>
      <c r="C32" s="589">
        <v>3.7</v>
      </c>
      <c r="D32" s="593">
        <f>B32/C32</f>
        <v>23632.7027027027</v>
      </c>
      <c r="E32" s="604">
        <f t="shared" ref="E32:E40" si="6">0.5%*D32</f>
        <v>118.16351351351351</v>
      </c>
      <c r="F32" s="606">
        <f t="shared" si="2"/>
        <v>50.246080033783784</v>
      </c>
      <c r="G32" s="608">
        <f t="shared" ref="G32:G40" si="7">0.04%*D32</f>
        <v>9.4530810810810806</v>
      </c>
      <c r="H32" s="610">
        <f t="shared" si="3"/>
        <v>3.0949860113513505</v>
      </c>
      <c r="I32" s="617">
        <f t="shared" ref="I32:I40" si="8">0.1%*D32</f>
        <v>23.632702702702701</v>
      </c>
      <c r="J32" s="618">
        <f t="shared" si="4"/>
        <v>3.5335286223243241</v>
      </c>
      <c r="K32" s="649">
        <f t="shared" ref="K32:K40" si="9">16.7%*D32</f>
        <v>3946.6613513513503</v>
      </c>
      <c r="L32" s="649">
        <f t="shared" si="5"/>
        <v>68.330368786843579</v>
      </c>
      <c r="M32" s="679">
        <f t="shared" ref="M32:M40" si="10">F32+H32</f>
        <v>53.341066045135136</v>
      </c>
    </row>
    <row r="33" spans="1:17">
      <c r="A33" s="587">
        <v>2012</v>
      </c>
      <c r="B33" s="593">
        <v>88303</v>
      </c>
      <c r="C33" s="589">
        <v>3.7</v>
      </c>
      <c r="D33" s="593">
        <f t="shared" ref="D33:D40" si="11">B33/C33</f>
        <v>23865.675675675673</v>
      </c>
      <c r="E33" s="604">
        <f t="shared" si="6"/>
        <v>119.32837837837837</v>
      </c>
      <c r="F33" s="606">
        <f t="shared" si="2"/>
        <v>50.741409695945947</v>
      </c>
      <c r="G33" s="608">
        <f t="shared" si="7"/>
        <v>9.54627027027027</v>
      </c>
      <c r="H33" s="610">
        <f t="shared" si="3"/>
        <v>3.1254966178378374</v>
      </c>
      <c r="I33" s="617">
        <f t="shared" si="8"/>
        <v>23.865675675675675</v>
      </c>
      <c r="J33" s="618">
        <f t="shared" si="4"/>
        <v>3.5683624150810811</v>
      </c>
      <c r="K33" s="649">
        <f t="shared" si="9"/>
        <v>3985.567837837837</v>
      </c>
      <c r="L33" s="649">
        <f t="shared" si="5"/>
        <v>69.003974737075836</v>
      </c>
      <c r="M33" s="679">
        <f t="shared" si="10"/>
        <v>53.866906313783787</v>
      </c>
    </row>
    <row r="34" spans="1:17">
      <c r="A34" s="587">
        <v>2013</v>
      </c>
      <c r="B34" s="593">
        <v>89949</v>
      </c>
      <c r="C34" s="589">
        <v>3.7</v>
      </c>
      <c r="D34" s="593">
        <f t="shared" si="11"/>
        <v>24310.54054054054</v>
      </c>
      <c r="E34" s="604">
        <f t="shared" si="6"/>
        <v>121.5527027027027</v>
      </c>
      <c r="F34" s="606">
        <f t="shared" si="2"/>
        <v>51.687248006756761</v>
      </c>
      <c r="G34" s="608">
        <f t="shared" si="7"/>
        <v>9.7242162162162167</v>
      </c>
      <c r="H34" s="610">
        <f t="shared" si="3"/>
        <v>3.1837570102702699</v>
      </c>
      <c r="I34" s="617">
        <f t="shared" si="8"/>
        <v>24.31054054054054</v>
      </c>
      <c r="J34" s="618">
        <f t="shared" si="4"/>
        <v>3.6348779868648649</v>
      </c>
      <c r="K34" s="649">
        <f t="shared" si="9"/>
        <v>4059.8602702702697</v>
      </c>
      <c r="L34" s="649">
        <f t="shared" si="5"/>
        <v>70.290233894943938</v>
      </c>
      <c r="M34" s="679">
        <f t="shared" si="10"/>
        <v>54.871005017027031</v>
      </c>
    </row>
    <row r="35" spans="1:17">
      <c r="A35" s="587">
        <v>2014</v>
      </c>
      <c r="B35" s="592">
        <v>91359</v>
      </c>
      <c r="C35" s="589">
        <v>3.7</v>
      </c>
      <c r="D35" s="593">
        <f t="shared" si="11"/>
        <v>24691.62162162162</v>
      </c>
      <c r="E35" s="604">
        <f t="shared" si="6"/>
        <v>123.45810810810811</v>
      </c>
      <c r="F35" s="606">
        <f t="shared" si="2"/>
        <v>52.497474020270275</v>
      </c>
      <c r="G35" s="608">
        <f t="shared" si="7"/>
        <v>9.8766486486486489</v>
      </c>
      <c r="H35" s="610">
        <f t="shared" si="3"/>
        <v>3.2336641508108102</v>
      </c>
      <c r="I35" s="617">
        <f t="shared" si="8"/>
        <v>24.691621621621621</v>
      </c>
      <c r="J35" s="618">
        <f t="shared" si="4"/>
        <v>3.6918566965945945</v>
      </c>
      <c r="K35" s="649">
        <f t="shared" si="9"/>
        <v>4123.5008108108104</v>
      </c>
      <c r="L35" s="649">
        <f t="shared" si="5"/>
        <v>71.392071934186973</v>
      </c>
      <c r="M35" s="679">
        <f t="shared" si="10"/>
        <v>55.731138171081085</v>
      </c>
    </row>
    <row r="36" spans="1:17">
      <c r="A36" s="587">
        <v>2015</v>
      </c>
      <c r="B36" s="592">
        <v>93419</v>
      </c>
      <c r="C36" s="589">
        <f>B36/D36</f>
        <v>3.7714574081550261</v>
      </c>
      <c r="D36" s="591">
        <v>24770</v>
      </c>
      <c r="E36" s="604">
        <f t="shared" si="6"/>
        <v>123.85000000000001</v>
      </c>
      <c r="F36" s="606">
        <f t="shared" si="2"/>
        <v>52.664116250000006</v>
      </c>
      <c r="G36" s="608">
        <f t="shared" si="7"/>
        <v>9.9080000000000013</v>
      </c>
      <c r="H36" s="610">
        <f t="shared" si="3"/>
        <v>3.2439287399999999</v>
      </c>
      <c r="I36" s="617">
        <f t="shared" si="8"/>
        <v>24.77</v>
      </c>
      <c r="J36" s="618">
        <f t="shared" si="4"/>
        <v>3.7035757220000001</v>
      </c>
      <c r="K36" s="649">
        <f t="shared" si="9"/>
        <v>4136.5899999999992</v>
      </c>
      <c r="L36" s="649">
        <f t="shared" si="5"/>
        <v>71.618691105378787</v>
      </c>
      <c r="M36" s="679">
        <f t="shared" si="10"/>
        <v>55.908044990000008</v>
      </c>
    </row>
    <row r="37" spans="1:17">
      <c r="A37" s="587">
        <v>2016</v>
      </c>
      <c r="B37" s="592">
        <v>94597.8</v>
      </c>
      <c r="C37" s="594">
        <v>3.8</v>
      </c>
      <c r="D37" s="588">
        <f t="shared" si="11"/>
        <v>24894.157894736843</v>
      </c>
      <c r="E37" s="604">
        <f t="shared" si="6"/>
        <v>124.47078947368422</v>
      </c>
      <c r="F37" s="606">
        <f t="shared" si="2"/>
        <v>52.928091453947374</v>
      </c>
      <c r="G37" s="608">
        <f t="shared" si="7"/>
        <v>9.9576631578947374</v>
      </c>
      <c r="H37" s="610">
        <f t="shared" si="3"/>
        <v>3.2601887062105259</v>
      </c>
      <c r="I37" s="617">
        <f t="shared" si="8"/>
        <v>24.894157894736843</v>
      </c>
      <c r="J37" s="618">
        <f t="shared" si="4"/>
        <v>3.7221396366000001</v>
      </c>
      <c r="K37" s="649">
        <f t="shared" si="9"/>
        <v>4157.324368421052</v>
      </c>
      <c r="L37" s="649">
        <f t="shared" si="5"/>
        <v>71.977674791751511</v>
      </c>
      <c r="M37" s="679">
        <f t="shared" si="10"/>
        <v>56.188280160157902</v>
      </c>
    </row>
    <row r="38" spans="1:17">
      <c r="A38" s="587">
        <v>2017</v>
      </c>
      <c r="B38" s="592">
        <v>95800</v>
      </c>
      <c r="C38" s="594">
        <v>3.8</v>
      </c>
      <c r="D38" s="588">
        <f t="shared" si="11"/>
        <v>25210.526315789473</v>
      </c>
      <c r="E38" s="604">
        <f t="shared" si="6"/>
        <v>126.05263157894737</v>
      </c>
      <c r="F38" s="606">
        <f t="shared" si="2"/>
        <v>53.600730263157899</v>
      </c>
      <c r="G38" s="608">
        <f t="shared" si="7"/>
        <v>10.08421052631579</v>
      </c>
      <c r="H38" s="610">
        <f t="shared" si="3"/>
        <v>3.3016209473684204</v>
      </c>
      <c r="I38" s="617">
        <f t="shared" si="8"/>
        <v>25.210526315789473</v>
      </c>
      <c r="J38" s="618">
        <f t="shared" si="4"/>
        <v>3.7694426000000001</v>
      </c>
      <c r="K38" s="649">
        <f t="shared" si="9"/>
        <v>4210.1578947368416</v>
      </c>
      <c r="L38" s="649">
        <f t="shared" si="5"/>
        <v>72.892406007854248</v>
      </c>
      <c r="M38" s="679">
        <f t="shared" si="10"/>
        <v>56.902351210526319</v>
      </c>
    </row>
    <row r="39" spans="1:17">
      <c r="A39" s="587">
        <v>2018</v>
      </c>
      <c r="B39" s="592">
        <v>96800</v>
      </c>
      <c r="C39" s="594">
        <v>3.8</v>
      </c>
      <c r="D39" s="588">
        <f t="shared" si="11"/>
        <v>25473.684210526317</v>
      </c>
      <c r="E39" s="604">
        <f t="shared" si="6"/>
        <v>127.36842105263159</v>
      </c>
      <c r="F39" s="606">
        <f t="shared" si="2"/>
        <v>54.16023684210527</v>
      </c>
      <c r="G39" s="608">
        <f t="shared" si="7"/>
        <v>10.189473684210528</v>
      </c>
      <c r="H39" s="610">
        <f t="shared" si="3"/>
        <v>3.3360846315789474</v>
      </c>
      <c r="I39" s="617">
        <f t="shared" si="8"/>
        <v>25.473684210526319</v>
      </c>
      <c r="J39" s="618">
        <f t="shared" si="4"/>
        <v>3.8087896000000003</v>
      </c>
      <c r="K39" s="649">
        <f t="shared" si="9"/>
        <v>4254.1052631578941</v>
      </c>
      <c r="L39" s="649">
        <f t="shared" si="5"/>
        <v>73.653287072654393</v>
      </c>
      <c r="M39" s="679">
        <f t="shared" si="10"/>
        <v>57.496321473684219</v>
      </c>
    </row>
    <row r="40" spans="1:17">
      <c r="A40" s="587">
        <v>2019</v>
      </c>
      <c r="B40" s="592">
        <v>97739</v>
      </c>
      <c r="C40" s="594">
        <v>3.8</v>
      </c>
      <c r="D40" s="588">
        <f t="shared" si="11"/>
        <v>25720.78947368421</v>
      </c>
      <c r="E40" s="604">
        <f t="shared" si="6"/>
        <v>128.60394736842105</v>
      </c>
      <c r="F40" s="606">
        <f t="shared" si="2"/>
        <v>54.68561351973684</v>
      </c>
      <c r="G40" s="608">
        <f t="shared" si="7"/>
        <v>10.288315789473684</v>
      </c>
      <c r="H40" s="610">
        <f t="shared" si="3"/>
        <v>3.3684460310526307</v>
      </c>
      <c r="I40" s="617">
        <f t="shared" si="8"/>
        <v>25.72078947368421</v>
      </c>
      <c r="J40" s="618">
        <f t="shared" si="4"/>
        <v>3.8457364329999999</v>
      </c>
      <c r="K40" s="649">
        <f t="shared" si="9"/>
        <v>4295.3718421052627</v>
      </c>
      <c r="L40" s="649">
        <f t="shared" si="5"/>
        <v>74.367754392501737</v>
      </c>
      <c r="M40" s="679">
        <f t="shared" si="10"/>
        <v>58.054059550789468</v>
      </c>
    </row>
    <row r="41" spans="1:17">
      <c r="A41" s="587">
        <v>2020</v>
      </c>
      <c r="B41" s="592">
        <v>99276.986666666693</v>
      </c>
    </row>
    <row r="42" spans="1:17">
      <c r="A42" s="587">
        <v>2021</v>
      </c>
      <c r="B42" s="592">
        <v>100512.563809524</v>
      </c>
    </row>
    <row r="43" spans="1:17">
      <c r="A43" s="587">
        <v>2022</v>
      </c>
      <c r="B43" s="592">
        <v>101748.140952381</v>
      </c>
      <c r="N43" s="72" t="s">
        <v>342</v>
      </c>
    </row>
    <row r="44" spans="1:17">
      <c r="A44" s="587">
        <v>2023</v>
      </c>
      <c r="B44" s="592">
        <v>102983.718095238</v>
      </c>
      <c r="G44" s="18"/>
      <c r="H44" s="18"/>
      <c r="I44" s="18"/>
      <c r="J44" s="18"/>
      <c r="K44" s="18"/>
      <c r="L44" s="18"/>
      <c r="M44" s="18"/>
      <c r="N44" s="72" t="s">
        <v>343</v>
      </c>
      <c r="O44" s="18"/>
      <c r="P44" s="18"/>
      <c r="Q44" s="18"/>
    </row>
    <row r="45" spans="1:17" ht="18.75">
      <c r="F45" s="642" t="s">
        <v>335</v>
      </c>
    </row>
    <row r="47" spans="1:17">
      <c r="A47" s="72" t="s">
        <v>358</v>
      </c>
      <c r="L47" s="1">
        <f>1664/9953</f>
        <v>0.16718577313372851</v>
      </c>
    </row>
    <row r="48" spans="1:17">
      <c r="A48" s="72" t="s">
        <v>357</v>
      </c>
      <c r="L48" s="75">
        <f>24770*L47</f>
        <v>4141.1916005224548</v>
      </c>
    </row>
    <row r="49" spans="1:16">
      <c r="A49" s="72"/>
    </row>
    <row r="50" spans="1:16">
      <c r="A50" s="72" t="s">
        <v>135</v>
      </c>
      <c r="B50" s="72" t="s">
        <v>336</v>
      </c>
      <c r="G50" s="72">
        <v>2</v>
      </c>
      <c r="H50" s="72" t="s">
        <v>84</v>
      </c>
      <c r="O50" s="1"/>
      <c r="P50" s="11"/>
    </row>
    <row r="51" spans="1:16">
      <c r="B51" s="72" t="s">
        <v>337</v>
      </c>
      <c r="G51" s="72">
        <v>200</v>
      </c>
      <c r="H51" s="72" t="s">
        <v>65</v>
      </c>
    </row>
    <row r="52" spans="1:16">
      <c r="B52" s="72" t="s">
        <v>348</v>
      </c>
      <c r="G52" s="72">
        <v>43</v>
      </c>
      <c r="H52" s="72" t="s">
        <v>85</v>
      </c>
      <c r="I52" s="72" t="s">
        <v>359</v>
      </c>
    </row>
    <row r="53" spans="1:16">
      <c r="B53" s="72" t="s">
        <v>338</v>
      </c>
      <c r="G53" s="72">
        <v>30</v>
      </c>
      <c r="H53" s="72" t="s">
        <v>85</v>
      </c>
    </row>
    <row r="54" spans="1:16">
      <c r="J54" s="646" t="s">
        <v>360</v>
      </c>
      <c r="K54" s="72" t="s">
        <v>361</v>
      </c>
      <c r="L54" s="72" t="s">
        <v>339</v>
      </c>
    </row>
    <row r="55" spans="1:16">
      <c r="A55" s="72" t="s">
        <v>349</v>
      </c>
      <c r="G55" s="142">
        <f>G51*4.182*(G52-G53)</f>
        <v>10873.2</v>
      </c>
      <c r="H55" s="72" t="s">
        <v>346</v>
      </c>
      <c r="J55" s="72" t="s">
        <v>340</v>
      </c>
      <c r="K55" s="72"/>
      <c r="L55" s="72"/>
    </row>
    <row r="56" spans="1:16">
      <c r="A56" s="72" t="s">
        <v>341</v>
      </c>
      <c r="G56" s="643">
        <f>G55*365/1000000</f>
        <v>3.9687180000000004</v>
      </c>
      <c r="H56" s="72" t="s">
        <v>347</v>
      </c>
    </row>
    <row r="57" spans="1:16">
      <c r="A57" s="72" t="s">
        <v>350</v>
      </c>
      <c r="B57" s="72"/>
      <c r="G57" s="644">
        <f>G56/K57</f>
        <v>9.479120091716825E-2</v>
      </c>
      <c r="H57" s="645" t="s">
        <v>345</v>
      </c>
      <c r="J57" s="76" t="s">
        <v>136</v>
      </c>
      <c r="K57" s="77">
        <v>41.868000000000002</v>
      </c>
      <c r="L57" s="78" t="s">
        <v>137</v>
      </c>
    </row>
    <row r="59" spans="1:16">
      <c r="A59" s="72" t="s">
        <v>356</v>
      </c>
    </row>
    <row r="60" spans="1:16">
      <c r="A60" s="72" t="s">
        <v>351</v>
      </c>
      <c r="G60" s="142">
        <v>1600</v>
      </c>
      <c r="H60" s="72" t="s">
        <v>352</v>
      </c>
      <c r="I60" s="72"/>
    </row>
    <row r="61" spans="1:16">
      <c r="A61" s="72" t="s">
        <v>353</v>
      </c>
      <c r="G61" s="143">
        <f>G60/8760</f>
        <v>0.18264840182648401</v>
      </c>
      <c r="H61" s="72"/>
    </row>
    <row r="62" spans="1:16">
      <c r="A62" s="72" t="s">
        <v>354</v>
      </c>
      <c r="G62" s="644">
        <f>G57*G61</f>
        <v>1.7313461354733925E-2</v>
      </c>
      <c r="H62" s="645" t="s">
        <v>345</v>
      </c>
    </row>
    <row r="69" spans="3:13">
      <c r="D69" s="3"/>
      <c r="E69" s="3"/>
      <c r="F69" s="3"/>
    </row>
    <row r="70" spans="3:13">
      <c r="C70" s="20"/>
      <c r="D70" s="3"/>
      <c r="E70" s="3"/>
      <c r="F70" s="10"/>
      <c r="G70" s="10"/>
      <c r="H70" s="10"/>
      <c r="I70" s="10"/>
      <c r="J70" s="10"/>
    </row>
    <row r="71" spans="3:13">
      <c r="C71" s="3"/>
      <c r="D71" s="3"/>
      <c r="E71" s="3"/>
      <c r="F71" s="3"/>
      <c r="G71" s="326"/>
      <c r="H71" s="3"/>
      <c r="I71" s="3"/>
      <c r="J71" s="3"/>
      <c r="K71" s="3"/>
      <c r="L71" s="3"/>
      <c r="M71" s="3"/>
    </row>
    <row r="72" spans="3:13">
      <c r="G72" s="11"/>
      <c r="H72" s="10"/>
      <c r="I72" s="10"/>
      <c r="K72" s="21"/>
      <c r="L72" s="10"/>
      <c r="M72" s="9"/>
    </row>
    <row r="73" spans="3:13">
      <c r="G73" s="11"/>
      <c r="H73" s="10"/>
      <c r="I73" s="10"/>
      <c r="K73" s="21"/>
      <c r="L73" s="10"/>
      <c r="M73" s="9"/>
    </row>
    <row r="74" spans="3:13">
      <c r="G74" s="11"/>
      <c r="H74" s="10"/>
      <c r="I74" s="10"/>
      <c r="K74" s="21"/>
      <c r="L74" s="10"/>
      <c r="M74" s="9"/>
    </row>
    <row r="75" spans="3:13">
      <c r="G75" s="11"/>
      <c r="H75" s="10"/>
      <c r="I75" s="10"/>
      <c r="K75" s="21"/>
      <c r="L75" s="10"/>
      <c r="M75" s="9"/>
    </row>
    <row r="76" spans="3:13">
      <c r="I76" s="10"/>
      <c r="M76" s="19"/>
    </row>
  </sheetData>
  <mergeCells count="2">
    <mergeCell ref="B9:C9"/>
    <mergeCell ref="D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64"/>
  <sheetViews>
    <sheetView topLeftCell="A25" workbookViewId="0">
      <selection activeCell="O42" sqref="O42"/>
    </sheetView>
  </sheetViews>
  <sheetFormatPr defaultRowHeight="15"/>
  <sheetData>
    <row r="2" spans="2:2" ht="23.25">
      <c r="B2" s="678" t="s">
        <v>423</v>
      </c>
    </row>
    <row r="27" spans="2:7" ht="23.25">
      <c r="B27" s="678" t="s">
        <v>424</v>
      </c>
    </row>
    <row r="28" spans="2:7">
      <c r="C28" s="2"/>
    </row>
    <row r="30" spans="2:7">
      <c r="G30" s="60"/>
    </row>
    <row r="32" spans="2:7">
      <c r="G32" s="60"/>
    </row>
    <row r="34" spans="1:7">
      <c r="G34" s="60"/>
    </row>
    <row r="37" spans="1:7">
      <c r="A37" s="2"/>
    </row>
    <row r="64" spans="1:1">
      <c r="A6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Balance-2021</vt:lpstr>
      <vt:lpstr>Petroleum Stat-2021</vt:lpstr>
      <vt:lpstr>Electricity Stat-2021</vt:lpstr>
      <vt:lpstr>Biomass, SWH &amp; Kero</vt:lpstr>
      <vt:lpstr>Charts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2023-02-08T12:00:31Z</cp:lastPrinted>
  <dcterms:created xsi:type="dcterms:W3CDTF">2016-10-21T11:29:00Z</dcterms:created>
  <dcterms:modified xsi:type="dcterms:W3CDTF">2023-02-17T11:47:58Z</dcterms:modified>
</cp:coreProperties>
</file>