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8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dellserver01\e\TXPROJ\TX2405-01\Docs\Reports\Traffic Study\07 HCS\Phase 2\"/>
    </mc:Choice>
  </mc:AlternateContent>
  <bookViews>
    <workbookView xWindow="480" yWindow="45" windowWidth="28260" windowHeight="13305" tabRatio="833"/>
  </bookViews>
  <sheets>
    <sheet name="Inputs" sheetId="7" r:id="rId1"/>
    <sheet name="Station Number" sheetId="8" r:id="rId2"/>
    <sheet name="LALD Length" sheetId="9" r:id="rId3"/>
  </sheets>
  <definedNames>
    <definedName name="downstream">#REF!</definedName>
    <definedName name="_xlnm.Print_Area" localSheetId="0">Inputs!$A$35:$V$77</definedName>
    <definedName name="upstream">#REF!</definedName>
  </definedNames>
  <calcPr calcId="171027"/>
</workbook>
</file>

<file path=xl/calcChain.xml><?xml version="1.0" encoding="utf-8"?>
<calcChain xmlns="http://schemas.openxmlformats.org/spreadsheetml/2006/main">
  <c r="F58" i="7" l="1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57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36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74" i="7"/>
  <c r="K75" i="7"/>
  <c r="K76" i="7"/>
  <c r="K77" i="7"/>
  <c r="K78" i="7"/>
  <c r="K79" i="7"/>
  <c r="K80" i="7"/>
  <c r="K81" i="7"/>
  <c r="K82" i="7"/>
  <c r="K83" i="7"/>
  <c r="K84" i="7"/>
  <c r="K57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36" i="7"/>
  <c r="E33" i="7" l="1"/>
  <c r="G33" i="7"/>
  <c r="I33" i="7" s="1"/>
  <c r="H33" i="7"/>
  <c r="P33" i="7"/>
  <c r="Q33" i="7"/>
  <c r="Q27" i="7"/>
  <c r="E27" i="7"/>
  <c r="G27" i="7"/>
  <c r="H27" i="7"/>
  <c r="I27" i="7"/>
  <c r="P27" i="7"/>
  <c r="Q9" i="7"/>
  <c r="Q10" i="7"/>
  <c r="P10" i="7"/>
  <c r="H10" i="7"/>
  <c r="G10" i="7"/>
  <c r="I10" i="7" s="1"/>
  <c r="E10" i="7"/>
  <c r="Q2" i="7"/>
  <c r="P2" i="7"/>
  <c r="S2" i="7" s="1"/>
  <c r="H2" i="7"/>
  <c r="G2" i="7"/>
  <c r="I2" i="7" s="1"/>
  <c r="E2" i="7"/>
  <c r="E14" i="9"/>
  <c r="E15" i="9"/>
  <c r="E16" i="9"/>
  <c r="E17" i="9"/>
  <c r="E19" i="9"/>
  <c r="E20" i="9"/>
  <c r="E21" i="9"/>
  <c r="E22" i="9"/>
  <c r="E23" i="9"/>
  <c r="E24" i="9"/>
  <c r="E25" i="9"/>
  <c r="E12" i="9"/>
  <c r="E2" i="9"/>
  <c r="E3" i="9"/>
  <c r="E4" i="9"/>
  <c r="E6" i="9"/>
  <c r="E8" i="9"/>
  <c r="E9" i="9"/>
  <c r="E10" i="9"/>
  <c r="E1" i="9"/>
  <c r="M58" i="7"/>
  <c r="M59" i="7"/>
  <c r="M60" i="7"/>
  <c r="M61" i="7"/>
  <c r="M62" i="7"/>
  <c r="M63" i="7"/>
  <c r="M64" i="7"/>
  <c r="M65" i="7"/>
  <c r="M66" i="7"/>
  <c r="M67" i="7"/>
  <c r="M68" i="7"/>
  <c r="M69" i="7"/>
  <c r="M70" i="7"/>
  <c r="M71" i="7"/>
  <c r="M72" i="7"/>
  <c r="M73" i="7"/>
  <c r="M74" i="7"/>
  <c r="M75" i="7"/>
  <c r="M76" i="7"/>
  <c r="M77" i="7"/>
  <c r="M78" i="7"/>
  <c r="M79" i="7"/>
  <c r="M80" i="7"/>
  <c r="M81" i="7"/>
  <c r="M82" i="7"/>
  <c r="M83" i="7"/>
  <c r="M84" i="7"/>
  <c r="M57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R33" i="7" l="1"/>
  <c r="J33" i="7" s="1"/>
  <c r="S33" i="7"/>
  <c r="R27" i="7"/>
  <c r="J27" i="7" s="1"/>
  <c r="S27" i="7"/>
  <c r="S10" i="7"/>
  <c r="R10" i="7"/>
  <c r="J10" i="7" s="1"/>
  <c r="R2" i="7"/>
  <c r="J2" i="7" s="1"/>
  <c r="H36" i="7" l="1"/>
  <c r="I36" i="7" s="1"/>
  <c r="H37" i="7"/>
  <c r="I37" i="7" s="1"/>
  <c r="H38" i="7"/>
  <c r="I38" i="7" s="1"/>
  <c r="H39" i="7"/>
  <c r="I39" i="7" s="1"/>
  <c r="H40" i="7"/>
  <c r="I40" i="7" s="1"/>
  <c r="H41" i="7"/>
  <c r="I41" i="7" s="1"/>
  <c r="H42" i="7"/>
  <c r="I42" i="7" s="1"/>
  <c r="H43" i="7"/>
  <c r="I43" i="7" s="1"/>
  <c r="H44" i="7"/>
  <c r="I44" i="7" s="1"/>
  <c r="H45" i="7"/>
  <c r="I45" i="7" s="1"/>
  <c r="H46" i="7"/>
  <c r="I46" i="7" s="1"/>
  <c r="H47" i="7"/>
  <c r="I47" i="7" s="1"/>
  <c r="H48" i="7"/>
  <c r="I48" i="7" s="1"/>
  <c r="H49" i="7"/>
  <c r="I49" i="7" s="1"/>
  <c r="H50" i="7"/>
  <c r="I50" i="7" s="1"/>
  <c r="H51" i="7"/>
  <c r="I51" i="7" s="1"/>
  <c r="H52" i="7"/>
  <c r="I52" i="7" s="1"/>
  <c r="H53" i="7"/>
  <c r="I53" i="7" s="1"/>
  <c r="H54" i="7"/>
  <c r="I54" i="7" s="1"/>
  <c r="H55" i="7"/>
  <c r="I55" i="7" s="1"/>
  <c r="H57" i="7"/>
  <c r="I57" i="7" s="1"/>
  <c r="H58" i="7"/>
  <c r="I58" i="7" s="1"/>
  <c r="H59" i="7"/>
  <c r="I59" i="7" s="1"/>
  <c r="H60" i="7"/>
  <c r="I60" i="7" s="1"/>
  <c r="H61" i="7"/>
  <c r="I61" i="7" s="1"/>
  <c r="H62" i="7"/>
  <c r="I62" i="7" s="1"/>
  <c r="H63" i="7"/>
  <c r="I63" i="7" s="1"/>
  <c r="H64" i="7"/>
  <c r="I64" i="7" s="1"/>
  <c r="H65" i="7"/>
  <c r="I65" i="7" s="1"/>
  <c r="H66" i="7"/>
  <c r="I66" i="7" s="1"/>
  <c r="H67" i="7"/>
  <c r="I67" i="7" s="1"/>
  <c r="H68" i="7"/>
  <c r="I68" i="7" s="1"/>
  <c r="H69" i="7"/>
  <c r="I69" i="7" s="1"/>
  <c r="H70" i="7"/>
  <c r="I70" i="7" s="1"/>
  <c r="H71" i="7"/>
  <c r="I71" i="7" s="1"/>
  <c r="H72" i="7"/>
  <c r="I72" i="7" s="1"/>
  <c r="H73" i="7"/>
  <c r="I73" i="7" s="1"/>
  <c r="H74" i="7"/>
  <c r="I74" i="7" s="1"/>
  <c r="H75" i="7"/>
  <c r="I75" i="7" s="1"/>
  <c r="H76" i="7"/>
  <c r="I76" i="7" s="1"/>
  <c r="H77" i="7"/>
  <c r="I77" i="7" s="1"/>
  <c r="H78" i="7"/>
  <c r="I78" i="7" s="1"/>
  <c r="H79" i="7"/>
  <c r="I79" i="7" s="1"/>
  <c r="H80" i="7"/>
  <c r="I80" i="7" s="1"/>
  <c r="H81" i="7"/>
  <c r="I81" i="7" s="1"/>
  <c r="H82" i="7"/>
  <c r="I82" i="7" s="1"/>
  <c r="H83" i="7"/>
  <c r="I83" i="7" s="1"/>
  <c r="H84" i="7"/>
  <c r="I84" i="7" s="1"/>
  <c r="G25" i="7"/>
  <c r="I25" i="7" s="1"/>
  <c r="H25" i="7"/>
  <c r="G26" i="7"/>
  <c r="I26" i="7" s="1"/>
  <c r="H26" i="7"/>
  <c r="G28" i="7"/>
  <c r="I28" i="7" s="1"/>
  <c r="H28" i="7"/>
  <c r="G29" i="7"/>
  <c r="I29" i="7" s="1"/>
  <c r="H29" i="7"/>
  <c r="G30" i="7"/>
  <c r="I30" i="7" s="1"/>
  <c r="H30" i="7"/>
  <c r="G31" i="7"/>
  <c r="I31" i="7" s="1"/>
  <c r="H31" i="7"/>
  <c r="G32" i="7"/>
  <c r="I32" i="7" s="1"/>
  <c r="H32" i="7"/>
  <c r="H24" i="7"/>
  <c r="G24" i="7"/>
  <c r="I24" i="7" s="1"/>
  <c r="H23" i="7"/>
  <c r="G23" i="7"/>
  <c r="I23" i="7" s="1"/>
  <c r="G9" i="7"/>
  <c r="I9" i="7" s="1"/>
  <c r="H9" i="7"/>
  <c r="G11" i="7"/>
  <c r="I11" i="7" s="1"/>
  <c r="H11" i="7"/>
  <c r="G12" i="7"/>
  <c r="I12" i="7" s="1"/>
  <c r="H12" i="7"/>
  <c r="G13" i="7"/>
  <c r="I13" i="7" s="1"/>
  <c r="H13" i="7"/>
  <c r="G14" i="7"/>
  <c r="I14" i="7" s="1"/>
  <c r="H14" i="7"/>
  <c r="G15" i="7"/>
  <c r="I15" i="7" s="1"/>
  <c r="H15" i="7"/>
  <c r="G16" i="7"/>
  <c r="I16" i="7" s="1"/>
  <c r="H16" i="7"/>
  <c r="G17" i="7"/>
  <c r="I17" i="7" s="1"/>
  <c r="H17" i="7"/>
  <c r="G18" i="7"/>
  <c r="I18" i="7" s="1"/>
  <c r="H18" i="7"/>
  <c r="G19" i="7"/>
  <c r="I19" i="7" s="1"/>
  <c r="H19" i="7"/>
  <c r="G20" i="7"/>
  <c r="I20" i="7" s="1"/>
  <c r="H20" i="7"/>
  <c r="G21" i="7"/>
  <c r="I21" i="7" s="1"/>
  <c r="H21" i="7"/>
  <c r="G3" i="7"/>
  <c r="I3" i="7" s="1"/>
  <c r="H3" i="7"/>
  <c r="G4" i="7"/>
  <c r="I4" i="7" s="1"/>
  <c r="H4" i="7"/>
  <c r="G6" i="7"/>
  <c r="I6" i="7" s="1"/>
  <c r="H6" i="7"/>
  <c r="P31" i="7" l="1"/>
  <c r="Q31" i="7"/>
  <c r="Q23" i="7"/>
  <c r="P21" i="7"/>
  <c r="Q21" i="7"/>
  <c r="Q18" i="7"/>
  <c r="P18" i="7"/>
  <c r="Q15" i="7"/>
  <c r="P15" i="7"/>
  <c r="Q13" i="7"/>
  <c r="P13" i="7"/>
  <c r="E12" i="7"/>
  <c r="P12" i="7"/>
  <c r="Q12" i="7"/>
  <c r="P11" i="7"/>
  <c r="Q6" i="7"/>
  <c r="P6" i="7"/>
  <c r="Q4" i="7"/>
  <c r="P4" i="7"/>
  <c r="Q3" i="7"/>
  <c r="P3" i="7"/>
  <c r="P29" i="7"/>
  <c r="Q29" i="7"/>
  <c r="P30" i="7"/>
  <c r="Q30" i="7"/>
  <c r="P32" i="7"/>
  <c r="Q32" i="7"/>
  <c r="Q28" i="7"/>
  <c r="P28" i="7"/>
  <c r="Q26" i="7"/>
  <c r="P26" i="7"/>
  <c r="Q25" i="7"/>
  <c r="P25" i="7"/>
  <c r="Q24" i="7"/>
  <c r="P24" i="7"/>
  <c r="P23" i="7"/>
  <c r="P14" i="7"/>
  <c r="Q14" i="7"/>
  <c r="P16" i="7"/>
  <c r="Q16" i="7"/>
  <c r="P17" i="7"/>
  <c r="Q17" i="7"/>
  <c r="P19" i="7"/>
  <c r="Q19" i="7"/>
  <c r="P20" i="7"/>
  <c r="Q20" i="7"/>
  <c r="Q11" i="7"/>
  <c r="P9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57" i="7"/>
  <c r="P78" i="7"/>
  <c r="Q78" i="7"/>
  <c r="P79" i="7"/>
  <c r="Q79" i="7"/>
  <c r="P80" i="7"/>
  <c r="S80" i="7" s="1"/>
  <c r="Q80" i="7"/>
  <c r="P81" i="7"/>
  <c r="S81" i="7" s="1"/>
  <c r="Q81" i="7"/>
  <c r="P82" i="7"/>
  <c r="S82" i="7" s="1"/>
  <c r="Q82" i="7"/>
  <c r="P83" i="7"/>
  <c r="S83" i="7" s="1"/>
  <c r="Q83" i="7"/>
  <c r="P84" i="7"/>
  <c r="S84" i="7" s="1"/>
  <c r="Q84" i="7"/>
  <c r="P58" i="7"/>
  <c r="S58" i="7" s="1"/>
  <c r="Q58" i="7"/>
  <c r="P59" i="7"/>
  <c r="S59" i="7" s="1"/>
  <c r="Q59" i="7"/>
  <c r="P60" i="7"/>
  <c r="S60" i="7" s="1"/>
  <c r="Q60" i="7"/>
  <c r="P61" i="7"/>
  <c r="S61" i="7" s="1"/>
  <c r="Q61" i="7"/>
  <c r="P62" i="7"/>
  <c r="S62" i="7" s="1"/>
  <c r="Q62" i="7"/>
  <c r="P63" i="7"/>
  <c r="S63" i="7" s="1"/>
  <c r="Q63" i="7"/>
  <c r="P64" i="7"/>
  <c r="S64" i="7" s="1"/>
  <c r="Q64" i="7"/>
  <c r="P65" i="7"/>
  <c r="S65" i="7" s="1"/>
  <c r="Q65" i="7"/>
  <c r="P66" i="7"/>
  <c r="S66" i="7" s="1"/>
  <c r="Q66" i="7"/>
  <c r="P67" i="7"/>
  <c r="S67" i="7" s="1"/>
  <c r="Q67" i="7"/>
  <c r="P68" i="7"/>
  <c r="S68" i="7" s="1"/>
  <c r="Q68" i="7"/>
  <c r="P69" i="7"/>
  <c r="S69" i="7" s="1"/>
  <c r="Q69" i="7"/>
  <c r="P70" i="7"/>
  <c r="S70" i="7" s="1"/>
  <c r="Q70" i="7"/>
  <c r="P71" i="7"/>
  <c r="S71" i="7" s="1"/>
  <c r="Q71" i="7"/>
  <c r="P72" i="7"/>
  <c r="S72" i="7" s="1"/>
  <c r="Q72" i="7"/>
  <c r="P73" i="7"/>
  <c r="S73" i="7" s="1"/>
  <c r="Q73" i="7"/>
  <c r="P74" i="7"/>
  <c r="Q74" i="7"/>
  <c r="P75" i="7"/>
  <c r="S75" i="7" s="1"/>
  <c r="Q75" i="7"/>
  <c r="P76" i="7"/>
  <c r="S76" i="7" s="1"/>
  <c r="Q76" i="7"/>
  <c r="P77" i="7"/>
  <c r="S77" i="7" s="1"/>
  <c r="Q77" i="7"/>
  <c r="Q57" i="7"/>
  <c r="P57" i="7"/>
  <c r="S57" i="7" s="1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P52" i="7"/>
  <c r="S52" i="7" s="1"/>
  <c r="Q52" i="7"/>
  <c r="P53" i="7"/>
  <c r="S53" i="7" s="1"/>
  <c r="Q53" i="7"/>
  <c r="P54" i="7"/>
  <c r="S54" i="7" s="1"/>
  <c r="Q54" i="7"/>
  <c r="P55" i="7"/>
  <c r="S55" i="7" s="1"/>
  <c r="Q55" i="7"/>
  <c r="P36" i="7"/>
  <c r="S36" i="7" s="1"/>
  <c r="Q36" i="7"/>
  <c r="P37" i="7"/>
  <c r="S37" i="7" s="1"/>
  <c r="Q37" i="7"/>
  <c r="P38" i="7"/>
  <c r="S38" i="7" s="1"/>
  <c r="Q38" i="7"/>
  <c r="P39" i="7"/>
  <c r="S39" i="7" s="1"/>
  <c r="Q39" i="7"/>
  <c r="P40" i="7"/>
  <c r="S40" i="7" s="1"/>
  <c r="Q40" i="7"/>
  <c r="P41" i="7"/>
  <c r="S41" i="7" s="1"/>
  <c r="Q41" i="7"/>
  <c r="P42" i="7"/>
  <c r="S42" i="7" s="1"/>
  <c r="Q42" i="7"/>
  <c r="P43" i="7"/>
  <c r="S43" i="7" s="1"/>
  <c r="Q43" i="7"/>
  <c r="P44" i="7"/>
  <c r="S44" i="7" s="1"/>
  <c r="Q44" i="7"/>
  <c r="P45" i="7"/>
  <c r="S45" i="7" s="1"/>
  <c r="Q45" i="7"/>
  <c r="P46" i="7"/>
  <c r="S46" i="7" s="1"/>
  <c r="Q46" i="7"/>
  <c r="P47" i="7"/>
  <c r="S47" i="7" s="1"/>
  <c r="Q47" i="7"/>
  <c r="P48" i="7"/>
  <c r="S48" i="7" s="1"/>
  <c r="Q48" i="7"/>
  <c r="P49" i="7"/>
  <c r="S49" i="7" s="1"/>
  <c r="Q49" i="7"/>
  <c r="P50" i="7"/>
  <c r="S50" i="7" s="1"/>
  <c r="Q50" i="7"/>
  <c r="P51" i="7"/>
  <c r="S51" i="7" s="1"/>
  <c r="Q51" i="7"/>
  <c r="S9" i="7" l="1"/>
  <c r="S6" i="7"/>
  <c r="S23" i="7"/>
  <c r="S18" i="7"/>
  <c r="S26" i="7"/>
  <c r="S29" i="7"/>
  <c r="S16" i="7"/>
  <c r="S14" i="7"/>
  <c r="S21" i="7"/>
  <c r="S3" i="7"/>
  <c r="R19" i="7"/>
  <c r="J19" i="7" s="1"/>
  <c r="S11" i="7"/>
  <c r="S30" i="7"/>
  <c r="R24" i="7"/>
  <c r="J24" i="7" s="1"/>
  <c r="S15" i="7"/>
  <c r="R25" i="7"/>
  <c r="J25" i="7" s="1"/>
  <c r="R13" i="7"/>
  <c r="J13" i="7" s="1"/>
  <c r="R69" i="7"/>
  <c r="L69" i="7" s="1"/>
  <c r="R79" i="7"/>
  <c r="L79" i="7" s="1"/>
  <c r="R28" i="7"/>
  <c r="J28" i="7" s="1"/>
  <c r="S31" i="7"/>
  <c r="R70" i="7"/>
  <c r="L70" i="7" s="1"/>
  <c r="R68" i="7"/>
  <c r="N68" i="7" s="1"/>
  <c r="O68" i="7" s="1"/>
  <c r="S28" i="7"/>
  <c r="R71" i="7"/>
  <c r="L71" i="7" s="1"/>
  <c r="R72" i="7"/>
  <c r="L72" i="7" s="1"/>
  <c r="S20" i="7"/>
  <c r="S4" i="7"/>
  <c r="S17" i="7"/>
  <c r="R12" i="7"/>
  <c r="J12" i="7" s="1"/>
  <c r="S25" i="7"/>
  <c r="R78" i="7"/>
  <c r="L78" i="7" s="1"/>
  <c r="S24" i="7"/>
  <c r="R32" i="7"/>
  <c r="J32" i="7" s="1"/>
  <c r="S78" i="7"/>
  <c r="R4" i="7"/>
  <c r="J4" i="7" s="1"/>
  <c r="S19" i="7"/>
  <c r="R74" i="7"/>
  <c r="L74" i="7" s="1"/>
  <c r="S74" i="7"/>
  <c r="S13" i="7"/>
  <c r="R81" i="7"/>
  <c r="N81" i="7" s="1"/>
  <c r="O81" i="7" s="1"/>
  <c r="S12" i="7"/>
  <c r="R84" i="7"/>
  <c r="L84" i="7" s="1"/>
  <c r="R73" i="7"/>
  <c r="L73" i="7" s="1"/>
  <c r="S79" i="7"/>
  <c r="S32" i="7"/>
  <c r="R23" i="7"/>
  <c r="J23" i="7" s="1"/>
  <c r="R26" i="7"/>
  <c r="J26" i="7" s="1"/>
  <c r="R30" i="7"/>
  <c r="J30" i="7" s="1"/>
  <c r="R29" i="7"/>
  <c r="J29" i="7" s="1"/>
  <c r="R21" i="7"/>
  <c r="J21" i="7" s="1"/>
  <c r="R6" i="7"/>
  <c r="J6" i="7" s="1"/>
  <c r="R80" i="7"/>
  <c r="L80" i="7" s="1"/>
  <c r="R31" i="7"/>
  <c r="J31" i="7" s="1"/>
  <c r="R67" i="7"/>
  <c r="N67" i="7" s="1"/>
  <c r="O67" i="7" s="1"/>
  <c r="R3" i="7"/>
  <c r="J3" i="7" s="1"/>
  <c r="R77" i="7"/>
  <c r="N77" i="7" s="1"/>
  <c r="O77" i="7" s="1"/>
  <c r="R20" i="7"/>
  <c r="J20" i="7" s="1"/>
  <c r="R18" i="7"/>
  <c r="J18" i="7" s="1"/>
  <c r="R17" i="7"/>
  <c r="J17" i="7" s="1"/>
  <c r="R75" i="7"/>
  <c r="N75" i="7" s="1"/>
  <c r="O75" i="7" s="1"/>
  <c r="R16" i="7"/>
  <c r="J16" i="7" s="1"/>
  <c r="R15" i="7"/>
  <c r="J15" i="7" s="1"/>
  <c r="R76" i="7"/>
  <c r="N76" i="7" s="1"/>
  <c r="O76" i="7" s="1"/>
  <c r="R14" i="7"/>
  <c r="J14" i="7" s="1"/>
  <c r="R11" i="7"/>
  <c r="J11" i="7" s="1"/>
  <c r="R83" i="7"/>
  <c r="R82" i="7"/>
  <c r="R61" i="7"/>
  <c r="R9" i="7"/>
  <c r="J9" i="7" s="1"/>
  <c r="R65" i="7"/>
  <c r="R66" i="7"/>
  <c r="R63" i="7"/>
  <c r="R62" i="7"/>
  <c r="R60" i="7"/>
  <c r="R59" i="7"/>
  <c r="R57" i="7"/>
  <c r="R55" i="7"/>
  <c r="R53" i="7"/>
  <c r="R52" i="7"/>
  <c r="R54" i="7"/>
  <c r="R58" i="7"/>
  <c r="R64" i="7"/>
  <c r="R51" i="7"/>
  <c r="R50" i="7"/>
  <c r="R49" i="7"/>
  <c r="R48" i="7"/>
  <c r="R47" i="7"/>
  <c r="R46" i="7"/>
  <c r="R45" i="7"/>
  <c r="R44" i="7"/>
  <c r="R43" i="7"/>
  <c r="R42" i="7"/>
  <c r="R41" i="7"/>
  <c r="R40" i="7"/>
  <c r="R39" i="7"/>
  <c r="R38" i="7"/>
  <c r="R37" i="7"/>
  <c r="R36" i="7"/>
  <c r="E24" i="7"/>
  <c r="E25" i="7"/>
  <c r="E26" i="7"/>
  <c r="E28" i="7"/>
  <c r="E29" i="7"/>
  <c r="E30" i="7"/>
  <c r="E31" i="7"/>
  <c r="E32" i="7"/>
  <c r="E23" i="7"/>
  <c r="E9" i="7"/>
  <c r="E11" i="7"/>
  <c r="E13" i="7"/>
  <c r="E14" i="7"/>
  <c r="E15" i="7"/>
  <c r="E16" i="7"/>
  <c r="E17" i="7"/>
  <c r="E18" i="7"/>
  <c r="E19" i="7"/>
  <c r="E20" i="7"/>
  <c r="E21" i="7"/>
  <c r="N72" i="7" l="1"/>
  <c r="O72" i="7" s="1"/>
  <c r="N71" i="7"/>
  <c r="O71" i="7" s="1"/>
  <c r="L68" i="7"/>
  <c r="N74" i="7"/>
  <c r="O74" i="7" s="1"/>
  <c r="N79" i="7"/>
  <c r="O79" i="7" s="1"/>
  <c r="N69" i="7"/>
  <c r="O69" i="7" s="1"/>
  <c r="N70" i="7"/>
  <c r="O70" i="7" s="1"/>
  <c r="N78" i="7"/>
  <c r="O78" i="7" s="1"/>
  <c r="L81" i="7"/>
  <c r="N73" i="7"/>
  <c r="O73" i="7" s="1"/>
  <c r="N84" i="7"/>
  <c r="O84" i="7" s="1"/>
  <c r="L75" i="7"/>
  <c r="L76" i="7"/>
  <c r="L67" i="7"/>
  <c r="L77" i="7"/>
  <c r="N80" i="7"/>
  <c r="O80" i="7" s="1"/>
  <c r="N63" i="7"/>
  <c r="O63" i="7" s="1"/>
  <c r="L63" i="7"/>
  <c r="L59" i="7"/>
  <c r="N59" i="7"/>
  <c r="O59" i="7" s="1"/>
  <c r="L62" i="7"/>
  <c r="N62" i="7"/>
  <c r="O62" i="7" s="1"/>
  <c r="N66" i="7"/>
  <c r="O66" i="7" s="1"/>
  <c r="L66" i="7"/>
  <c r="L60" i="7"/>
  <c r="N60" i="7"/>
  <c r="O60" i="7" s="1"/>
  <c r="L83" i="7"/>
  <c r="N83" i="7"/>
  <c r="O83" i="7" s="1"/>
  <c r="L65" i="7"/>
  <c r="N65" i="7"/>
  <c r="O65" i="7" s="1"/>
  <c r="N82" i="7"/>
  <c r="O82" i="7" s="1"/>
  <c r="L82" i="7"/>
  <c r="L58" i="7"/>
  <c r="N58" i="7"/>
  <c r="O58" i="7" s="1"/>
  <c r="L57" i="7"/>
  <c r="N57" i="7"/>
  <c r="O57" i="7" s="1"/>
  <c r="L61" i="7"/>
  <c r="N61" i="7"/>
  <c r="O61" i="7" s="1"/>
  <c r="L64" i="7"/>
  <c r="N64" i="7"/>
  <c r="O64" i="7" s="1"/>
  <c r="N49" i="7"/>
  <c r="L49" i="7"/>
  <c r="N55" i="7"/>
  <c r="O55" i="7" s="1"/>
  <c r="L55" i="7"/>
  <c r="N53" i="7"/>
  <c r="O53" i="7" s="1"/>
  <c r="L53" i="7"/>
  <c r="N37" i="7"/>
  <c r="L37" i="7"/>
  <c r="N38" i="7"/>
  <c r="L38" i="7"/>
  <c r="N52" i="7"/>
  <c r="O52" i="7" s="1"/>
  <c r="L52" i="7"/>
  <c r="N36" i="7"/>
  <c r="L36" i="7"/>
  <c r="N39" i="7"/>
  <c r="L39" i="7"/>
  <c r="N40" i="7"/>
  <c r="L40" i="7"/>
  <c r="N41" i="7"/>
  <c r="L41" i="7"/>
  <c r="N42" i="7"/>
  <c r="L42" i="7"/>
  <c r="N44" i="7"/>
  <c r="L44" i="7"/>
  <c r="N45" i="7"/>
  <c r="L45" i="7"/>
  <c r="N54" i="7"/>
  <c r="O54" i="7" s="1"/>
  <c r="L54" i="7"/>
  <c r="N43" i="7"/>
  <c r="L43" i="7"/>
  <c r="N46" i="7"/>
  <c r="L46" i="7"/>
  <c r="N51" i="7"/>
  <c r="L51" i="7"/>
  <c r="N47" i="7"/>
  <c r="L47" i="7"/>
  <c r="N50" i="7"/>
  <c r="L50" i="7"/>
  <c r="N48" i="7"/>
  <c r="L48" i="7"/>
  <c r="E6" i="7"/>
  <c r="E3" i="7"/>
  <c r="E4" i="7"/>
  <c r="O43" i="7" l="1"/>
  <c r="O44" i="7"/>
  <c r="O50" i="7"/>
  <c r="O51" i="7"/>
  <c r="O36" i="7"/>
  <c r="O37" i="7"/>
  <c r="O38" i="7"/>
  <c r="O39" i="7"/>
  <c r="O40" i="7"/>
  <c r="O41" i="7"/>
  <c r="O42" i="7"/>
  <c r="O45" i="7"/>
  <c r="O46" i="7"/>
  <c r="O47" i="7"/>
  <c r="O48" i="7"/>
  <c r="O49" i="7"/>
</calcChain>
</file>

<file path=xl/sharedStrings.xml><?xml version="1.0" encoding="utf-8"?>
<sst xmlns="http://schemas.openxmlformats.org/spreadsheetml/2006/main" count="387" uniqueCount="73">
  <si>
    <t>Direction</t>
  </si>
  <si>
    <t>Weaving Segment</t>
  </si>
  <si>
    <t>ID</t>
  </si>
  <si>
    <t>Tr</t>
  </si>
  <si>
    <t>N-L</t>
  </si>
  <si>
    <t>Id</t>
  </si>
  <si>
    <t>FFS(Mph)</t>
  </si>
  <si>
    <t>Freeway Segment</t>
  </si>
  <si>
    <t>Ramp Segment</t>
  </si>
  <si>
    <t>FFS(MPh)RAMP</t>
  </si>
  <si>
    <t>N-L FREEWAY</t>
  </si>
  <si>
    <t>N-L Ramp</t>
  </si>
  <si>
    <t>Dst to Adj. Ramp</t>
  </si>
  <si>
    <t>Adj Ramp</t>
  </si>
  <si>
    <t>LA/LD</t>
  </si>
  <si>
    <t>Length</t>
  </si>
  <si>
    <t>start</t>
  </si>
  <si>
    <t>end</t>
  </si>
  <si>
    <t>length</t>
  </si>
  <si>
    <t>TR</t>
  </si>
  <si>
    <t>On/Off</t>
  </si>
  <si>
    <t>Up-/Down-stream</t>
  </si>
  <si>
    <t>Adj Ramp Dist.</t>
  </si>
  <si>
    <t>EB</t>
  </si>
  <si>
    <t>FM 2252 On</t>
  </si>
  <si>
    <t>Schawab Rd Off</t>
  </si>
  <si>
    <t>Schmidt Ave On</t>
  </si>
  <si>
    <t>Seguin Ave Off</t>
  </si>
  <si>
    <t>Walnut Ave On</t>
  </si>
  <si>
    <t>FM 1101 1st Off</t>
  </si>
  <si>
    <t>FM 1101 On</t>
  </si>
  <si>
    <t>FM 1103 Off</t>
  </si>
  <si>
    <t>HOV lane On</t>
  </si>
  <si>
    <t>FM 1103 On</t>
  </si>
  <si>
    <t>Engel Rd Off</t>
  </si>
  <si>
    <t>Schawab Rd On</t>
  </si>
  <si>
    <t>Solms Rd Off</t>
  </si>
  <si>
    <t>Engel Rd On</t>
  </si>
  <si>
    <t>Rueckle Rd Off</t>
  </si>
  <si>
    <t>Solms Rd On</t>
  </si>
  <si>
    <t>Schmidt Ave Off</t>
  </si>
  <si>
    <t>Rueckle Rd On</t>
  </si>
  <si>
    <t>Walnut Ave Off</t>
  </si>
  <si>
    <t>FM 1101 2nd Off</t>
  </si>
  <si>
    <t>WB</t>
  </si>
  <si>
    <t>Seguin Ave On</t>
  </si>
  <si>
    <t>HOV lane Off</t>
  </si>
  <si>
    <t>EB Interchange</t>
  </si>
  <si>
    <t>FM 2252</t>
  </si>
  <si>
    <t>FM 1103</t>
  </si>
  <si>
    <t>Schawab Rd</t>
  </si>
  <si>
    <t>Engel Rd</t>
  </si>
  <si>
    <t>Solms Rd</t>
  </si>
  <si>
    <t>Rueckle Rd</t>
  </si>
  <si>
    <t>Schmidt Ave</t>
  </si>
  <si>
    <t>Walnu t Ave</t>
  </si>
  <si>
    <t>Seguin Ave</t>
  </si>
  <si>
    <t>FM 1101</t>
  </si>
  <si>
    <t>Station Number</t>
  </si>
  <si>
    <t>EB Ramp</t>
  </si>
  <si>
    <t>WB Interchange</t>
  </si>
  <si>
    <t>WB Ramp</t>
  </si>
  <si>
    <t>FM 2252 Off</t>
  </si>
  <si>
    <t>N Business Intersetate Hwy 35 Off</t>
  </si>
  <si>
    <t>Ref Point</t>
  </si>
  <si>
    <t>No.</t>
  </si>
  <si>
    <t>Ramp 1</t>
  </si>
  <si>
    <t>Ramp 2</t>
  </si>
  <si>
    <t>FM 3309</t>
  </si>
  <si>
    <t>FM 382</t>
  </si>
  <si>
    <t>FM 337</t>
  </si>
  <si>
    <t>FM 306</t>
  </si>
  <si>
    <t>Ramp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</si>
</sst>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45">
    <xf numFmtId="0" fontId="0" fillId="0" borderId="0" xfId="0"/>
    <xf numFmtId="0" fontId="0" fillId="0" borderId="0" xfId="0" applyAlignment="1">
      <alignment horizontal="center"/>
    </xf>
    <xf numFmtId="1" fontId="0" fillId="0" borderId="1" xfId="0" applyNumberFormat="1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1" fontId="0" fillId="0" borderId="0" xfId="0" applyNumberFormat="1" applyFill="1" applyAlignment="1">
      <alignment horizontal="center"/>
    </xf>
    <xf numFmtId="0" fontId="0" fillId="0" borderId="1" xfId="0" applyFill="1" applyBorder="1" applyAlignment="1">
      <alignment horizontal="center"/>
    </xf>
    <xf numFmtId="0" fontId="0" fillId="4" borderId="0" xfId="0" applyFill="1"/>
    <xf numFmtId="0" fontId="0" fillId="4" borderId="1" xfId="0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0" fontId="5" fillId="0" borderId="0" xfId="0" applyFont="1"/>
    <xf numFmtId="0" fontId="0" fillId="0" borderId="1" xfId="0" applyFill="1" applyBorder="1"/>
    <xf numFmtId="0" fontId="2" fillId="0" borderId="1" xfId="0" applyFont="1" applyFill="1" applyBorder="1"/>
    <xf numFmtId="0" fontId="2" fillId="0" borderId="1" xfId="0" quotePrefix="1" applyFont="1" applyFill="1" applyBorder="1" applyAlignment="1">
      <alignment horizontal="left"/>
    </xf>
    <xf numFmtId="0" fontId="0" fillId="0" borderId="1" xfId="0" applyBorder="1"/>
    <xf numFmtId="0" fontId="0" fillId="4" borderId="1" xfId="0" applyFill="1" applyBorder="1"/>
    <xf numFmtId="0" fontId="0" fillId="0" borderId="1" xfId="0" quotePrefix="1" applyFill="1" applyBorder="1" applyAlignment="1">
      <alignment horizontal="left"/>
    </xf>
    <xf numFmtId="0" fontId="0" fillId="0" borderId="1" xfId="0" applyFill="1" applyBorder="1" applyAlignment="1"/>
    <xf numFmtId="2" fontId="0" fillId="0" borderId="1" xfId="0" applyNumberFormat="1" applyFont="1" applyFill="1" applyBorder="1" applyAlignment="1">
      <alignment horizontal="center"/>
    </xf>
    <xf numFmtId="164" fontId="4" fillId="3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horizontal="left"/>
    </xf>
    <xf numFmtId="2" fontId="0" fillId="0" borderId="1" xfId="0" applyNumberFormat="1" applyFill="1" applyBorder="1"/>
    <xf numFmtId="0" fontId="5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164" fontId="4" fillId="0" borderId="1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1" fontId="0" fillId="0" borderId="2" xfId="0" applyNumberFormat="1" applyFill="1" applyBorder="1" applyAlignment="1">
      <alignment horizontal="center"/>
    </xf>
    <xf numFmtId="0" fontId="1" fillId="0" borderId="1" xfId="0" applyFont="1" applyFill="1" applyBorder="1" applyAlignment="1">
      <alignment horizontal="center" vertical="center" wrapText="1"/>
    </xf>
    <xf numFmtId="1" fontId="0" fillId="0" borderId="1" xfId="0" applyNumberFormat="1" applyFill="1" applyBorder="1" applyAlignment="1">
      <alignment horizontal="center" wrapText="1"/>
    </xf>
    <xf numFmtId="2" fontId="1" fillId="2" borderId="1" xfId="0" applyNumberFormat="1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1" fontId="0" fillId="0" borderId="1" xfId="0" applyNumberFormat="1" applyFill="1" applyBorder="1" applyAlignment="1">
      <alignment horizontal="center" vertical="center" wrapText="1"/>
    </xf>
    <xf numFmtId="1" fontId="0" fillId="0" borderId="0" xfId="0" applyNumberFormat="1" applyFill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2" fillId="0" borderId="0" xfId="0" applyFont="1" applyFill="1" applyBorder="1"/>
  </cellXfs>
  <cellStyles count="2">
    <cellStyle name="Normal" xfId="0" builtinId="0"/>
    <cellStyle name="Normal 2" xfId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00B050"/>
    <pageSetUpPr fitToPage="1"/>
  </sheetPr>
  <dimension ref="A1:Z84"/>
  <sheetViews>
    <sheetView tabSelected="1" workbookViewId="0">
      <selection activeCell="F57" sqref="F57:F84"/>
    </sheetView>
  </sheetViews>
  <sheetFormatPr defaultRowHeight="15" x14ac:dyDescent="0.25"/>
  <cols>
    <col min="1" max="1" width="9" style="14" customWidth="1"/>
    <col min="2" max="2" width="4.5703125" style="14" customWidth="1"/>
    <col min="3" max="3" width="7.7109375" style="14" customWidth="1"/>
    <col min="4" max="4" width="8" style="14" customWidth="1"/>
    <col min="5" max="5" width="47" style="14" customWidth="1"/>
    <col min="6" max="6" width="7.140625" style="30" customWidth="1"/>
    <col min="7" max="7" width="7.28515625" style="31" customWidth="1"/>
    <col min="8" max="8" width="7" style="31" customWidth="1"/>
    <col min="9" max="9" width="9.42578125" style="31" customWidth="1"/>
    <col min="10" max="10" width="8" style="14" customWidth="1"/>
    <col min="11" max="11" width="9.7109375" style="14" customWidth="1"/>
    <col min="12" max="12" width="10" style="14" customWidth="1"/>
    <col min="13" max="13" width="12.42578125" style="14" customWidth="1"/>
    <col min="14" max="14" width="11.5703125" style="14" customWidth="1"/>
    <col min="15" max="15" width="16.85546875" style="14" customWidth="1"/>
    <col min="16" max="22" width="9.140625" style="1"/>
  </cols>
  <sheetData>
    <row r="1" spans="1:26" s="39" customFormat="1" ht="30" x14ac:dyDescent="0.25">
      <c r="A1" s="27" t="s">
        <v>0</v>
      </c>
      <c r="B1" s="27" t="s">
        <v>65</v>
      </c>
      <c r="C1" s="27" t="s">
        <v>66</v>
      </c>
      <c r="D1" s="27" t="s">
        <v>67</v>
      </c>
      <c r="E1" s="27" t="s">
        <v>1</v>
      </c>
      <c r="F1" s="27" t="s">
        <v>4</v>
      </c>
      <c r="G1" s="27" t="s">
        <v>3</v>
      </c>
      <c r="H1" s="27" t="s">
        <v>5</v>
      </c>
      <c r="I1" s="27" t="s">
        <v>6</v>
      </c>
      <c r="J1" s="27" t="s">
        <v>15</v>
      </c>
      <c r="K1" s="37"/>
      <c r="L1" s="37"/>
      <c r="M1" s="37"/>
      <c r="N1" s="37"/>
      <c r="O1" s="37"/>
      <c r="P1" s="37" t="s">
        <v>16</v>
      </c>
      <c r="Q1" s="37" t="s">
        <v>17</v>
      </c>
      <c r="R1" s="37" t="s">
        <v>18</v>
      </c>
      <c r="S1" s="37" t="s">
        <v>64</v>
      </c>
      <c r="T1" s="38"/>
      <c r="U1" s="37" t="s">
        <v>19</v>
      </c>
      <c r="V1" s="37" t="s">
        <v>2</v>
      </c>
    </row>
    <row r="2" spans="1:26" s="7" customFormat="1" x14ac:dyDescent="0.25">
      <c r="A2" s="15" t="s">
        <v>23</v>
      </c>
      <c r="B2" s="16">
        <v>1</v>
      </c>
      <c r="C2" s="11" t="s">
        <v>24</v>
      </c>
      <c r="D2" s="11" t="s">
        <v>25</v>
      </c>
      <c r="E2" s="17" t="str">
        <f>CONCATENATE(B2,"_",C2," Ramp to ",D2," Ramp")</f>
        <v>1_FM 2252 On Ramp to Schawab Rd Off Ramp</v>
      </c>
      <c r="F2" s="43">
        <v>5</v>
      </c>
      <c r="G2" s="18">
        <f>U2</f>
        <v>1.6666666666666667</v>
      </c>
      <c r="H2" s="18">
        <f>V2</f>
        <v>0.83333333333333337</v>
      </c>
      <c r="I2" s="29">
        <f>75.4-3.22*G2^0.84</f>
        <v>70.45451576958196</v>
      </c>
      <c r="J2" s="6">
        <f>ABS(R2)</f>
        <v>2350</v>
      </c>
      <c r="K2" s="11"/>
      <c r="L2" s="11"/>
      <c r="M2" s="11"/>
      <c r="N2" s="11"/>
      <c r="O2" s="11"/>
      <c r="P2" s="29">
        <f>VLOOKUP(C2,'Station Number'!$D$1:$E$40,2,FALSE)</f>
        <v>273.5</v>
      </c>
      <c r="Q2" s="29">
        <f>VLOOKUP(D2,'Station Number'!$D$1:$E$40,2,FALSE)</f>
        <v>297</v>
      </c>
      <c r="R2" s="2">
        <f>(P2-Q2)*100</f>
        <v>-2350</v>
      </c>
      <c r="S2" s="2">
        <f>(P2+Q2)/2</f>
        <v>285.25</v>
      </c>
      <c r="T2" s="32"/>
      <c r="U2" s="6">
        <v>1.6666666666666667</v>
      </c>
      <c r="V2" s="6">
        <v>0.83333333333333337</v>
      </c>
      <c r="W2" s="3"/>
      <c r="X2" s="3"/>
      <c r="Y2" s="3"/>
      <c r="Z2" s="3"/>
    </row>
    <row r="3" spans="1:26" s="3" customFormat="1" ht="15.75" x14ac:dyDescent="0.25">
      <c r="A3" s="15" t="s">
        <v>23</v>
      </c>
      <c r="B3" s="16">
        <v>2</v>
      </c>
      <c r="C3" s="12" t="s">
        <v>26</v>
      </c>
      <c r="D3" s="11" t="s">
        <v>27</v>
      </c>
      <c r="E3" s="17" t="str">
        <f>CONCATENATE(B3,"_",C3," Ramp to ",D3," Ramp")</f>
        <v>2_Schmidt Ave On Ramp to Seguin Ave Off Ramp</v>
      </c>
      <c r="F3" s="43">
        <v>5</v>
      </c>
      <c r="G3" s="18">
        <f t="shared" ref="G3:G6" si="0">U3</f>
        <v>2.1666666666666665</v>
      </c>
      <c r="H3" s="18">
        <f t="shared" ref="H3:H6" si="1">V3</f>
        <v>0.83333333333333337</v>
      </c>
      <c r="I3" s="29">
        <f t="shared" ref="I3:I6" si="2">75.4-3.22*G3^0.84</f>
        <v>69.235168123076491</v>
      </c>
      <c r="J3" s="6">
        <f t="shared" ref="J3:J6" si="3">ABS(R3)</f>
        <v>850</v>
      </c>
      <c r="K3" s="11"/>
      <c r="L3" s="11"/>
      <c r="M3" s="11"/>
      <c r="N3" s="11"/>
      <c r="O3" s="11"/>
      <c r="P3" s="29">
        <f>VLOOKUP(C3,'Station Number'!$D$1:$E$40,2,FALSE)</f>
        <v>717.70001220703125</v>
      </c>
      <c r="Q3" s="29">
        <f>VLOOKUP(D3,'Station Number'!$D$1:$E$40,2,FALSE)</f>
        <v>726.20001220703125</v>
      </c>
      <c r="R3" s="2">
        <f t="shared" ref="R3:R6" si="4">(P3-Q3)*100</f>
        <v>-850</v>
      </c>
      <c r="S3" s="2">
        <f t="shared" ref="S3:S6" si="5">(P3+Q3)/2</f>
        <v>721.95001220703125</v>
      </c>
      <c r="T3" s="32"/>
      <c r="U3" s="6">
        <v>2.1666666666666665</v>
      </c>
      <c r="V3" s="6">
        <v>0.83333333333333337</v>
      </c>
    </row>
    <row r="4" spans="1:26" s="7" customFormat="1" ht="15.75" x14ac:dyDescent="0.25">
      <c r="A4" s="15" t="s">
        <v>23</v>
      </c>
      <c r="B4" s="20">
        <v>3</v>
      </c>
      <c r="C4" s="12" t="s">
        <v>28</v>
      </c>
      <c r="D4" s="11" t="s">
        <v>29</v>
      </c>
      <c r="E4" s="17" t="str">
        <f>CONCATENATE(B4,"_",C4," Ramp to ",D4," Ramp")</f>
        <v>3_Walnut Ave On Ramp to FM 1101 1st Off Ramp</v>
      </c>
      <c r="F4" s="43">
        <v>5</v>
      </c>
      <c r="G4" s="18">
        <f t="shared" si="0"/>
        <v>2.3333333333333335</v>
      </c>
      <c r="H4" s="18">
        <f t="shared" si="1"/>
        <v>1</v>
      </c>
      <c r="I4" s="29">
        <f t="shared" si="2"/>
        <v>68.839206458832138</v>
      </c>
      <c r="J4" s="2">
        <f t="shared" si="3"/>
        <v>639.996337890625</v>
      </c>
      <c r="K4" s="11"/>
      <c r="L4" s="11"/>
      <c r="M4" s="11"/>
      <c r="N4" s="11"/>
      <c r="O4" s="11"/>
      <c r="P4" s="29">
        <f>VLOOKUP(C4,'Station Number'!$D$1:$E$40,2,FALSE)</f>
        <v>763.20001220703125</v>
      </c>
      <c r="Q4" s="29">
        <f>VLOOKUP(D4,'Station Number'!$D$1:$E$40,2,FALSE)</f>
        <v>769.5999755859375</v>
      </c>
      <c r="R4" s="2">
        <f t="shared" si="4"/>
        <v>-639.996337890625</v>
      </c>
      <c r="S4" s="2">
        <f t="shared" si="5"/>
        <v>766.39999389648438</v>
      </c>
      <c r="T4" s="32"/>
      <c r="U4" s="6">
        <v>2.3333333333333335</v>
      </c>
      <c r="V4" s="6">
        <v>1</v>
      </c>
      <c r="W4" s="3"/>
      <c r="X4" s="3"/>
      <c r="Y4" s="3"/>
      <c r="Z4" s="3"/>
    </row>
    <row r="5" spans="1:26" s="3" customFormat="1" x14ac:dyDescent="0.25">
      <c r="A5" s="11"/>
      <c r="B5" s="11"/>
      <c r="C5" s="11"/>
      <c r="D5" s="11"/>
      <c r="E5" s="11"/>
      <c r="F5" s="11"/>
      <c r="G5" s="18"/>
      <c r="H5" s="18"/>
      <c r="I5" s="11"/>
      <c r="J5" s="11"/>
      <c r="K5" s="11"/>
      <c r="L5" s="11"/>
      <c r="M5" s="11"/>
      <c r="N5" s="11"/>
      <c r="O5" s="11"/>
      <c r="P5" s="6"/>
      <c r="Q5" s="6"/>
      <c r="R5" s="2"/>
      <c r="S5" s="2"/>
      <c r="T5" s="5"/>
      <c r="U5" s="4"/>
      <c r="V5" s="4"/>
    </row>
    <row r="6" spans="1:26" s="7" customFormat="1" ht="15.75" x14ac:dyDescent="0.25">
      <c r="A6" s="15" t="s">
        <v>44</v>
      </c>
      <c r="B6" s="16">
        <v>4</v>
      </c>
      <c r="C6" s="11" t="s">
        <v>30</v>
      </c>
      <c r="D6" s="12" t="s">
        <v>27</v>
      </c>
      <c r="E6" s="17" t="str">
        <f>CONCATENATE(B6,"_",C6," Ramp to ",D6," Ramp")</f>
        <v>4_FM 1101 On Ramp to Seguin Ave Off Ramp</v>
      </c>
      <c r="F6" s="43">
        <v>5</v>
      </c>
      <c r="G6" s="18">
        <f t="shared" si="0"/>
        <v>2.3333333333333335</v>
      </c>
      <c r="H6" s="18">
        <f t="shared" si="1"/>
        <v>1</v>
      </c>
      <c r="I6" s="29">
        <f t="shared" si="2"/>
        <v>68.839206458832138</v>
      </c>
      <c r="J6" s="2">
        <f t="shared" si="3"/>
        <v>1080.0048828125</v>
      </c>
      <c r="K6" s="11"/>
      <c r="L6" s="11"/>
      <c r="M6" s="11"/>
      <c r="N6" s="11"/>
      <c r="O6" s="11"/>
      <c r="P6" s="29">
        <f>VLOOKUP(C6,'Station Number'!$J$1:$K$40,2,FALSE)</f>
        <v>802.4000244140625</v>
      </c>
      <c r="Q6" s="29">
        <f>VLOOKUP(D6,'Station Number'!$J$1:$K$40,2,FALSE)</f>
        <v>791.5999755859375</v>
      </c>
      <c r="R6" s="2">
        <f t="shared" si="4"/>
        <v>1080.0048828125</v>
      </c>
      <c r="S6" s="2">
        <f t="shared" si="5"/>
        <v>797</v>
      </c>
      <c r="T6" s="32"/>
      <c r="U6" s="6">
        <v>2.3333333333333335</v>
      </c>
      <c r="V6" s="6">
        <v>1</v>
      </c>
      <c r="W6" s="3"/>
      <c r="X6" s="3"/>
      <c r="Y6" s="3"/>
      <c r="Z6" s="3"/>
    </row>
    <row r="7" spans="1:26" s="3" customFormat="1" x14ac:dyDescent="0.25">
      <c r="A7" s="11"/>
      <c r="B7" s="11"/>
      <c r="C7" s="11"/>
      <c r="D7" s="11"/>
      <c r="E7" s="11"/>
      <c r="F7" s="11"/>
      <c r="G7" s="21"/>
      <c r="H7" s="21"/>
      <c r="I7" s="11"/>
      <c r="J7" s="11"/>
      <c r="K7" s="11"/>
      <c r="L7" s="11"/>
      <c r="M7" s="11"/>
      <c r="N7" s="11"/>
      <c r="O7" s="11"/>
      <c r="P7" s="6"/>
      <c r="Q7" s="6"/>
      <c r="R7" s="2"/>
      <c r="S7" s="2"/>
      <c r="T7" s="5"/>
      <c r="U7" s="4"/>
      <c r="V7" s="4"/>
    </row>
    <row r="8" spans="1:26" s="39" customFormat="1" ht="30" x14ac:dyDescent="0.25">
      <c r="A8" s="27" t="s">
        <v>0</v>
      </c>
      <c r="B8" s="27"/>
      <c r="C8" s="27"/>
      <c r="D8" s="27"/>
      <c r="E8" s="27" t="s">
        <v>7</v>
      </c>
      <c r="F8" s="27" t="s">
        <v>4</v>
      </c>
      <c r="G8" s="35" t="s">
        <v>3</v>
      </c>
      <c r="H8" s="35" t="s">
        <v>5</v>
      </c>
      <c r="I8" s="36" t="s">
        <v>6</v>
      </c>
      <c r="J8" s="40" t="s">
        <v>15</v>
      </c>
      <c r="K8" s="37"/>
      <c r="L8" s="37"/>
      <c r="M8" s="37"/>
      <c r="N8" s="37"/>
      <c r="O8" s="37"/>
      <c r="P8" s="37"/>
      <c r="Q8" s="37"/>
      <c r="R8" s="41"/>
      <c r="S8" s="41"/>
      <c r="T8" s="42"/>
    </row>
    <row r="9" spans="1:26" s="3" customFormat="1" ht="15.75" x14ac:dyDescent="0.25">
      <c r="A9" s="15" t="s">
        <v>23</v>
      </c>
      <c r="B9" s="13">
        <v>101</v>
      </c>
      <c r="C9" s="11" t="s">
        <v>32</v>
      </c>
      <c r="D9" s="11" t="s">
        <v>24</v>
      </c>
      <c r="E9" s="17" t="str">
        <f t="shared" ref="E9:E32" si="6">CONCATENATE(B9,"_",C9," Ramp to ",D9," Ramp")</f>
        <v>101_HOV lane On Ramp to FM 2252 On Ramp</v>
      </c>
      <c r="F9" s="22">
        <v>4</v>
      </c>
      <c r="G9" s="18">
        <f t="shared" ref="G9:G21" si="7">U9</f>
        <v>1.6666666666666667</v>
      </c>
      <c r="H9" s="18">
        <f t="shared" ref="H9:H21" si="8">V9</f>
        <v>0.66666666666666663</v>
      </c>
      <c r="I9" s="29">
        <f t="shared" ref="I9:I32" si="9">75.4-3.22*G9^0.84</f>
        <v>70.45451576958196</v>
      </c>
      <c r="J9" s="2">
        <f t="shared" ref="J9:J32" si="10">ABS(R9)</f>
        <v>789.9993896484375</v>
      </c>
      <c r="K9" s="11"/>
      <c r="L9" s="11"/>
      <c r="M9" s="11"/>
      <c r="N9" s="11"/>
      <c r="O9" s="11"/>
      <c r="P9" s="29">
        <f>VLOOKUP(C9,'Station Number'!$D$1:$E$40,2,FALSE)</f>
        <v>265.60000610351563</v>
      </c>
      <c r="Q9" s="29">
        <f>VLOOKUP(D9,'Station Number'!$D$1:$E$40,2,FALSE)</f>
        <v>273.5</v>
      </c>
      <c r="R9" s="2">
        <f t="shared" ref="R9:R32" si="11">(P9-Q9)*100</f>
        <v>-789.9993896484375</v>
      </c>
      <c r="S9" s="2">
        <f t="shared" ref="S9:S32" si="12">(P9+Q9)/2</f>
        <v>269.55000305175781</v>
      </c>
      <c r="T9" s="32"/>
      <c r="U9" s="6">
        <v>1.6666666666666667</v>
      </c>
      <c r="V9" s="6">
        <v>0.66666666666666663</v>
      </c>
    </row>
    <row r="10" spans="1:26" s="3" customFormat="1" ht="15.75" x14ac:dyDescent="0.25">
      <c r="A10" s="15" t="s">
        <v>23</v>
      </c>
      <c r="B10" s="13">
        <v>5</v>
      </c>
      <c r="C10" s="11" t="s">
        <v>25</v>
      </c>
      <c r="D10" s="12" t="s">
        <v>33</v>
      </c>
      <c r="E10" s="17" t="str">
        <f t="shared" ref="E10" si="13">CONCATENATE(B10,"_",C10," Ramp to ",D10," Ramp")</f>
        <v>5_Schawab Rd Off Ramp to FM 1103 On Ramp</v>
      </c>
      <c r="F10" s="22">
        <v>4</v>
      </c>
      <c r="G10" s="18">
        <f t="shared" ref="G10" si="14">U10</f>
        <v>1.6666666666666667</v>
      </c>
      <c r="H10" s="18">
        <f t="shared" ref="H10" si="15">V10</f>
        <v>0.66666666666666663</v>
      </c>
      <c r="I10" s="29">
        <f t="shared" ref="I10" si="16">75.4-3.22*G10^0.84</f>
        <v>70.45451576958196</v>
      </c>
      <c r="J10" s="2">
        <f t="shared" ref="J10" si="17">ABS(R10)</f>
        <v>2000.0006103515602</v>
      </c>
      <c r="K10" s="11"/>
      <c r="L10" s="11"/>
      <c r="M10" s="11"/>
      <c r="N10" s="11"/>
      <c r="O10" s="11"/>
      <c r="P10" s="29">
        <f>VLOOKUP(C10,'Station Number'!$D$1:$E$40,2,FALSE)</f>
        <v>297</v>
      </c>
      <c r="Q10" s="29">
        <f>VLOOKUP(D10,'Station Number'!$D$1:$E$40,2,FALSE)-50.1</f>
        <v>317.0000061035156</v>
      </c>
      <c r="R10" s="2">
        <f t="shared" ref="R10" si="18">(P10-Q10)*100</f>
        <v>-2000.0006103515602</v>
      </c>
      <c r="S10" s="2">
        <f t="shared" ref="S10" si="19">(P10+Q10)/2</f>
        <v>307.0000030517578</v>
      </c>
      <c r="T10" s="32"/>
      <c r="U10" s="6">
        <v>1.6666666666666667</v>
      </c>
      <c r="V10" s="6">
        <v>0.66666666666666663</v>
      </c>
    </row>
    <row r="11" spans="1:26" s="7" customFormat="1" ht="15.75" x14ac:dyDescent="0.25">
      <c r="A11" s="15" t="s">
        <v>23</v>
      </c>
      <c r="B11" s="13">
        <v>6</v>
      </c>
      <c r="C11" s="11" t="s">
        <v>25</v>
      </c>
      <c r="D11" s="12" t="s">
        <v>33</v>
      </c>
      <c r="E11" s="17" t="str">
        <f t="shared" si="6"/>
        <v>6_Schawab Rd Off Ramp to FM 1103 On Ramp</v>
      </c>
      <c r="F11" s="22">
        <v>3</v>
      </c>
      <c r="G11" s="18">
        <f t="shared" si="7"/>
        <v>1.5</v>
      </c>
      <c r="H11" s="18">
        <f t="shared" si="8"/>
        <v>0.83333333333333337</v>
      </c>
      <c r="I11" s="29">
        <f t="shared" si="9"/>
        <v>70.873395724381268</v>
      </c>
      <c r="J11" s="2">
        <f t="shared" si="10"/>
        <v>5010.0006103515625</v>
      </c>
      <c r="K11" s="11"/>
      <c r="L11" s="11"/>
      <c r="M11" s="11"/>
      <c r="N11" s="11"/>
      <c r="O11" s="11"/>
      <c r="P11" s="29">
        <f>VLOOKUP(C11,'Station Number'!$D$1:$E$40,2,FALSE)+20</f>
        <v>317</v>
      </c>
      <c r="Q11" s="29">
        <f>VLOOKUP(D11,'Station Number'!$D$1:$E$40,2,FALSE)</f>
        <v>367.10000610351563</v>
      </c>
      <c r="R11" s="2">
        <f t="shared" si="11"/>
        <v>-5010.0006103515625</v>
      </c>
      <c r="S11" s="2">
        <f t="shared" si="12"/>
        <v>342.05000305175781</v>
      </c>
      <c r="T11" s="32"/>
      <c r="U11" s="6">
        <v>1.5</v>
      </c>
      <c r="V11" s="6">
        <v>0.83333333333333337</v>
      </c>
      <c r="W11" s="3"/>
      <c r="X11" s="3"/>
      <c r="Y11" s="3"/>
      <c r="Z11" s="3"/>
    </row>
    <row r="12" spans="1:26" s="7" customFormat="1" ht="15.75" x14ac:dyDescent="0.25">
      <c r="A12" s="15" t="s">
        <v>23</v>
      </c>
      <c r="B12" s="13">
        <v>7</v>
      </c>
      <c r="C12" s="12" t="s">
        <v>33</v>
      </c>
      <c r="D12" s="11" t="s">
        <v>34</v>
      </c>
      <c r="E12" s="17" t="str">
        <f t="shared" ref="E12" si="20">CONCATENATE(B12,"_",C12," Ramp to ",D12," Ramp")</f>
        <v>7_FM 1103 On Ramp to Engel Rd Off Ramp</v>
      </c>
      <c r="F12" s="22">
        <v>3</v>
      </c>
      <c r="G12" s="18">
        <f t="shared" si="7"/>
        <v>1.5</v>
      </c>
      <c r="H12" s="18">
        <f t="shared" si="8"/>
        <v>0.66666666666666663</v>
      </c>
      <c r="I12" s="29">
        <f t="shared" si="9"/>
        <v>70.873395724381268</v>
      </c>
      <c r="J12" s="2">
        <f t="shared" ref="J12" si="21">ABS(R12)</f>
        <v>610.0006103515625</v>
      </c>
      <c r="K12" s="11"/>
      <c r="L12" s="11"/>
      <c r="M12" s="11"/>
      <c r="N12" s="11"/>
      <c r="O12" s="11"/>
      <c r="P12" s="29">
        <f>VLOOKUP(C12,'Station Number'!$D$1:$E$40,2,FALSE)+15</f>
        <v>382.10000610351563</v>
      </c>
      <c r="Q12" s="29">
        <f>VLOOKUP(D12,'Station Number'!$D$1:$E$40,2,FALSE)-15</f>
        <v>388.20001220703125</v>
      </c>
      <c r="R12" s="2">
        <f t="shared" ref="R12" si="22">(P12-Q12)*100</f>
        <v>-610.0006103515625</v>
      </c>
      <c r="S12" s="2">
        <f t="shared" si="12"/>
        <v>385.15000915527344</v>
      </c>
      <c r="T12" s="32"/>
      <c r="U12" s="6">
        <v>1.5</v>
      </c>
      <c r="V12" s="6">
        <v>0.66666666666666663</v>
      </c>
      <c r="W12" s="3"/>
      <c r="X12" s="3"/>
      <c r="Y12" s="3"/>
      <c r="Z12" s="3"/>
    </row>
    <row r="13" spans="1:26" s="3" customFormat="1" ht="15.75" x14ac:dyDescent="0.25">
      <c r="A13" s="15" t="s">
        <v>23</v>
      </c>
      <c r="B13" s="13">
        <v>8</v>
      </c>
      <c r="C13" s="11" t="s">
        <v>34</v>
      </c>
      <c r="D13" s="12" t="s">
        <v>35</v>
      </c>
      <c r="E13" s="17" t="str">
        <f t="shared" si="6"/>
        <v>8_Engel Rd Off Ramp to Schawab Rd On Ramp</v>
      </c>
      <c r="F13" s="22">
        <v>3</v>
      </c>
      <c r="G13" s="18">
        <f t="shared" si="7"/>
        <v>1.3333333333333333</v>
      </c>
      <c r="H13" s="18">
        <f t="shared" si="8"/>
        <v>0.66666666666666663</v>
      </c>
      <c r="I13" s="29">
        <f t="shared" si="9"/>
        <v>71.299805955915545</v>
      </c>
      <c r="J13" s="2">
        <f t="shared" si="10"/>
        <v>5239.9993896484375</v>
      </c>
      <c r="K13" s="11"/>
      <c r="L13" s="11"/>
      <c r="M13" s="11"/>
      <c r="N13" s="11"/>
      <c r="O13" s="11"/>
      <c r="P13" s="29">
        <f>VLOOKUP(C13,'Station Number'!$D$1:$E$40,2,FALSE)</f>
        <v>403.20001220703125</v>
      </c>
      <c r="Q13" s="29">
        <f>VLOOKUP(D13,'Station Number'!$D$1:$E$40,2,FALSE)</f>
        <v>455.60000610351563</v>
      </c>
      <c r="R13" s="2">
        <f t="shared" si="11"/>
        <v>-5239.9993896484375</v>
      </c>
      <c r="S13" s="2">
        <f t="shared" si="12"/>
        <v>429.40000915527344</v>
      </c>
      <c r="T13" s="32"/>
      <c r="U13" s="6">
        <v>1.3333333333333333</v>
      </c>
      <c r="V13" s="6">
        <v>0.66666666666666663</v>
      </c>
    </row>
    <row r="14" spans="1:26" s="7" customFormat="1" ht="15.75" x14ac:dyDescent="0.25">
      <c r="A14" s="15" t="s">
        <v>23</v>
      </c>
      <c r="B14" s="13">
        <v>9</v>
      </c>
      <c r="C14" s="11" t="s">
        <v>36</v>
      </c>
      <c r="D14" s="12" t="s">
        <v>37</v>
      </c>
      <c r="E14" s="17" t="str">
        <f t="shared" si="6"/>
        <v>9_Solms Rd Off Ramp to Engel Rd On Ramp</v>
      </c>
      <c r="F14" s="22">
        <v>3</v>
      </c>
      <c r="G14" s="18">
        <f t="shared" si="7"/>
        <v>1.5</v>
      </c>
      <c r="H14" s="18">
        <f t="shared" si="8"/>
        <v>0.83333333333333337</v>
      </c>
      <c r="I14" s="29">
        <f t="shared" si="9"/>
        <v>70.873395724381268</v>
      </c>
      <c r="J14" s="2">
        <f t="shared" si="10"/>
        <v>4359.99755859375</v>
      </c>
      <c r="K14" s="11"/>
      <c r="L14" s="11"/>
      <c r="M14" s="11"/>
      <c r="N14" s="11"/>
      <c r="O14" s="11"/>
      <c r="P14" s="29">
        <f>VLOOKUP(C14,'Station Number'!$D$1:$E$40,2,FALSE)</f>
        <v>486.20001220703125</v>
      </c>
      <c r="Q14" s="29">
        <f>VLOOKUP(D14,'Station Number'!$D$1:$E$40,2,FALSE)</f>
        <v>529.79998779296875</v>
      </c>
      <c r="R14" s="2">
        <f t="shared" si="11"/>
        <v>-4359.99755859375</v>
      </c>
      <c r="S14" s="2">
        <f t="shared" si="12"/>
        <v>508</v>
      </c>
      <c r="T14" s="32"/>
      <c r="U14" s="6">
        <v>1.5</v>
      </c>
      <c r="V14" s="6">
        <v>0.83333333333333337</v>
      </c>
      <c r="W14" s="3"/>
      <c r="X14" s="3"/>
      <c r="Y14" s="3"/>
      <c r="Z14" s="3"/>
    </row>
    <row r="15" spans="1:26" s="3" customFormat="1" ht="15.75" x14ac:dyDescent="0.25">
      <c r="A15" s="15" t="s">
        <v>23</v>
      </c>
      <c r="B15" s="13">
        <v>10</v>
      </c>
      <c r="C15" s="12" t="s">
        <v>37</v>
      </c>
      <c r="D15" s="11" t="s">
        <v>38</v>
      </c>
      <c r="E15" s="17" t="str">
        <f t="shared" si="6"/>
        <v>10_Engel Rd On Ramp to Rueckle Rd Off Ramp</v>
      </c>
      <c r="F15" s="22">
        <v>3</v>
      </c>
      <c r="G15" s="18">
        <f t="shared" si="7"/>
        <v>1.5</v>
      </c>
      <c r="H15" s="18">
        <f t="shared" si="8"/>
        <v>0.83333333333333337</v>
      </c>
      <c r="I15" s="29">
        <f t="shared" si="9"/>
        <v>70.873395724381268</v>
      </c>
      <c r="J15" s="2">
        <f t="shared" si="10"/>
        <v>410.003662109375</v>
      </c>
      <c r="K15" s="11"/>
      <c r="L15" s="11"/>
      <c r="M15" s="11"/>
      <c r="N15" s="11"/>
      <c r="O15" s="11"/>
      <c r="P15" s="29">
        <f>VLOOKUP(C15,'Station Number'!$D$1:$E$40,2,FALSE)+15</f>
        <v>544.79998779296875</v>
      </c>
      <c r="Q15" s="29">
        <f>VLOOKUP(D15,'Station Number'!$D$1:$E$40,2,FALSE)-15</f>
        <v>548.9000244140625</v>
      </c>
      <c r="R15" s="2">
        <f t="shared" si="11"/>
        <v>-410.003662109375</v>
      </c>
      <c r="S15" s="2">
        <f t="shared" si="12"/>
        <v>546.85000610351563</v>
      </c>
      <c r="T15" s="32"/>
      <c r="U15" s="6">
        <v>1.5</v>
      </c>
      <c r="V15" s="6">
        <v>0.83333333333333337</v>
      </c>
    </row>
    <row r="16" spans="1:26" s="7" customFormat="1" ht="15.75" x14ac:dyDescent="0.25">
      <c r="A16" s="15" t="s">
        <v>23</v>
      </c>
      <c r="B16" s="13">
        <v>11</v>
      </c>
      <c r="C16" s="11" t="s">
        <v>38</v>
      </c>
      <c r="D16" s="12" t="s">
        <v>39</v>
      </c>
      <c r="E16" s="17" t="str">
        <f t="shared" si="6"/>
        <v>11_Rueckle Rd Off Ramp to Solms Rd On Ramp</v>
      </c>
      <c r="F16" s="22">
        <v>3</v>
      </c>
      <c r="G16" s="18">
        <f t="shared" si="7"/>
        <v>1.6666666666666667</v>
      </c>
      <c r="H16" s="18">
        <f t="shared" si="8"/>
        <v>0.83333333333333337</v>
      </c>
      <c r="I16" s="29">
        <f t="shared" si="9"/>
        <v>70.45451576958196</v>
      </c>
      <c r="J16" s="2">
        <f t="shared" si="10"/>
        <v>3439.996337890625</v>
      </c>
      <c r="K16" s="11"/>
      <c r="L16" s="11"/>
      <c r="M16" s="11"/>
      <c r="N16" s="11"/>
      <c r="O16" s="11"/>
      <c r="P16" s="29">
        <f>VLOOKUP(C16,'Station Number'!$D$1:$E$40,2,FALSE)</f>
        <v>563.9000244140625</v>
      </c>
      <c r="Q16" s="29">
        <f>VLOOKUP(D16,'Station Number'!$D$1:$E$40,2,FALSE)</f>
        <v>598.29998779296875</v>
      </c>
      <c r="R16" s="2">
        <f t="shared" si="11"/>
        <v>-3439.996337890625</v>
      </c>
      <c r="S16" s="2">
        <f t="shared" si="12"/>
        <v>581.10000610351563</v>
      </c>
      <c r="T16" s="32"/>
      <c r="U16" s="6">
        <v>1.6666666666666667</v>
      </c>
      <c r="V16" s="6">
        <v>0.83333333333333337</v>
      </c>
      <c r="W16" s="3"/>
      <c r="X16" s="3"/>
      <c r="Y16" s="3"/>
      <c r="Z16" s="3"/>
    </row>
    <row r="17" spans="1:26" s="3" customFormat="1" ht="15.75" x14ac:dyDescent="0.25">
      <c r="A17" s="15" t="s">
        <v>23</v>
      </c>
      <c r="B17" s="13">
        <v>12</v>
      </c>
      <c r="C17" s="11" t="s">
        <v>40</v>
      </c>
      <c r="D17" s="12" t="s">
        <v>41</v>
      </c>
      <c r="E17" s="17" t="str">
        <f t="shared" si="6"/>
        <v>12_Schmidt Ave Off Ramp to Rueckle Rd On Ramp</v>
      </c>
      <c r="F17" s="22">
        <v>4</v>
      </c>
      <c r="G17" s="18">
        <f t="shared" si="7"/>
        <v>1.8333333333333333</v>
      </c>
      <c r="H17" s="18">
        <f t="shared" si="8"/>
        <v>1</v>
      </c>
      <c r="I17" s="29">
        <f t="shared" si="9"/>
        <v>70.042296485122876</v>
      </c>
      <c r="J17" s="2">
        <f t="shared" si="10"/>
        <v>2929.998779296875</v>
      </c>
      <c r="K17" s="11"/>
      <c r="L17" s="11"/>
      <c r="M17" s="11"/>
      <c r="N17" s="11"/>
      <c r="O17" s="11"/>
      <c r="P17" s="29">
        <f>VLOOKUP(C17,'Station Number'!$D$1:$E$40,2,FALSE)</f>
        <v>618.20001220703125</v>
      </c>
      <c r="Q17" s="29">
        <f>VLOOKUP(D17,'Station Number'!$D$1:$E$40,2,FALSE)</f>
        <v>647.5</v>
      </c>
      <c r="R17" s="2">
        <f t="shared" si="11"/>
        <v>-2929.998779296875</v>
      </c>
      <c r="S17" s="2">
        <f t="shared" si="12"/>
        <v>632.85000610351563</v>
      </c>
      <c r="T17" s="32"/>
      <c r="U17" s="6">
        <v>1.8333333333333333</v>
      </c>
      <c r="V17" s="6">
        <v>1</v>
      </c>
    </row>
    <row r="18" spans="1:26" s="7" customFormat="1" ht="15.75" x14ac:dyDescent="0.25">
      <c r="A18" s="15" t="s">
        <v>23</v>
      </c>
      <c r="B18" s="13">
        <v>13</v>
      </c>
      <c r="C18" s="12" t="s">
        <v>41</v>
      </c>
      <c r="D18" s="11" t="s">
        <v>42</v>
      </c>
      <c r="E18" s="17" t="str">
        <f t="shared" si="6"/>
        <v>13_Rueckle Rd On Ramp to Walnut Ave Off Ramp</v>
      </c>
      <c r="F18" s="22">
        <v>4</v>
      </c>
      <c r="G18" s="18">
        <f t="shared" si="7"/>
        <v>2</v>
      </c>
      <c r="H18" s="18">
        <f t="shared" si="8"/>
        <v>0.83333333333333337</v>
      </c>
      <c r="I18" s="29">
        <f t="shared" si="9"/>
        <v>69.636038543223862</v>
      </c>
      <c r="J18" s="2">
        <f t="shared" si="10"/>
        <v>370.001220703125</v>
      </c>
      <c r="K18" s="11"/>
      <c r="L18" s="11"/>
      <c r="M18" s="11"/>
      <c r="N18" s="11"/>
      <c r="O18" s="11"/>
      <c r="P18" s="29">
        <f>VLOOKUP(C18,'Station Number'!$D$1:$E$40,2,FALSE)+15</f>
        <v>662.5</v>
      </c>
      <c r="Q18" s="29">
        <f>VLOOKUP(D18,'Station Number'!$D$1:$E$40,2,FALSE)-15</f>
        <v>666.20001220703125</v>
      </c>
      <c r="R18" s="2">
        <f t="shared" si="11"/>
        <v>-370.001220703125</v>
      </c>
      <c r="S18" s="2">
        <f t="shared" si="12"/>
        <v>664.35000610351563</v>
      </c>
      <c r="T18" s="32"/>
      <c r="U18" s="6">
        <v>2</v>
      </c>
      <c r="V18" s="6">
        <v>0.83333333333333337</v>
      </c>
      <c r="W18" s="3"/>
      <c r="X18" s="3"/>
      <c r="Y18" s="3"/>
      <c r="Z18" s="3"/>
    </row>
    <row r="19" spans="1:26" s="3" customFormat="1" ht="15.75" x14ac:dyDescent="0.25">
      <c r="A19" s="15" t="s">
        <v>23</v>
      </c>
      <c r="B19" s="13">
        <v>14</v>
      </c>
      <c r="C19" s="11" t="s">
        <v>42</v>
      </c>
      <c r="D19" s="12" t="s">
        <v>26</v>
      </c>
      <c r="E19" s="17" t="str">
        <f t="shared" si="6"/>
        <v>14_Walnut Ave Off Ramp to Schmidt Ave On Ramp</v>
      </c>
      <c r="F19" s="22">
        <v>4</v>
      </c>
      <c r="G19" s="18">
        <f t="shared" si="7"/>
        <v>2</v>
      </c>
      <c r="H19" s="18">
        <f t="shared" si="8"/>
        <v>1</v>
      </c>
      <c r="I19" s="29">
        <f t="shared" si="9"/>
        <v>69.636038543223862</v>
      </c>
      <c r="J19" s="2">
        <f t="shared" si="10"/>
        <v>3650</v>
      </c>
      <c r="K19" s="11"/>
      <c r="L19" s="11"/>
      <c r="M19" s="11"/>
      <c r="N19" s="11"/>
      <c r="O19" s="11"/>
      <c r="P19" s="29">
        <f>VLOOKUP(C19,'Station Number'!$D$1:$E$40,2,FALSE)</f>
        <v>681.20001220703125</v>
      </c>
      <c r="Q19" s="29">
        <f>VLOOKUP(D19,'Station Number'!$D$1:$E$40,2,FALSE)</f>
        <v>717.70001220703125</v>
      </c>
      <c r="R19" s="2">
        <f t="shared" si="11"/>
        <v>-3650</v>
      </c>
      <c r="S19" s="2">
        <f t="shared" si="12"/>
        <v>699.45001220703125</v>
      </c>
      <c r="T19" s="32"/>
      <c r="U19" s="6">
        <v>2</v>
      </c>
      <c r="V19" s="6">
        <v>1</v>
      </c>
    </row>
    <row r="20" spans="1:26" s="7" customFormat="1" ht="15.75" x14ac:dyDescent="0.25">
      <c r="A20" s="15" t="s">
        <v>23</v>
      </c>
      <c r="B20" s="13">
        <v>15</v>
      </c>
      <c r="C20" s="11" t="s">
        <v>27</v>
      </c>
      <c r="D20" s="12" t="s">
        <v>28</v>
      </c>
      <c r="E20" s="17" t="str">
        <f t="shared" si="6"/>
        <v>15_Seguin Ave Off Ramp to Walnut Ave On Ramp</v>
      </c>
      <c r="F20" s="22">
        <v>4</v>
      </c>
      <c r="G20" s="18">
        <f t="shared" si="7"/>
        <v>2.3333333333333335</v>
      </c>
      <c r="H20" s="18">
        <f t="shared" si="8"/>
        <v>1</v>
      </c>
      <c r="I20" s="29">
        <f t="shared" si="9"/>
        <v>68.839206458832138</v>
      </c>
      <c r="J20" s="2">
        <f t="shared" si="10"/>
        <v>3700</v>
      </c>
      <c r="K20" s="11"/>
      <c r="L20" s="11"/>
      <c r="M20" s="11"/>
      <c r="N20" s="11"/>
      <c r="O20" s="11"/>
      <c r="P20" s="29">
        <f>VLOOKUP(C20,'Station Number'!$D$1:$E$40,2,FALSE)</f>
        <v>726.20001220703125</v>
      </c>
      <c r="Q20" s="29">
        <f>VLOOKUP(D20,'Station Number'!$D$1:$E$40,2,FALSE)</f>
        <v>763.20001220703125</v>
      </c>
      <c r="R20" s="2">
        <f t="shared" si="11"/>
        <v>-3700</v>
      </c>
      <c r="S20" s="2">
        <f t="shared" si="12"/>
        <v>744.70001220703125</v>
      </c>
      <c r="T20" s="32"/>
      <c r="U20" s="6">
        <v>2.3333333333333335</v>
      </c>
      <c r="V20" s="6">
        <v>1</v>
      </c>
      <c r="W20" s="3"/>
      <c r="X20" s="3"/>
      <c r="Y20" s="3"/>
      <c r="Z20" s="3"/>
    </row>
    <row r="21" spans="1:26" s="3" customFormat="1" ht="15.75" x14ac:dyDescent="0.25">
      <c r="A21" s="15" t="s">
        <v>23</v>
      </c>
      <c r="B21" s="13">
        <v>16</v>
      </c>
      <c r="C21" s="11" t="s">
        <v>29</v>
      </c>
      <c r="D21" s="11" t="s">
        <v>43</v>
      </c>
      <c r="E21" s="17" t="str">
        <f t="shared" si="6"/>
        <v>16_FM 1101 1st Off Ramp to FM 1101 2nd Off Ramp</v>
      </c>
      <c r="F21" s="22">
        <v>4</v>
      </c>
      <c r="G21" s="18">
        <f t="shared" si="7"/>
        <v>2.3333333333333335</v>
      </c>
      <c r="H21" s="18">
        <f t="shared" si="8"/>
        <v>0.83333333333333337</v>
      </c>
      <c r="I21" s="29">
        <f t="shared" si="9"/>
        <v>68.839206458832138</v>
      </c>
      <c r="J21" s="2">
        <f t="shared" si="10"/>
        <v>850</v>
      </c>
      <c r="K21" s="11"/>
      <c r="L21" s="11"/>
      <c r="M21" s="11"/>
      <c r="N21" s="11"/>
      <c r="O21" s="11"/>
      <c r="P21" s="29">
        <f>VLOOKUP(C21,'Station Number'!$D$1:$E$40,2,FALSE)</f>
        <v>769.5999755859375</v>
      </c>
      <c r="Q21" s="29">
        <f>VLOOKUP(D21,'Station Number'!$D$1:$E$40,2,FALSE)-15</f>
        <v>778.0999755859375</v>
      </c>
      <c r="R21" s="2">
        <f t="shared" si="11"/>
        <v>-850</v>
      </c>
      <c r="S21" s="2">
        <f t="shared" si="12"/>
        <v>773.8499755859375</v>
      </c>
      <c r="T21" s="32"/>
      <c r="U21" s="6">
        <v>2.3333333333333335</v>
      </c>
      <c r="V21" s="6">
        <v>0.83333333333333337</v>
      </c>
    </row>
    <row r="22" spans="1:26" s="3" customFormat="1" x14ac:dyDescent="0.25">
      <c r="A22" s="11"/>
      <c r="B22" s="11"/>
      <c r="C22" s="11"/>
      <c r="D22" s="11"/>
      <c r="E22" s="11"/>
      <c r="F22" s="11"/>
      <c r="G22" s="21"/>
      <c r="H22" s="21"/>
      <c r="I22" s="19"/>
      <c r="J22" s="11"/>
      <c r="K22" s="11"/>
      <c r="L22" s="11"/>
      <c r="M22" s="11"/>
      <c r="N22" s="11"/>
      <c r="O22" s="11"/>
      <c r="P22" s="6"/>
      <c r="Q22" s="6"/>
      <c r="R22" s="2"/>
      <c r="S22" s="2"/>
      <c r="T22" s="5"/>
      <c r="U22" s="4"/>
      <c r="V22" s="4"/>
    </row>
    <row r="23" spans="1:26" s="7" customFormat="1" ht="15.75" x14ac:dyDescent="0.25">
      <c r="A23" s="15" t="s">
        <v>44</v>
      </c>
      <c r="B23" s="16">
        <v>17</v>
      </c>
      <c r="C23" s="12" t="s">
        <v>27</v>
      </c>
      <c r="D23" s="12" t="s">
        <v>42</v>
      </c>
      <c r="E23" s="17" t="str">
        <f t="shared" si="6"/>
        <v>17_Seguin Ave Off Ramp to Walnut Ave Off Ramp</v>
      </c>
      <c r="F23" s="22">
        <v>4</v>
      </c>
      <c r="G23" s="18">
        <f t="shared" ref="G23:G24" si="23">U23</f>
        <v>2.1666666666666665</v>
      </c>
      <c r="H23" s="18">
        <f t="shared" ref="H23:H24" si="24">V23</f>
        <v>0.83333333333333337</v>
      </c>
      <c r="I23" s="29">
        <f t="shared" si="9"/>
        <v>69.235168123076491</v>
      </c>
      <c r="J23" s="2">
        <f t="shared" si="10"/>
        <v>1069.9951171875</v>
      </c>
      <c r="K23" s="11"/>
      <c r="L23" s="11"/>
      <c r="M23" s="11"/>
      <c r="N23" s="11"/>
      <c r="O23" s="11"/>
      <c r="P23" s="29">
        <f>VLOOKUP(C23,'Station Number'!$J$1:$K$40,2,FALSE)</f>
        <v>791.5999755859375</v>
      </c>
      <c r="Q23" s="29">
        <f>VLOOKUP(D23,'Station Number'!$J$1:$K$40,2,FALSE)+15</f>
        <v>780.9000244140625</v>
      </c>
      <c r="R23" s="2">
        <f t="shared" si="11"/>
        <v>1069.9951171875</v>
      </c>
      <c r="S23" s="2">
        <f t="shared" si="12"/>
        <v>786.25</v>
      </c>
      <c r="T23" s="32"/>
      <c r="U23" s="6">
        <v>2.1666666666666665</v>
      </c>
      <c r="V23" s="6">
        <v>0.83333333333333337</v>
      </c>
      <c r="W23" s="3"/>
      <c r="X23" s="3"/>
      <c r="Y23" s="3"/>
      <c r="Z23" s="3"/>
    </row>
    <row r="24" spans="1:26" s="3" customFormat="1" ht="15.75" x14ac:dyDescent="0.25">
      <c r="A24" s="15" t="s">
        <v>44</v>
      </c>
      <c r="B24" s="16">
        <v>18</v>
      </c>
      <c r="C24" s="12" t="s">
        <v>42</v>
      </c>
      <c r="D24" s="11" t="s">
        <v>45</v>
      </c>
      <c r="E24" s="17" t="str">
        <f t="shared" si="6"/>
        <v>18_Walnut Ave Off Ramp to Seguin Ave On Ramp</v>
      </c>
      <c r="F24" s="22">
        <v>4</v>
      </c>
      <c r="G24" s="18">
        <f t="shared" si="23"/>
        <v>2.3333333333333335</v>
      </c>
      <c r="H24" s="18">
        <f t="shared" si="24"/>
        <v>1</v>
      </c>
      <c r="I24" s="29">
        <f t="shared" si="9"/>
        <v>68.839206458832138</v>
      </c>
      <c r="J24" s="2">
        <f t="shared" si="10"/>
        <v>3190.00244140625</v>
      </c>
      <c r="K24" s="11"/>
      <c r="L24" s="11"/>
      <c r="M24" s="11"/>
      <c r="N24" s="11"/>
      <c r="O24" s="11"/>
      <c r="P24" s="29">
        <f>VLOOKUP(C24,'Station Number'!$J$1:$K$40,2,FALSE)</f>
        <v>765.9000244140625</v>
      </c>
      <c r="Q24" s="29">
        <f>VLOOKUP(D24,'Station Number'!$J$1:$K$40,2,FALSE)</f>
        <v>734</v>
      </c>
      <c r="R24" s="2">
        <f t="shared" si="11"/>
        <v>3190.00244140625</v>
      </c>
      <c r="S24" s="2">
        <f t="shared" si="12"/>
        <v>749.95001220703125</v>
      </c>
      <c r="T24" s="32"/>
      <c r="U24" s="6">
        <v>2.3333333333333335</v>
      </c>
      <c r="V24" s="6">
        <v>1</v>
      </c>
    </row>
    <row r="25" spans="1:26" s="7" customFormat="1" ht="15.75" x14ac:dyDescent="0.25">
      <c r="A25" s="15" t="s">
        <v>44</v>
      </c>
      <c r="B25" s="16">
        <v>19</v>
      </c>
      <c r="C25" s="12" t="s">
        <v>40</v>
      </c>
      <c r="D25" s="11" t="s">
        <v>28</v>
      </c>
      <c r="E25" s="17" t="str">
        <f t="shared" si="6"/>
        <v>19_Schmidt Ave Off Ramp to Walnut Ave On Ramp</v>
      </c>
      <c r="F25" s="22">
        <v>4</v>
      </c>
      <c r="G25" s="18">
        <f t="shared" ref="G25:G32" si="25">U25</f>
        <v>2</v>
      </c>
      <c r="H25" s="18">
        <f t="shared" ref="H25:H32" si="26">V25</f>
        <v>1</v>
      </c>
      <c r="I25" s="29">
        <f t="shared" si="9"/>
        <v>69.636038543223862</v>
      </c>
      <c r="J25" s="2">
        <f t="shared" si="10"/>
        <v>2550</v>
      </c>
      <c r="K25" s="11"/>
      <c r="L25" s="11"/>
      <c r="M25" s="11"/>
      <c r="N25" s="11"/>
      <c r="O25" s="11"/>
      <c r="P25" s="29">
        <f>VLOOKUP(C25,'Station Number'!$J$1:$K$40,2,FALSE)</f>
        <v>707.5999755859375</v>
      </c>
      <c r="Q25" s="29">
        <f>VLOOKUP(D25,'Station Number'!$J$1:$K$40,2,FALSE)</f>
        <v>682.0999755859375</v>
      </c>
      <c r="R25" s="2">
        <f t="shared" si="11"/>
        <v>2550</v>
      </c>
      <c r="S25" s="2">
        <f t="shared" si="12"/>
        <v>694.8499755859375</v>
      </c>
      <c r="T25" s="32"/>
      <c r="U25" s="6">
        <v>2</v>
      </c>
      <c r="V25" s="6">
        <v>1</v>
      </c>
      <c r="W25" s="3"/>
      <c r="X25" s="3"/>
      <c r="Y25" s="3"/>
      <c r="Z25" s="3"/>
    </row>
    <row r="26" spans="1:26" s="3" customFormat="1" ht="15.75" x14ac:dyDescent="0.25">
      <c r="A26" s="15" t="s">
        <v>44</v>
      </c>
      <c r="B26" s="16">
        <v>20</v>
      </c>
      <c r="C26" s="12" t="s">
        <v>38</v>
      </c>
      <c r="D26" s="11" t="s">
        <v>26</v>
      </c>
      <c r="E26" s="17" t="str">
        <f t="shared" si="6"/>
        <v>20_Rueckle Rd Off Ramp to Schmidt Ave On Ramp</v>
      </c>
      <c r="F26" s="22">
        <v>4</v>
      </c>
      <c r="G26" s="18">
        <f t="shared" si="25"/>
        <v>1.8333333333333333</v>
      </c>
      <c r="H26" s="18">
        <f t="shared" si="26"/>
        <v>0.83333333333333337</v>
      </c>
      <c r="I26" s="29">
        <f t="shared" si="9"/>
        <v>70.042296485122876</v>
      </c>
      <c r="J26" s="2">
        <f t="shared" si="10"/>
        <v>3109.99755859375</v>
      </c>
      <c r="K26" s="11"/>
      <c r="L26" s="11"/>
      <c r="M26" s="11"/>
      <c r="N26" s="11"/>
      <c r="O26" s="11"/>
      <c r="P26" s="29">
        <f>VLOOKUP(C26,'Station Number'!$J$1:$K$40,2,FALSE)</f>
        <v>657.0999755859375</v>
      </c>
      <c r="Q26" s="29">
        <f>VLOOKUP(D26,'Station Number'!$J$1:$K$40,2,FALSE)</f>
        <v>626</v>
      </c>
      <c r="R26" s="2">
        <f t="shared" si="11"/>
        <v>3109.99755859375</v>
      </c>
      <c r="S26" s="2">
        <f t="shared" si="12"/>
        <v>641.54998779296875</v>
      </c>
      <c r="T26" s="32"/>
      <c r="U26" s="6">
        <v>1.8333333333333333</v>
      </c>
      <c r="V26" s="6">
        <v>0.83333333333333337</v>
      </c>
    </row>
    <row r="27" spans="1:26" s="3" customFormat="1" ht="15.75" x14ac:dyDescent="0.25">
      <c r="A27" s="15" t="s">
        <v>44</v>
      </c>
      <c r="B27" s="16">
        <v>102</v>
      </c>
      <c r="C27" s="44" t="s">
        <v>36</v>
      </c>
      <c r="D27" t="s">
        <v>26</v>
      </c>
      <c r="E27" s="17" t="str">
        <f t="shared" ref="E27" si="27">CONCATENATE(B27,"_",C27," Ramp to ",D27," Ramp")</f>
        <v>102_Solms Rd Off Ramp to Schmidt Ave On Ramp</v>
      </c>
      <c r="F27" s="22">
        <v>4</v>
      </c>
      <c r="G27" s="18">
        <f t="shared" ref="G27" si="28">U27</f>
        <v>1.8333333333333333</v>
      </c>
      <c r="H27" s="18">
        <f t="shared" ref="H27" si="29">V27</f>
        <v>0.83333333333333337</v>
      </c>
      <c r="I27" s="29">
        <f t="shared" ref="I27" si="30">75.4-3.22*G27^0.84</f>
        <v>70.042296485122876</v>
      </c>
      <c r="J27" s="2">
        <f t="shared" ref="J27" si="31">ABS(R27)</f>
        <v>1029.998779296875</v>
      </c>
      <c r="K27" s="11"/>
      <c r="L27" s="11"/>
      <c r="M27" s="11"/>
      <c r="N27" s="11"/>
      <c r="O27" s="11"/>
      <c r="P27" s="29">
        <f>VLOOKUP(C27,'Station Number'!$J$1:$K$40,2,FALSE)</f>
        <v>600.70001220703125</v>
      </c>
      <c r="Q27" s="29">
        <f>VLOOKUP(D27,'Station Number'!$J$1:$K$40,2,FALSE)-15</f>
        <v>611</v>
      </c>
      <c r="R27" s="2">
        <f t="shared" ref="R27" si="32">(P27-Q27)*100</f>
        <v>-1029.998779296875</v>
      </c>
      <c r="S27" s="2">
        <f t="shared" ref="S27" si="33">(P27+Q27)/2</f>
        <v>605.85000610351563</v>
      </c>
      <c r="T27" s="32"/>
      <c r="U27" s="6">
        <v>1.8333333333333333</v>
      </c>
      <c r="V27" s="6">
        <v>0.83333333333333337</v>
      </c>
    </row>
    <row r="28" spans="1:26" s="7" customFormat="1" ht="15.75" x14ac:dyDescent="0.25">
      <c r="A28" s="15" t="s">
        <v>44</v>
      </c>
      <c r="B28" s="16">
        <v>21</v>
      </c>
      <c r="C28" s="12" t="s">
        <v>36</v>
      </c>
      <c r="D28" s="11" t="s">
        <v>41</v>
      </c>
      <c r="E28" s="17" t="str">
        <f t="shared" si="6"/>
        <v>21_Solms Rd Off Ramp to Rueckle Rd On Ramp</v>
      </c>
      <c r="F28" s="22">
        <v>3</v>
      </c>
      <c r="G28" s="18">
        <f t="shared" si="25"/>
        <v>1.6666666666666667</v>
      </c>
      <c r="H28" s="18">
        <f t="shared" si="26"/>
        <v>0.83333333333333337</v>
      </c>
      <c r="I28" s="29">
        <f t="shared" si="9"/>
        <v>70.45451576958196</v>
      </c>
      <c r="J28" s="2">
        <f t="shared" si="10"/>
        <v>3729.998779296875</v>
      </c>
      <c r="K28" s="11"/>
      <c r="L28" s="11"/>
      <c r="M28" s="11"/>
      <c r="N28" s="11"/>
      <c r="O28" s="11"/>
      <c r="P28" s="29">
        <f>VLOOKUP(C28,'Station Number'!$J$1:$K$40,2,FALSE)</f>
        <v>600.70001220703125</v>
      </c>
      <c r="Q28" s="29">
        <f>VLOOKUP(D28,'Station Number'!$J$1:$K$40,2,FALSE)</f>
        <v>563.4000244140625</v>
      </c>
      <c r="R28" s="2">
        <f t="shared" si="11"/>
        <v>3729.998779296875</v>
      </c>
      <c r="S28" s="2">
        <f t="shared" si="12"/>
        <v>582.05001831054688</v>
      </c>
      <c r="T28" s="32"/>
      <c r="U28" s="6">
        <v>1.6666666666666667</v>
      </c>
      <c r="V28" s="6">
        <v>0.83333333333333337</v>
      </c>
      <c r="W28" s="3"/>
      <c r="X28" s="3"/>
      <c r="Y28" s="3"/>
      <c r="Z28" s="3"/>
    </row>
    <row r="29" spans="1:26" s="3" customFormat="1" ht="15.75" x14ac:dyDescent="0.25">
      <c r="A29" s="15" t="s">
        <v>44</v>
      </c>
      <c r="B29" s="16">
        <v>22</v>
      </c>
      <c r="C29" s="12" t="s">
        <v>34</v>
      </c>
      <c r="D29" s="11" t="s">
        <v>39</v>
      </c>
      <c r="E29" s="17" t="str">
        <f t="shared" si="6"/>
        <v>22_Engel Rd Off Ramp to Solms Rd On Ramp</v>
      </c>
      <c r="F29" s="22">
        <v>3</v>
      </c>
      <c r="G29" s="18">
        <f t="shared" si="25"/>
        <v>1.5</v>
      </c>
      <c r="H29" s="18">
        <f t="shared" si="26"/>
        <v>0.83333333333333337</v>
      </c>
      <c r="I29" s="29">
        <f t="shared" si="9"/>
        <v>70.873395724381268</v>
      </c>
      <c r="J29" s="2">
        <f t="shared" si="10"/>
        <v>3989.9993896484375</v>
      </c>
      <c r="K29" s="11"/>
      <c r="L29" s="11"/>
      <c r="M29" s="11"/>
      <c r="N29" s="11"/>
      <c r="O29" s="11"/>
      <c r="P29" s="29">
        <f>VLOOKUP(C29,'Station Number'!$J$1:$K$40,2,FALSE)</f>
        <v>534.29998779296875</v>
      </c>
      <c r="Q29" s="29">
        <f>VLOOKUP(D29,'Station Number'!$J$1:$K$40,2,FALSE)</f>
        <v>494.39999389648438</v>
      </c>
      <c r="R29" s="2">
        <f t="shared" si="11"/>
        <v>3989.9993896484375</v>
      </c>
      <c r="S29" s="2">
        <f t="shared" si="12"/>
        <v>514.34999084472656</v>
      </c>
      <c r="T29" s="32"/>
      <c r="U29" s="6">
        <v>1.5</v>
      </c>
      <c r="V29" s="6">
        <v>0.83333333333333337</v>
      </c>
    </row>
    <row r="30" spans="1:26" s="7" customFormat="1" ht="15.75" x14ac:dyDescent="0.25">
      <c r="A30" s="15" t="s">
        <v>44</v>
      </c>
      <c r="B30" s="16">
        <v>23</v>
      </c>
      <c r="C30" s="12" t="s">
        <v>25</v>
      </c>
      <c r="D30" s="11" t="s">
        <v>37</v>
      </c>
      <c r="E30" s="17" t="str">
        <f t="shared" si="6"/>
        <v>23_Schawab Rd Off Ramp to Engel Rd On Ramp</v>
      </c>
      <c r="F30" s="22">
        <v>3</v>
      </c>
      <c r="G30" s="18">
        <f t="shared" si="25"/>
        <v>1.3333333333333333</v>
      </c>
      <c r="H30" s="18">
        <f t="shared" si="26"/>
        <v>0.66666666666666663</v>
      </c>
      <c r="I30" s="29">
        <f t="shared" si="9"/>
        <v>71.299805955915545</v>
      </c>
      <c r="J30" s="2">
        <f t="shared" si="10"/>
        <v>5889.9993896484375</v>
      </c>
      <c r="K30" s="11"/>
      <c r="L30" s="11"/>
      <c r="M30" s="11"/>
      <c r="N30" s="11"/>
      <c r="O30" s="11"/>
      <c r="P30" s="29">
        <f>VLOOKUP(C30,'Station Number'!$J$1:$K$40,2,FALSE)</f>
        <v>466.10000610351563</v>
      </c>
      <c r="Q30" s="29">
        <f>VLOOKUP(D30,'Station Number'!$J$1:$K$40,2,FALSE)</f>
        <v>407.20001220703125</v>
      </c>
      <c r="R30" s="2">
        <f t="shared" si="11"/>
        <v>5889.9993896484375</v>
      </c>
      <c r="S30" s="2">
        <f t="shared" si="12"/>
        <v>436.65000915527344</v>
      </c>
      <c r="T30" s="32"/>
      <c r="U30" s="6">
        <v>1.3333333333333333</v>
      </c>
      <c r="V30" s="6">
        <v>0.66666666666666663</v>
      </c>
      <c r="W30" s="3"/>
      <c r="X30" s="3"/>
      <c r="Y30" s="3"/>
      <c r="Z30" s="3"/>
    </row>
    <row r="31" spans="1:26" s="3" customFormat="1" ht="15.75" x14ac:dyDescent="0.25">
      <c r="A31" s="15" t="s">
        <v>44</v>
      </c>
      <c r="B31" s="16">
        <v>24</v>
      </c>
      <c r="C31" s="11" t="s">
        <v>37</v>
      </c>
      <c r="D31" s="12" t="s">
        <v>31</v>
      </c>
      <c r="E31" s="17" t="str">
        <f t="shared" si="6"/>
        <v>24_Engel Rd On Ramp to FM 1103 Off Ramp</v>
      </c>
      <c r="F31" s="22">
        <v>3</v>
      </c>
      <c r="G31" s="18">
        <f t="shared" si="25"/>
        <v>1.5</v>
      </c>
      <c r="H31" s="18">
        <f t="shared" si="26"/>
        <v>0.5</v>
      </c>
      <c r="I31" s="29">
        <f t="shared" si="9"/>
        <v>70.873395724381268</v>
      </c>
      <c r="J31" s="2">
        <f t="shared" si="10"/>
        <v>1270.001220703125</v>
      </c>
      <c r="K31" s="11"/>
      <c r="L31" s="11"/>
      <c r="M31" s="11"/>
      <c r="N31" s="11"/>
      <c r="O31" s="11"/>
      <c r="P31" s="29">
        <f>VLOOKUP(C31,'Station Number'!$J$1:$K$40,2,FALSE)-15</f>
        <v>392.20001220703125</v>
      </c>
      <c r="Q31" s="29">
        <f>VLOOKUP(D31,'Station Number'!$J$1:$K$40,2,FALSE)+15</f>
        <v>379.5</v>
      </c>
      <c r="R31" s="2">
        <f t="shared" si="11"/>
        <v>1270.001220703125</v>
      </c>
      <c r="S31" s="2">
        <f t="shared" si="12"/>
        <v>385.85000610351563</v>
      </c>
      <c r="T31" s="32"/>
      <c r="U31" s="6">
        <v>1.5</v>
      </c>
      <c r="V31" s="6">
        <v>0.5</v>
      </c>
    </row>
    <row r="32" spans="1:26" s="7" customFormat="1" ht="15.75" x14ac:dyDescent="0.25">
      <c r="A32" s="15" t="s">
        <v>44</v>
      </c>
      <c r="B32" s="16">
        <v>25</v>
      </c>
      <c r="C32" s="12" t="s">
        <v>31</v>
      </c>
      <c r="D32" s="11" t="s">
        <v>35</v>
      </c>
      <c r="E32" s="17" t="str">
        <f t="shared" si="6"/>
        <v>25_FM 1103 Off Ramp to Schawab Rd On Ramp</v>
      </c>
      <c r="F32" s="22">
        <v>3</v>
      </c>
      <c r="G32" s="18">
        <f t="shared" si="25"/>
        <v>1.8333333333333333</v>
      </c>
      <c r="H32" s="18">
        <f t="shared" si="26"/>
        <v>0.83333333333333337</v>
      </c>
      <c r="I32" s="29">
        <f t="shared" si="9"/>
        <v>70.042296485122876</v>
      </c>
      <c r="J32" s="2">
        <f t="shared" si="10"/>
        <v>4760.0006103515625</v>
      </c>
      <c r="K32" s="11"/>
      <c r="L32" s="11"/>
      <c r="M32" s="11"/>
      <c r="N32" s="11"/>
      <c r="O32" s="11"/>
      <c r="P32" s="29">
        <f>VLOOKUP(C32,'Station Number'!$J$1:$K$40,2,FALSE)</f>
        <v>364.5</v>
      </c>
      <c r="Q32" s="29">
        <f>VLOOKUP(D32,'Station Number'!$J$1:$K$40,2,FALSE)</f>
        <v>316.89999389648438</v>
      </c>
      <c r="R32" s="2">
        <f t="shared" si="11"/>
        <v>4760.0006103515625</v>
      </c>
      <c r="S32" s="2">
        <f t="shared" si="12"/>
        <v>340.69999694824219</v>
      </c>
      <c r="T32" s="32"/>
      <c r="U32" s="6">
        <v>1.8333333333333333</v>
      </c>
      <c r="V32" s="6">
        <v>0.83333333333333337</v>
      </c>
      <c r="W32" s="3"/>
      <c r="X32" s="3"/>
      <c r="Y32" s="3"/>
      <c r="Z32" s="3"/>
    </row>
    <row r="33" spans="1:26" s="7" customFormat="1" x14ac:dyDescent="0.25">
      <c r="A33" s="15" t="s">
        <v>44</v>
      </c>
      <c r="B33" s="16">
        <v>103</v>
      </c>
      <c r="C33" t="s">
        <v>62</v>
      </c>
      <c r="D33" t="s">
        <v>46</v>
      </c>
      <c r="E33" s="17" t="str">
        <f t="shared" ref="E33" si="34">CONCATENATE(B33,"_",C33," Ramp to ",D33," Ramp")</f>
        <v>103_FM 2252 Off Ramp to HOV lane Off Ramp</v>
      </c>
      <c r="F33" s="22">
        <v>4</v>
      </c>
      <c r="G33" s="18">
        <f t="shared" ref="G33" si="35">U33</f>
        <v>1.8333333333333333</v>
      </c>
      <c r="H33" s="18">
        <f t="shared" ref="H33" si="36">V33</f>
        <v>0.83333333333333337</v>
      </c>
      <c r="I33" s="29">
        <f t="shared" ref="I33" si="37">75.4-3.22*G33^0.84</f>
        <v>70.042296485122876</v>
      </c>
      <c r="J33" s="2">
        <f t="shared" ref="J33" si="38">ABS(R33)</f>
        <v>1110.0006103515625</v>
      </c>
      <c r="K33" s="11"/>
      <c r="L33" s="11"/>
      <c r="M33" s="11"/>
      <c r="N33" s="11"/>
      <c r="O33" s="11"/>
      <c r="P33" s="29">
        <f>VLOOKUP(C33,'Station Number'!$J$1:$K$40,2,FALSE)</f>
        <v>284.60000610351563</v>
      </c>
      <c r="Q33" s="29">
        <f>VLOOKUP(D33,'Station Number'!$J$1:$K$40,2,FALSE)</f>
        <v>273.5</v>
      </c>
      <c r="R33" s="2">
        <f t="shared" ref="R33" si="39">(P33-Q33)*100</f>
        <v>1110.0006103515625</v>
      </c>
      <c r="S33" s="2">
        <f t="shared" ref="S33" si="40">(P33+Q33)/2</f>
        <v>279.05000305175781</v>
      </c>
      <c r="T33" s="32"/>
      <c r="U33" s="6">
        <v>1.8333333333333333</v>
      </c>
      <c r="V33" s="6">
        <v>0.83333333333333337</v>
      </c>
      <c r="W33" s="3"/>
      <c r="X33" s="3"/>
      <c r="Y33" s="3"/>
      <c r="Z33" s="3"/>
    </row>
    <row r="34" spans="1:26" s="3" customFormat="1" x14ac:dyDescent="0.25">
      <c r="A34" s="11"/>
      <c r="B34" s="11"/>
      <c r="C34" s="11"/>
      <c r="D34" s="11"/>
      <c r="E34" s="17"/>
      <c r="F34" s="23"/>
      <c r="G34" s="24"/>
      <c r="H34" s="24"/>
      <c r="I34" s="25"/>
      <c r="J34" s="26"/>
      <c r="K34" s="11"/>
      <c r="L34" s="11"/>
      <c r="M34" s="11"/>
      <c r="N34" s="11"/>
      <c r="O34" s="11"/>
      <c r="P34" s="6"/>
      <c r="Q34" s="6"/>
      <c r="R34" s="2"/>
      <c r="S34" s="2"/>
      <c r="T34" s="5"/>
      <c r="U34" s="4"/>
      <c r="V34" s="4"/>
    </row>
    <row r="35" spans="1:26" s="3" customFormat="1" ht="32.25" customHeight="1" x14ac:dyDescent="0.25">
      <c r="A35" s="27" t="s">
        <v>0</v>
      </c>
      <c r="B35" s="27"/>
      <c r="C35" s="27"/>
      <c r="D35" s="27"/>
      <c r="E35" s="27" t="s">
        <v>8</v>
      </c>
      <c r="F35" s="27" t="s">
        <v>10</v>
      </c>
      <c r="G35" s="35" t="s">
        <v>11</v>
      </c>
      <c r="H35" s="35" t="s">
        <v>3</v>
      </c>
      <c r="I35" s="36" t="s">
        <v>6</v>
      </c>
      <c r="J35" s="27" t="s">
        <v>9</v>
      </c>
      <c r="K35" s="27" t="s">
        <v>14</v>
      </c>
      <c r="L35" s="27" t="s">
        <v>12</v>
      </c>
      <c r="M35" s="27" t="s">
        <v>20</v>
      </c>
      <c r="N35" s="27" t="s">
        <v>21</v>
      </c>
      <c r="O35" s="27" t="s">
        <v>13</v>
      </c>
      <c r="P35" s="6"/>
      <c r="Q35" s="33"/>
      <c r="R35" s="34" t="s">
        <v>22</v>
      </c>
      <c r="S35" s="6"/>
      <c r="T35" s="4"/>
      <c r="U35" s="4"/>
      <c r="V35" s="4"/>
    </row>
    <row r="36" spans="1:26" s="7" customFormat="1" ht="15" customHeight="1" x14ac:dyDescent="0.25">
      <c r="A36" s="15" t="s">
        <v>23</v>
      </c>
      <c r="B36" s="13">
        <v>31</v>
      </c>
      <c r="C36" s="12" t="s">
        <v>33</v>
      </c>
      <c r="D36" s="11" t="s">
        <v>25</v>
      </c>
      <c r="E36" s="17" t="str">
        <f t="shared" ref="E36:E84" si="41">CONCATENATE(B36," ",C36," Ramp Ref to ",D36," Ramp")</f>
        <v>31 FM 1103 On Ramp Ref to Schawab Rd Off Ramp</v>
      </c>
      <c r="F36" s="6">
        <f>VLOOKUP(C36,'LALD Length'!$B$1:$F$10,5,FALSE)</f>
        <v>3</v>
      </c>
      <c r="G36" s="2">
        <v>1</v>
      </c>
      <c r="H36" s="18">
        <f t="shared" ref="H36:H84" si="42">U36</f>
        <v>1.3333333333333333</v>
      </c>
      <c r="I36" s="29">
        <f t="shared" ref="I36:I84" si="43">75.4-3.22*H36^0.84</f>
        <v>71.299805955915545</v>
      </c>
      <c r="J36" s="6">
        <v>40</v>
      </c>
      <c r="K36" s="6">
        <f>VLOOKUP(C36,'LALD Length'!$B$1:$E$10,4,FALSE)</f>
        <v>1239.9999999999977</v>
      </c>
      <c r="L36" s="9">
        <f t="shared" ref="L36:L84" si="44">ABS(R36)</f>
        <v>7010.0006103515625</v>
      </c>
      <c r="M36" s="6" t="str">
        <f t="shared" ref="M36:M84" si="45">IF(ISNUMBER(SEARCH(" On",D36)),"On", "Off")</f>
        <v>Off</v>
      </c>
      <c r="N36" s="6" t="str">
        <f t="shared" ref="N36:N51" si="46">IF(R36&lt;0, "Downstream","Upstream")</f>
        <v>Upstream</v>
      </c>
      <c r="O36" s="17" t="str">
        <f t="shared" ref="O36:O51" si="47">CONCATENATE(M36," - ",N36)</f>
        <v>Off - Upstream</v>
      </c>
      <c r="P36" s="29">
        <f>VLOOKUP(C36,'Station Number'!$D$1:$E$40,2,FALSE)</f>
        <v>367.10000610351563</v>
      </c>
      <c r="Q36" s="29">
        <f>VLOOKUP(D36,'Station Number'!$D$1:$E$40,2,FALSE)</f>
        <v>297</v>
      </c>
      <c r="R36" s="2">
        <f t="shared" ref="R36:R51" si="48">(P36-Q36)*100</f>
        <v>7010.0006103515625</v>
      </c>
      <c r="S36" s="2">
        <f t="shared" ref="S36:S84" si="49">P36</f>
        <v>367.10000610351563</v>
      </c>
      <c r="T36" s="32"/>
      <c r="U36" s="6">
        <v>1.3333333333333333</v>
      </c>
      <c r="V36" s="6">
        <v>0.66666666666666663</v>
      </c>
      <c r="W36" s="3"/>
      <c r="X36" s="3"/>
      <c r="Y36" s="3"/>
      <c r="Z36" s="3"/>
    </row>
    <row r="37" spans="1:26" s="3" customFormat="1" ht="15" customHeight="1" x14ac:dyDescent="0.25">
      <c r="A37" s="15" t="s">
        <v>23</v>
      </c>
      <c r="B37" s="13">
        <v>32</v>
      </c>
      <c r="C37" s="12" t="s">
        <v>33</v>
      </c>
      <c r="D37" s="11" t="s">
        <v>34</v>
      </c>
      <c r="E37" s="17" t="str">
        <f t="shared" si="41"/>
        <v>32 FM 1103 On Ramp Ref to Engel Rd Off Ramp</v>
      </c>
      <c r="F37" s="6">
        <f>VLOOKUP(C37,'LALD Length'!$B$1:$F$10,5,FALSE)</f>
        <v>3</v>
      </c>
      <c r="G37" s="2">
        <v>1</v>
      </c>
      <c r="H37" s="18">
        <f t="shared" si="42"/>
        <v>1.3333333333333333</v>
      </c>
      <c r="I37" s="29">
        <f t="shared" si="43"/>
        <v>71.299805955915545</v>
      </c>
      <c r="J37" s="6">
        <v>40</v>
      </c>
      <c r="K37" s="6">
        <f>VLOOKUP(C37,'LALD Length'!$B$1:$E$10,4,FALSE)</f>
        <v>1239.9999999999977</v>
      </c>
      <c r="L37" s="9">
        <f t="shared" si="44"/>
        <v>3610.0006103515625</v>
      </c>
      <c r="M37" s="6" t="str">
        <f t="shared" si="45"/>
        <v>Off</v>
      </c>
      <c r="N37" s="6" t="str">
        <f t="shared" si="46"/>
        <v>Downstream</v>
      </c>
      <c r="O37" s="17" t="str">
        <f t="shared" si="47"/>
        <v>Off - Downstream</v>
      </c>
      <c r="P37" s="29">
        <f>VLOOKUP(C37,'Station Number'!$D$1:$E$40,2,FALSE)</f>
        <v>367.10000610351563</v>
      </c>
      <c r="Q37" s="29">
        <f>VLOOKUP(D37,'Station Number'!$D$1:$E$40,2,FALSE)</f>
        <v>403.20001220703125</v>
      </c>
      <c r="R37" s="2">
        <f t="shared" si="48"/>
        <v>-3610.0006103515625</v>
      </c>
      <c r="S37" s="2">
        <f t="shared" si="49"/>
        <v>367.10000610351563</v>
      </c>
      <c r="T37" s="32"/>
      <c r="U37" s="6">
        <v>1.3333333333333333</v>
      </c>
      <c r="V37" s="6">
        <v>0.66666666666666663</v>
      </c>
    </row>
    <row r="38" spans="1:26" s="7" customFormat="1" ht="15" customHeight="1" x14ac:dyDescent="0.25">
      <c r="A38" s="15" t="s">
        <v>23</v>
      </c>
      <c r="B38" s="13">
        <v>33</v>
      </c>
      <c r="C38" s="11" t="s">
        <v>34</v>
      </c>
      <c r="D38" s="12" t="s">
        <v>33</v>
      </c>
      <c r="E38" s="17" t="str">
        <f t="shared" si="41"/>
        <v>33 Engel Rd Off Ramp Ref to FM 1103 On Ramp</v>
      </c>
      <c r="F38" s="6">
        <f>VLOOKUP(C38,'LALD Length'!$B$1:$F$10,5,FALSE)</f>
        <v>3</v>
      </c>
      <c r="G38" s="2">
        <v>1</v>
      </c>
      <c r="H38" s="18">
        <f t="shared" si="42"/>
        <v>1.3333333333333333</v>
      </c>
      <c r="I38" s="29">
        <f t="shared" si="43"/>
        <v>71.299805955915545</v>
      </c>
      <c r="J38" s="6">
        <v>40</v>
      </c>
      <c r="K38" s="6">
        <f>VLOOKUP(C38,'LALD Length'!$B$1:$E$10,4,FALSE)</f>
        <v>380.00000000000114</v>
      </c>
      <c r="L38" s="9">
        <f t="shared" si="44"/>
        <v>3610.0006103515625</v>
      </c>
      <c r="M38" s="6" t="str">
        <f t="shared" si="45"/>
        <v>On</v>
      </c>
      <c r="N38" s="6" t="str">
        <f t="shared" si="46"/>
        <v>Upstream</v>
      </c>
      <c r="O38" s="17" t="str">
        <f t="shared" si="47"/>
        <v>On - Upstream</v>
      </c>
      <c r="P38" s="29">
        <f>VLOOKUP(C38,'Station Number'!$D$1:$E$40,2,FALSE)</f>
        <v>403.20001220703125</v>
      </c>
      <c r="Q38" s="29">
        <f>VLOOKUP(D38,'Station Number'!$D$1:$E$40,2,FALSE)</f>
        <v>367.10000610351563</v>
      </c>
      <c r="R38" s="2">
        <f t="shared" si="48"/>
        <v>3610.0006103515625</v>
      </c>
      <c r="S38" s="2">
        <f t="shared" si="49"/>
        <v>403.20001220703125</v>
      </c>
      <c r="T38" s="32"/>
      <c r="U38" s="6">
        <v>1.3333333333333333</v>
      </c>
      <c r="V38" s="6">
        <v>0.66666666666666663</v>
      </c>
      <c r="W38" s="3"/>
      <c r="X38" s="3"/>
      <c r="Y38" s="3"/>
      <c r="Z38" s="3"/>
    </row>
    <row r="39" spans="1:26" s="3" customFormat="1" ht="15" customHeight="1" x14ac:dyDescent="0.25">
      <c r="A39" s="15" t="s">
        <v>23</v>
      </c>
      <c r="B39" s="13">
        <v>34</v>
      </c>
      <c r="C39" s="11" t="s">
        <v>34</v>
      </c>
      <c r="D39" s="12" t="s">
        <v>35</v>
      </c>
      <c r="E39" s="17" t="str">
        <f t="shared" si="41"/>
        <v>34 Engel Rd Off Ramp Ref to Schawab Rd On Ramp</v>
      </c>
      <c r="F39" s="6">
        <f>VLOOKUP(C39,'LALD Length'!$B$1:$F$10,5,FALSE)</f>
        <v>3</v>
      </c>
      <c r="G39" s="2">
        <v>1</v>
      </c>
      <c r="H39" s="18">
        <f t="shared" si="42"/>
        <v>1.3333333333333333</v>
      </c>
      <c r="I39" s="29">
        <f t="shared" si="43"/>
        <v>71.299805955915545</v>
      </c>
      <c r="J39" s="6">
        <v>40</v>
      </c>
      <c r="K39" s="6">
        <f>VLOOKUP(C39,'LALD Length'!$B$1:$E$10,4,FALSE)</f>
        <v>380.00000000000114</v>
      </c>
      <c r="L39" s="9">
        <f t="shared" si="44"/>
        <v>5239.9993896484375</v>
      </c>
      <c r="M39" s="6" t="str">
        <f t="shared" si="45"/>
        <v>On</v>
      </c>
      <c r="N39" s="6" t="str">
        <f t="shared" si="46"/>
        <v>Downstream</v>
      </c>
      <c r="O39" s="17" t="str">
        <f t="shared" si="47"/>
        <v>On - Downstream</v>
      </c>
      <c r="P39" s="29">
        <f>VLOOKUP(C39,'Station Number'!$D$1:$E$40,2,FALSE)</f>
        <v>403.20001220703125</v>
      </c>
      <c r="Q39" s="29">
        <f>VLOOKUP(D39,'Station Number'!$D$1:$E$40,2,FALSE)</f>
        <v>455.60000610351563</v>
      </c>
      <c r="R39" s="2">
        <f t="shared" si="48"/>
        <v>-5239.9993896484375</v>
      </c>
      <c r="S39" s="2">
        <f t="shared" si="49"/>
        <v>403.20001220703125</v>
      </c>
      <c r="T39" s="32"/>
      <c r="U39" s="6">
        <v>1.3333333333333333</v>
      </c>
      <c r="V39" s="6">
        <v>0.66666666666666663</v>
      </c>
    </row>
    <row r="40" spans="1:26" s="7" customFormat="1" ht="15.75" x14ac:dyDescent="0.25">
      <c r="A40" s="15" t="s">
        <v>23</v>
      </c>
      <c r="B40" s="13">
        <v>35</v>
      </c>
      <c r="C40" s="12" t="s">
        <v>35</v>
      </c>
      <c r="D40" s="11" t="s">
        <v>34</v>
      </c>
      <c r="E40" s="17" t="str">
        <f t="shared" si="41"/>
        <v>35 Schawab Rd On Ramp Ref to Engel Rd Off Ramp</v>
      </c>
      <c r="F40" s="6">
        <f>VLOOKUP(C40,'LALD Length'!$B$1:$F$10,5,FALSE)</f>
        <v>3</v>
      </c>
      <c r="G40" s="2">
        <v>1</v>
      </c>
      <c r="H40" s="18">
        <f t="shared" si="42"/>
        <v>1.1666666666666667</v>
      </c>
      <c r="I40" s="29">
        <f t="shared" si="43"/>
        <v>71.734854880452929</v>
      </c>
      <c r="J40" s="6">
        <v>40</v>
      </c>
      <c r="K40" s="6">
        <f>VLOOKUP(C40,'LALD Length'!$B$1:$E$10,4,FALSE)</f>
        <v>1300</v>
      </c>
      <c r="L40" s="9">
        <f t="shared" si="44"/>
        <v>5239.9993896484375</v>
      </c>
      <c r="M40" s="6" t="str">
        <f t="shared" si="45"/>
        <v>Off</v>
      </c>
      <c r="N40" s="6" t="str">
        <f t="shared" si="46"/>
        <v>Upstream</v>
      </c>
      <c r="O40" s="17" t="str">
        <f t="shared" si="47"/>
        <v>Off - Upstream</v>
      </c>
      <c r="P40" s="29">
        <f>VLOOKUP(C40,'Station Number'!$D$1:$E$40,2,FALSE)</f>
        <v>455.60000610351563</v>
      </c>
      <c r="Q40" s="29">
        <f>VLOOKUP(D40,'Station Number'!$D$1:$E$40,2,FALSE)</f>
        <v>403.20001220703125</v>
      </c>
      <c r="R40" s="2">
        <f t="shared" si="48"/>
        <v>5239.9993896484375</v>
      </c>
      <c r="S40" s="2">
        <f t="shared" si="49"/>
        <v>455.60000610351563</v>
      </c>
      <c r="T40" s="32"/>
      <c r="U40" s="6">
        <v>1.1666666666666667</v>
      </c>
      <c r="V40" s="6">
        <v>0.5</v>
      </c>
      <c r="W40" s="3"/>
      <c r="X40" s="3"/>
      <c r="Y40" s="3"/>
      <c r="Z40" s="3"/>
    </row>
    <row r="41" spans="1:26" s="3" customFormat="1" ht="15.75" x14ac:dyDescent="0.25">
      <c r="A41" s="15" t="s">
        <v>23</v>
      </c>
      <c r="B41" s="13">
        <v>36</v>
      </c>
      <c r="C41" s="12" t="s">
        <v>35</v>
      </c>
      <c r="D41" s="11" t="s">
        <v>36</v>
      </c>
      <c r="E41" s="17" t="str">
        <f t="shared" si="41"/>
        <v>36 Schawab Rd On Ramp Ref to Solms Rd Off Ramp</v>
      </c>
      <c r="F41" s="6">
        <f>VLOOKUP(C41,'LALD Length'!$B$1:$F$10,5,FALSE)</f>
        <v>3</v>
      </c>
      <c r="G41" s="2">
        <v>1</v>
      </c>
      <c r="H41" s="18">
        <f t="shared" si="42"/>
        <v>1.1666666666666667</v>
      </c>
      <c r="I41" s="29">
        <f t="shared" si="43"/>
        <v>71.734854880452929</v>
      </c>
      <c r="J41" s="6">
        <v>40</v>
      </c>
      <c r="K41" s="6">
        <f>VLOOKUP(C41,'LALD Length'!$B$1:$E$10,4,FALSE)</f>
        <v>1300</v>
      </c>
      <c r="L41" s="9">
        <f t="shared" si="44"/>
        <v>3060.0006103515625</v>
      </c>
      <c r="M41" s="6" t="str">
        <f t="shared" si="45"/>
        <v>Off</v>
      </c>
      <c r="N41" s="6" t="str">
        <f t="shared" si="46"/>
        <v>Downstream</v>
      </c>
      <c r="O41" s="17" t="str">
        <f t="shared" si="47"/>
        <v>Off - Downstream</v>
      </c>
      <c r="P41" s="29">
        <f>VLOOKUP(C41,'Station Number'!$D$1:$E$40,2,FALSE)</f>
        <v>455.60000610351563</v>
      </c>
      <c r="Q41" s="29">
        <f>VLOOKUP(D41,'Station Number'!$D$1:$E$40,2,FALSE)</f>
        <v>486.20001220703125</v>
      </c>
      <c r="R41" s="2">
        <f t="shared" si="48"/>
        <v>-3060.0006103515625</v>
      </c>
      <c r="S41" s="2">
        <f t="shared" si="49"/>
        <v>455.60000610351563</v>
      </c>
      <c r="T41" s="32"/>
      <c r="U41" s="6">
        <v>1.1666666666666667</v>
      </c>
      <c r="V41" s="6">
        <v>0.5</v>
      </c>
    </row>
    <row r="42" spans="1:26" s="7" customFormat="1" ht="15.75" x14ac:dyDescent="0.25">
      <c r="A42" s="15" t="s">
        <v>23</v>
      </c>
      <c r="B42" s="13">
        <v>37</v>
      </c>
      <c r="C42" s="11" t="s">
        <v>36</v>
      </c>
      <c r="D42" s="12" t="s">
        <v>35</v>
      </c>
      <c r="E42" s="17" t="str">
        <f t="shared" si="41"/>
        <v>37 Solms Rd Off Ramp Ref to Schawab Rd On Ramp</v>
      </c>
      <c r="F42" s="6">
        <f>VLOOKUP(C42,'LALD Length'!$B$1:$F$10,5,FALSE)</f>
        <v>3</v>
      </c>
      <c r="G42" s="2">
        <v>1</v>
      </c>
      <c r="H42" s="18">
        <f t="shared" si="42"/>
        <v>1.3333333333333333</v>
      </c>
      <c r="I42" s="29">
        <f t="shared" si="43"/>
        <v>71.299805955915545</v>
      </c>
      <c r="J42" s="6">
        <v>40</v>
      </c>
      <c r="K42" s="6">
        <f>VLOOKUP(C42,'LALD Length'!$B$1:$E$10,4,FALSE)</f>
        <v>400</v>
      </c>
      <c r="L42" s="9">
        <f t="shared" si="44"/>
        <v>3060.0006103515625</v>
      </c>
      <c r="M42" s="6" t="str">
        <f t="shared" si="45"/>
        <v>On</v>
      </c>
      <c r="N42" s="6" t="str">
        <f t="shared" si="46"/>
        <v>Upstream</v>
      </c>
      <c r="O42" s="17" t="str">
        <f t="shared" si="47"/>
        <v>On - Upstream</v>
      </c>
      <c r="P42" s="29">
        <f>VLOOKUP(C42,'Station Number'!$D$1:$E$40,2,FALSE)</f>
        <v>486.20001220703125</v>
      </c>
      <c r="Q42" s="29">
        <f>VLOOKUP(D42,'Station Number'!$D$1:$E$40,2,FALSE)</f>
        <v>455.60000610351563</v>
      </c>
      <c r="R42" s="2">
        <f t="shared" si="48"/>
        <v>3060.0006103515625</v>
      </c>
      <c r="S42" s="2">
        <f t="shared" si="49"/>
        <v>486.20001220703125</v>
      </c>
      <c r="T42" s="32"/>
      <c r="U42" s="6">
        <v>1.3333333333333333</v>
      </c>
      <c r="V42" s="6">
        <v>0.66666666666666663</v>
      </c>
      <c r="W42" s="3"/>
      <c r="X42" s="3"/>
      <c r="Y42" s="3"/>
      <c r="Z42" s="3"/>
    </row>
    <row r="43" spans="1:26" s="3" customFormat="1" ht="15.75" x14ac:dyDescent="0.25">
      <c r="A43" s="15" t="s">
        <v>23</v>
      </c>
      <c r="B43" s="13">
        <v>38</v>
      </c>
      <c r="C43" s="11" t="s">
        <v>36</v>
      </c>
      <c r="D43" s="12" t="s">
        <v>37</v>
      </c>
      <c r="E43" s="17" t="str">
        <f t="shared" si="41"/>
        <v>38 Solms Rd Off Ramp Ref to Engel Rd On Ramp</v>
      </c>
      <c r="F43" s="6">
        <f>VLOOKUP(C43,'LALD Length'!$B$1:$F$10,5,FALSE)</f>
        <v>3</v>
      </c>
      <c r="G43" s="2">
        <v>1</v>
      </c>
      <c r="H43" s="18">
        <f t="shared" si="42"/>
        <v>1.3333333333333333</v>
      </c>
      <c r="I43" s="29">
        <f t="shared" si="43"/>
        <v>71.299805955915545</v>
      </c>
      <c r="J43" s="6">
        <v>40</v>
      </c>
      <c r="K43" s="6">
        <f>VLOOKUP(C43,'LALD Length'!$B$1:$E$10,4,FALSE)</f>
        <v>400</v>
      </c>
      <c r="L43" s="9">
        <f t="shared" si="44"/>
        <v>4359.99755859375</v>
      </c>
      <c r="M43" s="6" t="str">
        <f t="shared" si="45"/>
        <v>On</v>
      </c>
      <c r="N43" s="6" t="str">
        <f t="shared" si="46"/>
        <v>Downstream</v>
      </c>
      <c r="O43" s="17" t="str">
        <f t="shared" si="47"/>
        <v>On - Downstream</v>
      </c>
      <c r="P43" s="29">
        <f>VLOOKUP(C43,'Station Number'!$D$1:$E$40,2,FALSE)</f>
        <v>486.20001220703125</v>
      </c>
      <c r="Q43" s="29">
        <f>VLOOKUP(D43,'Station Number'!$D$1:$E$40,2,FALSE)</f>
        <v>529.79998779296875</v>
      </c>
      <c r="R43" s="2">
        <f t="shared" si="48"/>
        <v>-4359.99755859375</v>
      </c>
      <c r="S43" s="2">
        <f t="shared" si="49"/>
        <v>486.20001220703125</v>
      </c>
      <c r="T43" s="32"/>
      <c r="U43" s="6">
        <v>1.3333333333333333</v>
      </c>
      <c r="V43" s="6">
        <v>0.66666666666666663</v>
      </c>
    </row>
    <row r="44" spans="1:26" s="7" customFormat="1" ht="15.75" x14ac:dyDescent="0.25">
      <c r="A44" s="15" t="s">
        <v>23</v>
      </c>
      <c r="B44" s="13">
        <v>39</v>
      </c>
      <c r="C44" s="12" t="s">
        <v>37</v>
      </c>
      <c r="D44" s="11" t="s">
        <v>36</v>
      </c>
      <c r="E44" s="17" t="str">
        <f t="shared" si="41"/>
        <v>39 Engel Rd On Ramp Ref to Solms Rd Off Ramp</v>
      </c>
      <c r="F44" s="6">
        <f>VLOOKUP(C44,'LALD Length'!$B$1:$F$10,5,FALSE)</f>
        <v>3</v>
      </c>
      <c r="G44" s="2">
        <v>1</v>
      </c>
      <c r="H44" s="18">
        <f t="shared" si="42"/>
        <v>1.5</v>
      </c>
      <c r="I44" s="29">
        <f>75.4-3.22*H44^0.84</f>
        <v>70.873395724381268</v>
      </c>
      <c r="J44" s="6">
        <v>40</v>
      </c>
      <c r="K44" s="6">
        <f>VLOOKUP(C44,'LALD Length'!$B$1:$E$10,4,FALSE)</f>
        <v>1500</v>
      </c>
      <c r="L44" s="9">
        <f t="shared" si="44"/>
        <v>4359.99755859375</v>
      </c>
      <c r="M44" s="6" t="str">
        <f t="shared" si="45"/>
        <v>Off</v>
      </c>
      <c r="N44" s="6" t="str">
        <f t="shared" si="46"/>
        <v>Upstream</v>
      </c>
      <c r="O44" s="17" t="str">
        <f t="shared" si="47"/>
        <v>Off - Upstream</v>
      </c>
      <c r="P44" s="29">
        <f>VLOOKUP(C44,'Station Number'!$D$1:$E$40,2,FALSE)</f>
        <v>529.79998779296875</v>
      </c>
      <c r="Q44" s="29">
        <f>VLOOKUP(D44,'Station Number'!$D$1:$E$40,2,FALSE)</f>
        <v>486.20001220703125</v>
      </c>
      <c r="R44" s="2">
        <f t="shared" si="48"/>
        <v>4359.99755859375</v>
      </c>
      <c r="S44" s="2">
        <f t="shared" si="49"/>
        <v>529.79998779296875</v>
      </c>
      <c r="T44" s="32"/>
      <c r="U44" s="6">
        <v>1.5</v>
      </c>
      <c r="V44" s="6">
        <v>0.83333333333333337</v>
      </c>
      <c r="W44" s="3"/>
      <c r="X44" s="3"/>
      <c r="Y44" s="3"/>
      <c r="Z44" s="3"/>
    </row>
    <row r="45" spans="1:26" s="3" customFormat="1" ht="15.75" x14ac:dyDescent="0.25">
      <c r="A45" s="15" t="s">
        <v>23</v>
      </c>
      <c r="B45" s="13">
        <v>40</v>
      </c>
      <c r="C45" s="12" t="s">
        <v>37</v>
      </c>
      <c r="D45" s="11" t="s">
        <v>38</v>
      </c>
      <c r="E45" s="17" t="str">
        <f t="shared" si="41"/>
        <v>40 Engel Rd On Ramp Ref to Rueckle Rd Off Ramp</v>
      </c>
      <c r="F45" s="6">
        <f>VLOOKUP(C45,'LALD Length'!$B$1:$F$10,5,FALSE)</f>
        <v>3</v>
      </c>
      <c r="G45" s="2">
        <v>1</v>
      </c>
      <c r="H45" s="18">
        <f t="shared" si="42"/>
        <v>1.5</v>
      </c>
      <c r="I45" s="29">
        <f t="shared" si="43"/>
        <v>70.873395724381268</v>
      </c>
      <c r="J45" s="6">
        <v>40</v>
      </c>
      <c r="K45" s="6">
        <f>VLOOKUP(C45,'LALD Length'!$B$1:$E$10,4,FALSE)</f>
        <v>1500</v>
      </c>
      <c r="L45" s="9">
        <f t="shared" si="44"/>
        <v>3410.003662109375</v>
      </c>
      <c r="M45" s="6" t="str">
        <f t="shared" si="45"/>
        <v>Off</v>
      </c>
      <c r="N45" s="6" t="str">
        <f t="shared" si="46"/>
        <v>Downstream</v>
      </c>
      <c r="O45" s="17" t="str">
        <f t="shared" si="47"/>
        <v>Off - Downstream</v>
      </c>
      <c r="P45" s="29">
        <f>VLOOKUP(C45,'Station Number'!$D$1:$E$40,2,FALSE)</f>
        <v>529.79998779296875</v>
      </c>
      <c r="Q45" s="29">
        <f>VLOOKUP(D45,'Station Number'!$D$1:$E$40,2,FALSE)</f>
        <v>563.9000244140625</v>
      </c>
      <c r="R45" s="2">
        <f t="shared" si="48"/>
        <v>-3410.003662109375</v>
      </c>
      <c r="S45" s="2">
        <f t="shared" si="49"/>
        <v>529.79998779296875</v>
      </c>
      <c r="T45" s="32"/>
      <c r="U45" s="6">
        <v>1.5</v>
      </c>
      <c r="V45" s="6">
        <v>0.83333333333333337</v>
      </c>
    </row>
    <row r="46" spans="1:26" s="7" customFormat="1" ht="15.75" x14ac:dyDescent="0.25">
      <c r="A46" s="15" t="s">
        <v>23</v>
      </c>
      <c r="B46" s="13">
        <v>41</v>
      </c>
      <c r="C46" s="11" t="s">
        <v>38</v>
      </c>
      <c r="D46" s="12" t="s">
        <v>37</v>
      </c>
      <c r="E46" s="17" t="str">
        <f t="shared" si="41"/>
        <v>41 Rueckle Rd Off Ramp Ref to Engel Rd On Ramp</v>
      </c>
      <c r="F46" s="6">
        <f>VLOOKUP(C46,'LALD Length'!$B$1:$F$10,5,FALSE)</f>
        <v>3</v>
      </c>
      <c r="G46" s="2">
        <v>1</v>
      </c>
      <c r="H46" s="18">
        <f t="shared" si="42"/>
        <v>1.5</v>
      </c>
      <c r="I46" s="29">
        <f>75.4-3.22*H46^0.84</f>
        <v>70.873395724381268</v>
      </c>
      <c r="J46" s="6">
        <v>40</v>
      </c>
      <c r="K46" s="6">
        <f>VLOOKUP(C46,'LALD Length'!$B$1:$E$10,4,FALSE)</f>
        <v>350</v>
      </c>
      <c r="L46" s="9">
        <f t="shared" si="44"/>
        <v>3410.003662109375</v>
      </c>
      <c r="M46" s="6" t="str">
        <f t="shared" si="45"/>
        <v>On</v>
      </c>
      <c r="N46" s="6" t="str">
        <f t="shared" si="46"/>
        <v>Upstream</v>
      </c>
      <c r="O46" s="17" t="str">
        <f t="shared" si="47"/>
        <v>On - Upstream</v>
      </c>
      <c r="P46" s="29">
        <f>VLOOKUP(C46,'Station Number'!$D$1:$E$40,2,FALSE)</f>
        <v>563.9000244140625</v>
      </c>
      <c r="Q46" s="29">
        <f>VLOOKUP(D46,'Station Number'!$D$1:$E$40,2,FALSE)</f>
        <v>529.79998779296875</v>
      </c>
      <c r="R46" s="2">
        <f t="shared" si="48"/>
        <v>3410.003662109375</v>
      </c>
      <c r="S46" s="2">
        <f t="shared" si="49"/>
        <v>563.9000244140625</v>
      </c>
      <c r="T46" s="32"/>
      <c r="U46" s="6">
        <v>1.5</v>
      </c>
      <c r="V46" s="6">
        <v>0.83333333333333337</v>
      </c>
      <c r="W46" s="3"/>
      <c r="X46" s="3"/>
      <c r="Y46" s="3"/>
      <c r="Z46" s="3"/>
    </row>
    <row r="47" spans="1:26" s="3" customFormat="1" ht="15.75" x14ac:dyDescent="0.25">
      <c r="A47" s="15" t="s">
        <v>23</v>
      </c>
      <c r="B47" s="13">
        <v>42</v>
      </c>
      <c r="C47" s="11" t="s">
        <v>38</v>
      </c>
      <c r="D47" s="12" t="s">
        <v>39</v>
      </c>
      <c r="E47" s="17" t="str">
        <f t="shared" si="41"/>
        <v>42 Rueckle Rd Off Ramp Ref to Solms Rd On Ramp</v>
      </c>
      <c r="F47" s="6">
        <f>VLOOKUP(C47,'LALD Length'!$B$1:$F$10,5,FALSE)</f>
        <v>3</v>
      </c>
      <c r="G47" s="2">
        <v>1</v>
      </c>
      <c r="H47" s="18">
        <f t="shared" si="42"/>
        <v>1.5</v>
      </c>
      <c r="I47" s="29">
        <f t="shared" si="43"/>
        <v>70.873395724381268</v>
      </c>
      <c r="J47" s="6">
        <v>40</v>
      </c>
      <c r="K47" s="6">
        <f>VLOOKUP(C47,'LALD Length'!$B$1:$E$10,4,FALSE)</f>
        <v>350</v>
      </c>
      <c r="L47" s="9">
        <f t="shared" si="44"/>
        <v>3439.996337890625</v>
      </c>
      <c r="M47" s="6" t="str">
        <f t="shared" si="45"/>
        <v>On</v>
      </c>
      <c r="N47" s="6" t="str">
        <f t="shared" si="46"/>
        <v>Downstream</v>
      </c>
      <c r="O47" s="17" t="str">
        <f t="shared" si="47"/>
        <v>On - Downstream</v>
      </c>
      <c r="P47" s="29">
        <f>VLOOKUP(C47,'Station Number'!$D$1:$E$40,2,FALSE)</f>
        <v>563.9000244140625</v>
      </c>
      <c r="Q47" s="29">
        <f>VLOOKUP(D47,'Station Number'!$D$1:$E$40,2,FALSE)</f>
        <v>598.29998779296875</v>
      </c>
      <c r="R47" s="2">
        <f t="shared" si="48"/>
        <v>-3439.996337890625</v>
      </c>
      <c r="S47" s="2">
        <f t="shared" si="49"/>
        <v>563.9000244140625</v>
      </c>
      <c r="T47" s="32"/>
      <c r="U47" s="6">
        <v>1.5</v>
      </c>
      <c r="V47" s="6">
        <v>0.83333333333333337</v>
      </c>
    </row>
    <row r="48" spans="1:26" s="7" customFormat="1" ht="15.75" x14ac:dyDescent="0.25">
      <c r="A48" s="15" t="s">
        <v>23</v>
      </c>
      <c r="B48" s="13">
        <v>43</v>
      </c>
      <c r="C48" s="12" t="s">
        <v>39</v>
      </c>
      <c r="D48" s="11" t="s">
        <v>38</v>
      </c>
      <c r="E48" s="17" t="str">
        <f t="shared" si="41"/>
        <v>43 Solms Rd On Ramp Ref to Rueckle Rd Off Ramp</v>
      </c>
      <c r="F48" s="6">
        <f>VLOOKUP(C48,'LALD Length'!$B$1:$F$10,5,FALSE)</f>
        <v>3</v>
      </c>
      <c r="G48" s="2">
        <v>1</v>
      </c>
      <c r="H48" s="18">
        <f t="shared" si="42"/>
        <v>1.6666666666666667</v>
      </c>
      <c r="I48" s="29">
        <f t="shared" si="43"/>
        <v>70.45451576958196</v>
      </c>
      <c r="J48" s="6">
        <v>40</v>
      </c>
      <c r="K48" s="6">
        <f>VLOOKUP(C48,'LALD Length'!$B$1:$E$10,4,FALSE)</f>
        <v>1500</v>
      </c>
      <c r="L48" s="9">
        <f t="shared" si="44"/>
        <v>3439.996337890625</v>
      </c>
      <c r="M48" s="6" t="str">
        <f t="shared" si="45"/>
        <v>Off</v>
      </c>
      <c r="N48" s="6" t="str">
        <f t="shared" si="46"/>
        <v>Upstream</v>
      </c>
      <c r="O48" s="17" t="str">
        <f t="shared" si="47"/>
        <v>Off - Upstream</v>
      </c>
      <c r="P48" s="29">
        <f>VLOOKUP(C48,'Station Number'!$D$1:$E$40,2,FALSE)</f>
        <v>598.29998779296875</v>
      </c>
      <c r="Q48" s="29">
        <f>VLOOKUP(D48,'Station Number'!$D$1:$E$40,2,FALSE)</f>
        <v>563.9000244140625</v>
      </c>
      <c r="R48" s="2">
        <f t="shared" si="48"/>
        <v>3439.996337890625</v>
      </c>
      <c r="S48" s="2">
        <f t="shared" si="49"/>
        <v>598.29998779296875</v>
      </c>
      <c r="T48" s="32"/>
      <c r="U48" s="6">
        <v>1.6666666666666667</v>
      </c>
      <c r="V48" s="6">
        <v>0.83333333333333337</v>
      </c>
      <c r="W48" s="3"/>
      <c r="X48" s="3"/>
      <c r="Y48" s="3"/>
      <c r="Z48" s="3"/>
    </row>
    <row r="49" spans="1:26" s="3" customFormat="1" ht="15.75" x14ac:dyDescent="0.25">
      <c r="A49" s="15" t="s">
        <v>23</v>
      </c>
      <c r="B49" s="13">
        <v>44</v>
      </c>
      <c r="C49" s="12" t="s">
        <v>39</v>
      </c>
      <c r="D49" s="11" t="s">
        <v>40</v>
      </c>
      <c r="E49" s="17" t="str">
        <f t="shared" si="41"/>
        <v>44 Solms Rd On Ramp Ref to Schmidt Ave Off Ramp</v>
      </c>
      <c r="F49" s="6">
        <f>VLOOKUP(C49,'LALD Length'!$B$1:$F$10,5,FALSE)</f>
        <v>3</v>
      </c>
      <c r="G49" s="2">
        <v>1</v>
      </c>
      <c r="H49" s="18">
        <f t="shared" si="42"/>
        <v>1.6666666666666667</v>
      </c>
      <c r="I49" s="29">
        <f t="shared" si="43"/>
        <v>70.45451576958196</v>
      </c>
      <c r="J49" s="6">
        <v>40</v>
      </c>
      <c r="K49" s="6">
        <f>VLOOKUP(C49,'LALD Length'!$B$1:$E$10,4,FALSE)</f>
        <v>1500</v>
      </c>
      <c r="L49" s="9">
        <f t="shared" si="44"/>
        <v>1990.00244140625</v>
      </c>
      <c r="M49" s="6" t="str">
        <f t="shared" si="45"/>
        <v>Off</v>
      </c>
      <c r="N49" s="6" t="str">
        <f t="shared" si="46"/>
        <v>Downstream</v>
      </c>
      <c r="O49" s="17" t="str">
        <f t="shared" si="47"/>
        <v>Off - Downstream</v>
      </c>
      <c r="P49" s="29">
        <f>VLOOKUP(C49,'Station Number'!$D$1:$E$40,2,FALSE)</f>
        <v>598.29998779296875</v>
      </c>
      <c r="Q49" s="29">
        <f>VLOOKUP(D49,'Station Number'!$D$1:$E$40,2,FALSE)</f>
        <v>618.20001220703125</v>
      </c>
      <c r="R49" s="2">
        <f t="shared" si="48"/>
        <v>-1990.00244140625</v>
      </c>
      <c r="S49" s="2">
        <f t="shared" si="49"/>
        <v>598.29998779296875</v>
      </c>
      <c r="T49" s="32"/>
      <c r="U49" s="6">
        <v>1.6666666666666667</v>
      </c>
      <c r="V49" s="6">
        <v>0.83333333333333337</v>
      </c>
    </row>
    <row r="50" spans="1:26" s="7" customFormat="1" ht="15.75" x14ac:dyDescent="0.25">
      <c r="A50" s="15" t="s">
        <v>23</v>
      </c>
      <c r="B50" s="13">
        <v>45</v>
      </c>
      <c r="C50" s="11" t="s">
        <v>40</v>
      </c>
      <c r="D50" s="12" t="s">
        <v>39</v>
      </c>
      <c r="E50" s="17" t="str">
        <f t="shared" si="41"/>
        <v>45 Schmidt Ave Off Ramp Ref to Solms Rd On Ramp</v>
      </c>
      <c r="F50" s="6">
        <f>VLOOKUP(C50,'LALD Length'!$B$1:$F$10,5,FALSE)</f>
        <v>4</v>
      </c>
      <c r="G50" s="2">
        <v>1</v>
      </c>
      <c r="H50" s="18">
        <f t="shared" si="42"/>
        <v>1.8333333333333333</v>
      </c>
      <c r="I50" s="29">
        <f t="shared" si="43"/>
        <v>70.042296485122876</v>
      </c>
      <c r="J50" s="6">
        <v>40</v>
      </c>
      <c r="K50" s="6">
        <f>VLOOKUP(C50,'LALD Length'!$B$1:$E$10,4,FALSE)</f>
        <v>300</v>
      </c>
      <c r="L50" s="9">
        <f t="shared" si="44"/>
        <v>1990.00244140625</v>
      </c>
      <c r="M50" s="6" t="str">
        <f t="shared" si="45"/>
        <v>On</v>
      </c>
      <c r="N50" s="6" t="str">
        <f t="shared" si="46"/>
        <v>Upstream</v>
      </c>
      <c r="O50" s="17" t="str">
        <f t="shared" si="47"/>
        <v>On - Upstream</v>
      </c>
      <c r="P50" s="29">
        <f>VLOOKUP(C50,'Station Number'!$D$1:$E$40,2,FALSE)</f>
        <v>618.20001220703125</v>
      </c>
      <c r="Q50" s="29">
        <f>VLOOKUP(D50,'Station Number'!$D$1:$E$40,2,FALSE)</f>
        <v>598.29998779296875</v>
      </c>
      <c r="R50" s="2">
        <f t="shared" si="48"/>
        <v>1990.00244140625</v>
      </c>
      <c r="S50" s="2">
        <f t="shared" si="49"/>
        <v>618.20001220703125</v>
      </c>
      <c r="T50" s="32"/>
      <c r="U50" s="6">
        <v>1.8333333333333333</v>
      </c>
      <c r="V50" s="6">
        <v>1</v>
      </c>
      <c r="W50" s="3"/>
      <c r="X50" s="3"/>
      <c r="Y50" s="3"/>
      <c r="Z50" s="3"/>
    </row>
    <row r="51" spans="1:26" s="3" customFormat="1" ht="15.75" x14ac:dyDescent="0.25">
      <c r="A51" s="15" t="s">
        <v>23</v>
      </c>
      <c r="B51" s="13">
        <v>46</v>
      </c>
      <c r="C51" s="11" t="s">
        <v>40</v>
      </c>
      <c r="D51" s="12" t="s">
        <v>41</v>
      </c>
      <c r="E51" s="17" t="str">
        <f t="shared" si="41"/>
        <v>46 Schmidt Ave Off Ramp Ref to Rueckle Rd On Ramp</v>
      </c>
      <c r="F51" s="6">
        <f>VLOOKUP(C51,'LALD Length'!$B$1:$F$10,5,FALSE)</f>
        <v>4</v>
      </c>
      <c r="G51" s="2">
        <v>1</v>
      </c>
      <c r="H51" s="18">
        <f t="shared" si="42"/>
        <v>1.8333333333333333</v>
      </c>
      <c r="I51" s="29">
        <f t="shared" si="43"/>
        <v>70.042296485122876</v>
      </c>
      <c r="J51" s="6">
        <v>40</v>
      </c>
      <c r="K51" s="6">
        <f>VLOOKUP(C51,'LALD Length'!$B$1:$E$10,4,FALSE)</f>
        <v>300</v>
      </c>
      <c r="L51" s="9">
        <f t="shared" si="44"/>
        <v>2929.998779296875</v>
      </c>
      <c r="M51" s="6" t="str">
        <f t="shared" si="45"/>
        <v>On</v>
      </c>
      <c r="N51" s="6" t="str">
        <f t="shared" si="46"/>
        <v>Downstream</v>
      </c>
      <c r="O51" s="17" t="str">
        <f t="shared" si="47"/>
        <v>On - Downstream</v>
      </c>
      <c r="P51" s="29">
        <f>VLOOKUP(C51,'Station Number'!$D$1:$E$40,2,FALSE)</f>
        <v>618.20001220703125</v>
      </c>
      <c r="Q51" s="29">
        <f>VLOOKUP(D51,'Station Number'!$D$1:$E$40,2,FALSE)</f>
        <v>647.5</v>
      </c>
      <c r="R51" s="2">
        <f t="shared" si="48"/>
        <v>-2929.998779296875</v>
      </c>
      <c r="S51" s="2">
        <f t="shared" si="49"/>
        <v>618.20001220703125</v>
      </c>
      <c r="T51" s="32"/>
      <c r="U51" s="6">
        <v>1.8333333333333333</v>
      </c>
      <c r="V51" s="6">
        <v>1</v>
      </c>
    </row>
    <row r="52" spans="1:26" s="3" customFormat="1" ht="15.75" x14ac:dyDescent="0.25">
      <c r="A52" s="15" t="s">
        <v>23</v>
      </c>
      <c r="B52" s="13">
        <v>47</v>
      </c>
      <c r="C52" s="12" t="s">
        <v>41</v>
      </c>
      <c r="D52" s="11" t="s">
        <v>40</v>
      </c>
      <c r="E52" s="17" t="str">
        <f t="shared" si="41"/>
        <v>47 Rueckle Rd On Ramp Ref to Schmidt Ave Off Ramp</v>
      </c>
      <c r="F52" s="6">
        <f>VLOOKUP(C52,'LALD Length'!$B$1:$F$10,5,FALSE)</f>
        <v>4</v>
      </c>
      <c r="G52" s="2">
        <v>1</v>
      </c>
      <c r="H52" s="18">
        <f t="shared" si="42"/>
        <v>1.8333333333333333</v>
      </c>
      <c r="I52" s="29">
        <f t="shared" si="43"/>
        <v>70.042296485122876</v>
      </c>
      <c r="J52" s="6">
        <v>40</v>
      </c>
      <c r="K52" s="6">
        <f>VLOOKUP(C52,'LALD Length'!$B$1:$E$10,4,FALSE)</f>
        <v>1200</v>
      </c>
      <c r="L52" s="9">
        <f t="shared" si="44"/>
        <v>2929.998779296875</v>
      </c>
      <c r="M52" s="6" t="str">
        <f t="shared" si="45"/>
        <v>Off</v>
      </c>
      <c r="N52" s="6" t="str">
        <f t="shared" ref="N52:N55" si="50">IF(R52&lt;0, "Downstream","Upstream")</f>
        <v>Upstream</v>
      </c>
      <c r="O52" s="17" t="str">
        <f t="shared" ref="O52:O66" si="51">CONCATENATE(M52," - ",N52)</f>
        <v>Off - Upstream</v>
      </c>
      <c r="P52" s="29">
        <f>VLOOKUP(C52,'Station Number'!$D$1:$E$40,2,FALSE)</f>
        <v>647.5</v>
      </c>
      <c r="Q52" s="29">
        <f>VLOOKUP(D52,'Station Number'!$D$1:$E$40,2,FALSE)</f>
        <v>618.20001220703125</v>
      </c>
      <c r="R52" s="2">
        <f t="shared" ref="R52:R84" si="52">(P52-Q52)*100</f>
        <v>2929.998779296875</v>
      </c>
      <c r="S52" s="2">
        <f t="shared" si="49"/>
        <v>647.5</v>
      </c>
      <c r="T52" s="32"/>
      <c r="U52" s="6">
        <v>1.8333333333333333</v>
      </c>
      <c r="V52" s="6">
        <v>0.83333333333333337</v>
      </c>
    </row>
    <row r="53" spans="1:26" s="3" customFormat="1" ht="15.75" x14ac:dyDescent="0.25">
      <c r="A53" s="15" t="s">
        <v>23</v>
      </c>
      <c r="B53" s="13">
        <v>48</v>
      </c>
      <c r="C53" s="12" t="s">
        <v>41</v>
      </c>
      <c r="D53" s="11" t="s">
        <v>42</v>
      </c>
      <c r="E53" s="17" t="str">
        <f t="shared" si="41"/>
        <v>48 Rueckle Rd On Ramp Ref to Walnut Ave Off Ramp</v>
      </c>
      <c r="F53" s="6">
        <f>VLOOKUP(C53,'LALD Length'!$B$1:$F$10,5,FALSE)</f>
        <v>4</v>
      </c>
      <c r="G53" s="2">
        <v>1</v>
      </c>
      <c r="H53" s="18">
        <f t="shared" si="42"/>
        <v>1.8333333333333333</v>
      </c>
      <c r="I53" s="29">
        <f t="shared" si="43"/>
        <v>70.042296485122876</v>
      </c>
      <c r="J53" s="6">
        <v>40</v>
      </c>
      <c r="K53" s="6">
        <f>VLOOKUP(C53,'LALD Length'!$B$1:$E$10,4,FALSE)</f>
        <v>1200</v>
      </c>
      <c r="L53" s="9">
        <f t="shared" si="44"/>
        <v>3370.001220703125</v>
      </c>
      <c r="M53" s="6" t="str">
        <f t="shared" si="45"/>
        <v>Off</v>
      </c>
      <c r="N53" s="6" t="str">
        <f t="shared" si="50"/>
        <v>Downstream</v>
      </c>
      <c r="O53" s="17" t="str">
        <f t="shared" si="51"/>
        <v>Off - Downstream</v>
      </c>
      <c r="P53" s="29">
        <f>VLOOKUP(C53,'Station Number'!$D$1:$E$40,2,FALSE)</f>
        <v>647.5</v>
      </c>
      <c r="Q53" s="29">
        <f>VLOOKUP(D53,'Station Number'!$D$1:$E$40,2,FALSE)</f>
        <v>681.20001220703125</v>
      </c>
      <c r="R53" s="2">
        <f t="shared" si="52"/>
        <v>-3370.001220703125</v>
      </c>
      <c r="S53" s="2">
        <f t="shared" si="49"/>
        <v>647.5</v>
      </c>
      <c r="T53" s="32"/>
      <c r="U53" s="6">
        <v>1.8333333333333333</v>
      </c>
      <c r="V53" s="6">
        <v>0.83333333333333337</v>
      </c>
    </row>
    <row r="54" spans="1:26" s="7" customFormat="1" ht="15.75" x14ac:dyDescent="0.25">
      <c r="A54" s="15" t="s">
        <v>23</v>
      </c>
      <c r="B54" s="13">
        <v>49</v>
      </c>
      <c r="C54" s="11" t="s">
        <v>42</v>
      </c>
      <c r="D54" s="12" t="s">
        <v>41</v>
      </c>
      <c r="E54" s="17" t="str">
        <f t="shared" si="41"/>
        <v>49 Walnut Ave Off Ramp Ref to Rueckle Rd On Ramp</v>
      </c>
      <c r="F54" s="6">
        <f>VLOOKUP(C54,'LALD Length'!$B$1:$F$10,5,FALSE)</f>
        <v>4</v>
      </c>
      <c r="G54" s="2">
        <v>1</v>
      </c>
      <c r="H54" s="18">
        <f t="shared" si="42"/>
        <v>2.1666666666666665</v>
      </c>
      <c r="I54" s="29">
        <f t="shared" si="43"/>
        <v>69.235168123076491</v>
      </c>
      <c r="J54" s="6">
        <v>40</v>
      </c>
      <c r="K54" s="6">
        <f>VLOOKUP(C54,'LALD Length'!$B$1:$E$10,4,FALSE)</f>
        <v>170.00000000000455</v>
      </c>
      <c r="L54" s="9">
        <f t="shared" si="44"/>
        <v>3370.001220703125</v>
      </c>
      <c r="M54" s="6" t="str">
        <f t="shared" si="45"/>
        <v>On</v>
      </c>
      <c r="N54" s="6" t="str">
        <f t="shared" si="50"/>
        <v>Upstream</v>
      </c>
      <c r="O54" s="17" t="str">
        <f t="shared" si="51"/>
        <v>On - Upstream</v>
      </c>
      <c r="P54" s="29">
        <f>VLOOKUP(C54,'Station Number'!$D$1:$E$40,2,FALSE)</f>
        <v>681.20001220703125</v>
      </c>
      <c r="Q54" s="29">
        <f>VLOOKUP(D54,'Station Number'!$D$1:$E$40,2,FALSE)</f>
        <v>647.5</v>
      </c>
      <c r="R54" s="2">
        <f t="shared" si="52"/>
        <v>3370.001220703125</v>
      </c>
      <c r="S54" s="2">
        <f t="shared" si="49"/>
        <v>681.20001220703125</v>
      </c>
      <c r="T54" s="32"/>
      <c r="U54" s="6">
        <v>2.1666666666666665</v>
      </c>
      <c r="V54" s="6">
        <v>1</v>
      </c>
      <c r="W54" s="3"/>
      <c r="X54" s="3"/>
      <c r="Y54" s="3"/>
      <c r="Z54" s="3"/>
    </row>
    <row r="55" spans="1:26" s="3" customFormat="1" ht="15.75" x14ac:dyDescent="0.25">
      <c r="A55" s="15" t="s">
        <v>23</v>
      </c>
      <c r="B55" s="13">
        <v>50</v>
      </c>
      <c r="C55" s="11" t="s">
        <v>42</v>
      </c>
      <c r="D55" s="12" t="s">
        <v>26</v>
      </c>
      <c r="E55" s="17" t="str">
        <f t="shared" si="41"/>
        <v>50 Walnut Ave Off Ramp Ref to Schmidt Ave On Ramp</v>
      </c>
      <c r="F55" s="6">
        <f>VLOOKUP(C55,'LALD Length'!$B$1:$F$10,5,FALSE)</f>
        <v>4</v>
      </c>
      <c r="G55" s="2">
        <v>1</v>
      </c>
      <c r="H55" s="18">
        <f t="shared" si="42"/>
        <v>2.1666666666666665</v>
      </c>
      <c r="I55" s="29">
        <f t="shared" si="43"/>
        <v>69.235168123076491</v>
      </c>
      <c r="J55" s="6">
        <v>40</v>
      </c>
      <c r="K55" s="6">
        <f>VLOOKUP(C55,'LALD Length'!$B$1:$E$10,4,FALSE)</f>
        <v>170.00000000000455</v>
      </c>
      <c r="L55" s="8">
        <f t="shared" si="44"/>
        <v>3650</v>
      </c>
      <c r="M55" s="6" t="str">
        <f t="shared" si="45"/>
        <v>On</v>
      </c>
      <c r="N55" s="6" t="str">
        <f t="shared" si="50"/>
        <v>Downstream</v>
      </c>
      <c r="O55" s="17" t="str">
        <f t="shared" si="51"/>
        <v>On - Downstream</v>
      </c>
      <c r="P55" s="29">
        <f>VLOOKUP(C55,'Station Number'!$D$1:$E$40,2,FALSE)</f>
        <v>681.20001220703125</v>
      </c>
      <c r="Q55" s="29">
        <f>VLOOKUP(D55,'Station Number'!$D$1:$E$40,2,FALSE)</f>
        <v>717.70001220703125</v>
      </c>
      <c r="R55" s="2">
        <f t="shared" si="52"/>
        <v>-3650</v>
      </c>
      <c r="S55" s="2">
        <f t="shared" si="49"/>
        <v>681.20001220703125</v>
      </c>
      <c r="T55" s="32"/>
      <c r="U55" s="6">
        <v>2.1666666666666665</v>
      </c>
      <c r="V55" s="6">
        <v>1</v>
      </c>
    </row>
    <row r="56" spans="1:26" s="7" customFormat="1" ht="15.75" x14ac:dyDescent="0.25">
      <c r="A56" s="11"/>
      <c r="B56" s="13"/>
      <c r="C56" s="12"/>
      <c r="D56" s="11"/>
      <c r="E56" s="17"/>
      <c r="F56" s="28"/>
      <c r="G56" s="2"/>
      <c r="H56" s="18"/>
      <c r="I56" s="29"/>
      <c r="J56" s="6"/>
      <c r="K56" s="6"/>
      <c r="L56" s="6"/>
      <c r="M56" s="6"/>
      <c r="N56" s="6"/>
      <c r="O56" s="17"/>
      <c r="P56" s="29"/>
      <c r="Q56" s="29"/>
      <c r="R56" s="2"/>
      <c r="S56" s="2"/>
      <c r="T56" s="32"/>
      <c r="U56" s="6"/>
      <c r="V56" s="6"/>
      <c r="W56" s="3"/>
      <c r="X56" s="3"/>
      <c r="Y56" s="3"/>
      <c r="Z56" s="3"/>
    </row>
    <row r="57" spans="1:26" s="3" customFormat="1" ht="15.75" x14ac:dyDescent="0.25">
      <c r="A57" s="15" t="s">
        <v>44</v>
      </c>
      <c r="B57" s="13">
        <v>51</v>
      </c>
      <c r="C57" s="12" t="s">
        <v>42</v>
      </c>
      <c r="D57" s="12" t="s">
        <v>27</v>
      </c>
      <c r="E57" s="17" t="str">
        <f t="shared" si="41"/>
        <v>51 Walnut Ave Off Ramp Ref to Seguin Ave Off Ramp</v>
      </c>
      <c r="F57" s="6">
        <f>VLOOKUP(C57,'LALD Length'!$B$12:$F$25,5,FALSE)</f>
        <v>4</v>
      </c>
      <c r="G57" s="2">
        <v>1</v>
      </c>
      <c r="H57" s="18">
        <f t="shared" si="42"/>
        <v>2.1666666666666665</v>
      </c>
      <c r="I57" s="29">
        <f t="shared" si="43"/>
        <v>69.235168123076491</v>
      </c>
      <c r="J57" s="6">
        <v>40</v>
      </c>
      <c r="K57" s="6">
        <f>VLOOKUP(C57,'LALD Length'!$B$12:$E$25,4,FALSE)</f>
        <v>350</v>
      </c>
      <c r="L57" s="9">
        <f t="shared" si="44"/>
        <v>2569.9951171875</v>
      </c>
      <c r="M57" s="6" t="str">
        <f t="shared" si="45"/>
        <v>Off</v>
      </c>
      <c r="N57" s="6" t="str">
        <f>IF(R57&gt;0, "Downstream","Upstream")</f>
        <v>Upstream</v>
      </c>
      <c r="O57" s="17" t="str">
        <f t="shared" si="51"/>
        <v>Off - Upstream</v>
      </c>
      <c r="P57" s="29">
        <f>VLOOKUP(C57,'Station Number'!$J$1:$K$40,2,FALSE)</f>
        <v>765.9000244140625</v>
      </c>
      <c r="Q57" s="29">
        <f>VLOOKUP(D57,'Station Number'!$J$1:$K$40,2,FALSE)</f>
        <v>791.5999755859375</v>
      </c>
      <c r="R57" s="2">
        <f t="shared" si="52"/>
        <v>-2569.9951171875</v>
      </c>
      <c r="S57" s="2">
        <f t="shared" si="49"/>
        <v>765.9000244140625</v>
      </c>
      <c r="T57" s="32"/>
      <c r="U57" s="6">
        <v>2.1666666666666665</v>
      </c>
      <c r="V57" s="6">
        <v>1</v>
      </c>
    </row>
    <row r="58" spans="1:26" s="7" customFormat="1" ht="15.75" x14ac:dyDescent="0.25">
      <c r="A58" s="15" t="s">
        <v>44</v>
      </c>
      <c r="B58" s="13">
        <v>52</v>
      </c>
      <c r="C58" s="12" t="s">
        <v>42</v>
      </c>
      <c r="D58" s="14" t="s">
        <v>45</v>
      </c>
      <c r="E58" s="17" t="str">
        <f t="shared" si="41"/>
        <v>52 Walnut Ave Off Ramp Ref to Seguin Ave On Ramp</v>
      </c>
      <c r="F58" s="6">
        <f>VLOOKUP(C58,'LALD Length'!$B$12:$F$25,5,FALSE)</f>
        <v>4</v>
      </c>
      <c r="G58" s="2">
        <v>1</v>
      </c>
      <c r="H58" s="18">
        <f t="shared" si="42"/>
        <v>2.1666666666666665</v>
      </c>
      <c r="I58" s="29">
        <f t="shared" si="43"/>
        <v>69.235168123076491</v>
      </c>
      <c r="J58" s="6">
        <v>40</v>
      </c>
      <c r="K58" s="6">
        <f>VLOOKUP(C58,'LALD Length'!$B$12:$E$25,4,FALSE)</f>
        <v>350</v>
      </c>
      <c r="L58" s="9">
        <f t="shared" si="44"/>
        <v>3190.00244140625</v>
      </c>
      <c r="M58" s="6" t="str">
        <f t="shared" si="45"/>
        <v>On</v>
      </c>
      <c r="N58" s="6" t="str">
        <f t="shared" ref="N58:N84" si="53">IF(R58&gt;0, "Downstream","Upstream")</f>
        <v>Downstream</v>
      </c>
      <c r="O58" s="17" t="str">
        <f t="shared" si="51"/>
        <v>On - Downstream</v>
      </c>
      <c r="P58" s="29">
        <f>VLOOKUP(C58,'Station Number'!$J$1:$K$40,2,FALSE)</f>
        <v>765.9000244140625</v>
      </c>
      <c r="Q58" s="29">
        <f>VLOOKUP(D58,'Station Number'!$J$1:$K$40,2,FALSE)</f>
        <v>734</v>
      </c>
      <c r="R58" s="2">
        <f t="shared" si="52"/>
        <v>3190.00244140625</v>
      </c>
      <c r="S58" s="2">
        <f t="shared" si="49"/>
        <v>765.9000244140625</v>
      </c>
      <c r="T58" s="32"/>
      <c r="U58" s="6">
        <v>2.1666666666666665</v>
      </c>
      <c r="V58" s="6">
        <v>1</v>
      </c>
      <c r="W58" s="3"/>
      <c r="X58" s="3"/>
      <c r="Y58" s="3"/>
      <c r="Z58" s="3"/>
    </row>
    <row r="59" spans="1:26" s="3" customFormat="1" ht="15.75" x14ac:dyDescent="0.25">
      <c r="A59" s="15" t="s">
        <v>44</v>
      </c>
      <c r="B59" s="13">
        <v>53</v>
      </c>
      <c r="C59" s="14" t="s">
        <v>45</v>
      </c>
      <c r="D59" s="12" t="s">
        <v>42</v>
      </c>
      <c r="E59" s="17" t="str">
        <f t="shared" si="41"/>
        <v>53 Seguin Ave On Ramp Ref to Walnut Ave Off Ramp</v>
      </c>
      <c r="F59" s="6">
        <f>VLOOKUP(C59,'LALD Length'!$B$12:$F$25,5,FALSE)</f>
        <v>4</v>
      </c>
      <c r="G59" s="2">
        <v>1</v>
      </c>
      <c r="H59" s="18">
        <f t="shared" si="42"/>
        <v>2.1666666666666665</v>
      </c>
      <c r="I59" s="29">
        <f t="shared" si="43"/>
        <v>69.235168123076491</v>
      </c>
      <c r="J59" s="6">
        <v>40</v>
      </c>
      <c r="K59" s="6">
        <f>VLOOKUP(C59,'LALD Length'!$B$12:$E$25,4,FALSE)</f>
        <v>1500</v>
      </c>
      <c r="L59" s="9">
        <f t="shared" si="44"/>
        <v>3190.00244140625</v>
      </c>
      <c r="M59" s="6" t="str">
        <f t="shared" si="45"/>
        <v>Off</v>
      </c>
      <c r="N59" s="6" t="str">
        <f t="shared" si="53"/>
        <v>Upstream</v>
      </c>
      <c r="O59" s="17" t="str">
        <f t="shared" si="51"/>
        <v>Off - Upstream</v>
      </c>
      <c r="P59" s="29">
        <f>VLOOKUP(C59,'Station Number'!$J$1:$K$40,2,FALSE)</f>
        <v>734</v>
      </c>
      <c r="Q59" s="29">
        <f>VLOOKUP(D59,'Station Number'!$J$1:$K$40,2,FALSE)</f>
        <v>765.9000244140625</v>
      </c>
      <c r="R59" s="2">
        <f t="shared" si="52"/>
        <v>-3190.00244140625</v>
      </c>
      <c r="S59" s="2">
        <f t="shared" si="49"/>
        <v>734</v>
      </c>
      <c r="T59" s="32"/>
      <c r="U59" s="6">
        <v>2.1666666666666665</v>
      </c>
      <c r="V59" s="6">
        <v>1</v>
      </c>
    </row>
    <row r="60" spans="1:26" s="7" customFormat="1" ht="15.75" x14ac:dyDescent="0.25">
      <c r="A60" s="15" t="s">
        <v>44</v>
      </c>
      <c r="B60" s="13">
        <v>54</v>
      </c>
      <c r="C60" s="14" t="s">
        <v>45</v>
      </c>
      <c r="D60" s="12" t="s">
        <v>40</v>
      </c>
      <c r="E60" s="17" t="str">
        <f t="shared" si="41"/>
        <v>54 Seguin Ave On Ramp Ref to Schmidt Ave Off Ramp</v>
      </c>
      <c r="F60" s="6">
        <f>VLOOKUP(C60,'LALD Length'!$B$12:$F$25,5,FALSE)</f>
        <v>4</v>
      </c>
      <c r="G60" s="2">
        <v>1</v>
      </c>
      <c r="H60" s="18">
        <f t="shared" si="42"/>
        <v>2.1666666666666665</v>
      </c>
      <c r="I60" s="29">
        <f t="shared" si="43"/>
        <v>69.235168123076491</v>
      </c>
      <c r="J60" s="6">
        <v>40</v>
      </c>
      <c r="K60" s="6">
        <f>VLOOKUP(C60,'LALD Length'!$B$12:$E$25,4,FALSE)</f>
        <v>1500</v>
      </c>
      <c r="L60" s="9">
        <f t="shared" si="44"/>
        <v>2640.00244140625</v>
      </c>
      <c r="M60" s="6" t="str">
        <f t="shared" si="45"/>
        <v>Off</v>
      </c>
      <c r="N60" s="6" t="str">
        <f t="shared" si="53"/>
        <v>Downstream</v>
      </c>
      <c r="O60" s="17" t="str">
        <f t="shared" si="51"/>
        <v>Off - Downstream</v>
      </c>
      <c r="P60" s="29">
        <f>VLOOKUP(C60,'Station Number'!$J$1:$K$40,2,FALSE)</f>
        <v>734</v>
      </c>
      <c r="Q60" s="29">
        <f>VLOOKUP(D60,'Station Number'!$J$1:$K$40,2,FALSE)</f>
        <v>707.5999755859375</v>
      </c>
      <c r="R60" s="2">
        <f t="shared" si="52"/>
        <v>2640.00244140625</v>
      </c>
      <c r="S60" s="2">
        <f t="shared" si="49"/>
        <v>734</v>
      </c>
      <c r="T60" s="32"/>
      <c r="U60" s="6">
        <v>2.1666666666666665</v>
      </c>
      <c r="V60" s="6">
        <v>1</v>
      </c>
      <c r="W60" s="3"/>
      <c r="X60" s="3"/>
      <c r="Y60" s="3"/>
      <c r="Z60" s="3"/>
    </row>
    <row r="61" spans="1:26" s="3" customFormat="1" ht="15.75" x14ac:dyDescent="0.25">
      <c r="A61" s="15" t="s">
        <v>44</v>
      </c>
      <c r="B61" s="13">
        <v>55</v>
      </c>
      <c r="C61" s="12" t="s">
        <v>40</v>
      </c>
      <c r="D61" s="14" t="s">
        <v>45</v>
      </c>
      <c r="E61" s="17" t="str">
        <f t="shared" si="41"/>
        <v>55 Schmidt Ave Off Ramp Ref to Seguin Ave On Ramp</v>
      </c>
      <c r="F61" s="6">
        <f>VLOOKUP(C61,'LALD Length'!$B$12:$F$25,5,FALSE)</f>
        <v>4</v>
      </c>
      <c r="G61" s="2">
        <v>1</v>
      </c>
      <c r="H61" s="18">
        <f t="shared" si="42"/>
        <v>2</v>
      </c>
      <c r="I61" s="29">
        <f t="shared" si="43"/>
        <v>69.636038543223862</v>
      </c>
      <c r="J61" s="6">
        <v>40</v>
      </c>
      <c r="K61" s="6">
        <f>VLOOKUP(C61,'LALD Length'!$B$12:$E$25,4,FALSE)</f>
        <v>200</v>
      </c>
      <c r="L61" s="9">
        <f t="shared" si="44"/>
        <v>2640.00244140625</v>
      </c>
      <c r="M61" s="6" t="str">
        <f t="shared" si="45"/>
        <v>On</v>
      </c>
      <c r="N61" s="6" t="str">
        <f t="shared" si="53"/>
        <v>Upstream</v>
      </c>
      <c r="O61" s="17" t="str">
        <f t="shared" si="51"/>
        <v>On - Upstream</v>
      </c>
      <c r="P61" s="29">
        <f>VLOOKUP(C61,'Station Number'!$J$1:$K$40,2,FALSE)</f>
        <v>707.5999755859375</v>
      </c>
      <c r="Q61" s="29">
        <f>VLOOKUP(D61,'Station Number'!$J$1:$K$40,2,FALSE)</f>
        <v>734</v>
      </c>
      <c r="R61" s="2">
        <f t="shared" si="52"/>
        <v>-2640.00244140625</v>
      </c>
      <c r="S61" s="2">
        <f t="shared" si="49"/>
        <v>707.5999755859375</v>
      </c>
      <c r="T61" s="32"/>
      <c r="U61" s="6">
        <v>2</v>
      </c>
      <c r="V61" s="6">
        <v>1</v>
      </c>
    </row>
    <row r="62" spans="1:26" s="7" customFormat="1" ht="15.75" x14ac:dyDescent="0.25">
      <c r="A62" s="15" t="s">
        <v>44</v>
      </c>
      <c r="B62" s="13">
        <v>56</v>
      </c>
      <c r="C62" s="12" t="s">
        <v>40</v>
      </c>
      <c r="D62" s="14" t="s">
        <v>28</v>
      </c>
      <c r="E62" s="17" t="str">
        <f t="shared" si="41"/>
        <v>56 Schmidt Ave Off Ramp Ref to Walnut Ave On Ramp</v>
      </c>
      <c r="F62" s="6">
        <f>VLOOKUP(C62,'LALD Length'!$B$12:$F$25,5,FALSE)</f>
        <v>4</v>
      </c>
      <c r="G62" s="2">
        <v>1</v>
      </c>
      <c r="H62" s="18">
        <f t="shared" si="42"/>
        <v>2</v>
      </c>
      <c r="I62" s="29">
        <f t="shared" si="43"/>
        <v>69.636038543223862</v>
      </c>
      <c r="J62" s="6">
        <v>40</v>
      </c>
      <c r="K62" s="6">
        <f>VLOOKUP(C62,'LALD Length'!$B$12:$E$25,4,FALSE)</f>
        <v>200</v>
      </c>
      <c r="L62" s="9">
        <f t="shared" si="44"/>
        <v>2550</v>
      </c>
      <c r="M62" s="6" t="str">
        <f t="shared" si="45"/>
        <v>On</v>
      </c>
      <c r="N62" s="6" t="str">
        <f t="shared" si="53"/>
        <v>Downstream</v>
      </c>
      <c r="O62" s="17" t="str">
        <f t="shared" si="51"/>
        <v>On - Downstream</v>
      </c>
      <c r="P62" s="29">
        <f>VLOOKUP(C62,'Station Number'!$J$1:$K$40,2,FALSE)</f>
        <v>707.5999755859375</v>
      </c>
      <c r="Q62" s="29">
        <f>VLOOKUP(D62,'Station Number'!$J$1:$K$40,2,FALSE)</f>
        <v>682.0999755859375</v>
      </c>
      <c r="R62" s="2">
        <f t="shared" si="52"/>
        <v>2550</v>
      </c>
      <c r="S62" s="2">
        <f t="shared" si="49"/>
        <v>707.5999755859375</v>
      </c>
      <c r="T62" s="32"/>
      <c r="U62" s="6">
        <v>2</v>
      </c>
      <c r="V62" s="6">
        <v>1</v>
      </c>
      <c r="W62" s="3"/>
      <c r="X62" s="3"/>
      <c r="Y62" s="3"/>
      <c r="Z62" s="3"/>
    </row>
    <row r="63" spans="1:26" s="3" customFormat="1" ht="15.75" x14ac:dyDescent="0.25">
      <c r="A63" s="15" t="s">
        <v>44</v>
      </c>
      <c r="B63" s="13">
        <v>57</v>
      </c>
      <c r="C63" s="14" t="s">
        <v>28</v>
      </c>
      <c r="D63" s="12" t="s">
        <v>40</v>
      </c>
      <c r="E63" s="17" t="str">
        <f t="shared" si="41"/>
        <v>57 Walnut Ave On Ramp Ref to Schmidt Ave Off Ramp</v>
      </c>
      <c r="F63" s="6">
        <f>VLOOKUP(C63,'LALD Length'!$B$12:$F$25,5,FALSE)</f>
        <v>4</v>
      </c>
      <c r="G63" s="2">
        <v>1</v>
      </c>
      <c r="H63" s="18">
        <f t="shared" si="42"/>
        <v>2</v>
      </c>
      <c r="I63" s="29">
        <f t="shared" si="43"/>
        <v>69.636038543223862</v>
      </c>
      <c r="J63" s="6">
        <v>40</v>
      </c>
      <c r="K63" s="6">
        <f>VLOOKUP(C63,'LALD Length'!$B$12:$E$25,4,FALSE)</f>
        <v>850</v>
      </c>
      <c r="L63" s="9">
        <f t="shared" si="44"/>
        <v>2550</v>
      </c>
      <c r="M63" s="6" t="str">
        <f t="shared" si="45"/>
        <v>Off</v>
      </c>
      <c r="N63" s="6" t="str">
        <f t="shared" si="53"/>
        <v>Upstream</v>
      </c>
      <c r="O63" s="17" t="str">
        <f t="shared" si="51"/>
        <v>Off - Upstream</v>
      </c>
      <c r="P63" s="29">
        <f>VLOOKUP(C63,'Station Number'!$J$1:$K$40,2,FALSE)</f>
        <v>682.0999755859375</v>
      </c>
      <c r="Q63" s="29">
        <f>VLOOKUP(D63,'Station Number'!$J$1:$K$40,2,FALSE)</f>
        <v>707.5999755859375</v>
      </c>
      <c r="R63" s="2">
        <f t="shared" si="52"/>
        <v>-2550</v>
      </c>
      <c r="S63" s="2">
        <f t="shared" si="49"/>
        <v>682.0999755859375</v>
      </c>
      <c r="T63" s="32"/>
      <c r="U63" s="6">
        <v>2</v>
      </c>
      <c r="V63" s="6">
        <v>1</v>
      </c>
    </row>
    <row r="64" spans="1:26" s="7" customFormat="1" ht="15.75" x14ac:dyDescent="0.25">
      <c r="A64" s="15" t="s">
        <v>44</v>
      </c>
      <c r="B64" s="13">
        <v>58</v>
      </c>
      <c r="C64" s="14" t="s">
        <v>28</v>
      </c>
      <c r="D64" s="12" t="s">
        <v>38</v>
      </c>
      <c r="E64" s="17" t="str">
        <f t="shared" si="41"/>
        <v>58 Walnut Ave On Ramp Ref to Rueckle Rd Off Ramp</v>
      </c>
      <c r="F64" s="6">
        <f>VLOOKUP(C64,'LALD Length'!$B$12:$F$25,5,FALSE)</f>
        <v>4</v>
      </c>
      <c r="G64" s="2">
        <v>1</v>
      </c>
      <c r="H64" s="18">
        <f t="shared" si="42"/>
        <v>2</v>
      </c>
      <c r="I64" s="29">
        <f t="shared" si="43"/>
        <v>69.636038543223862</v>
      </c>
      <c r="J64" s="6">
        <v>40</v>
      </c>
      <c r="K64" s="6">
        <f>VLOOKUP(C64,'LALD Length'!$B$12:$E$25,4,FALSE)</f>
        <v>850</v>
      </c>
      <c r="L64" s="9">
        <f t="shared" si="44"/>
        <v>2500</v>
      </c>
      <c r="M64" s="6" t="str">
        <f t="shared" si="45"/>
        <v>Off</v>
      </c>
      <c r="N64" s="6" t="str">
        <f t="shared" si="53"/>
        <v>Downstream</v>
      </c>
      <c r="O64" s="17" t="str">
        <f t="shared" si="51"/>
        <v>Off - Downstream</v>
      </c>
      <c r="P64" s="29">
        <f>VLOOKUP(C64,'Station Number'!$J$1:$K$40,2,FALSE)</f>
        <v>682.0999755859375</v>
      </c>
      <c r="Q64" s="29">
        <f>VLOOKUP(D64,'Station Number'!$J$1:$K$40,2,FALSE)</f>
        <v>657.0999755859375</v>
      </c>
      <c r="R64" s="2">
        <f t="shared" si="52"/>
        <v>2500</v>
      </c>
      <c r="S64" s="2">
        <f t="shared" si="49"/>
        <v>682.0999755859375</v>
      </c>
      <c r="T64" s="32"/>
      <c r="U64" s="6">
        <v>2</v>
      </c>
      <c r="V64" s="6">
        <v>1</v>
      </c>
      <c r="W64" s="3"/>
      <c r="X64" s="3"/>
      <c r="Y64" s="3"/>
      <c r="Z64" s="3"/>
    </row>
    <row r="65" spans="1:26" s="3" customFormat="1" ht="15.75" x14ac:dyDescent="0.25">
      <c r="A65" s="15" t="s">
        <v>44</v>
      </c>
      <c r="B65" s="13">
        <v>59</v>
      </c>
      <c r="C65" s="12" t="s">
        <v>38</v>
      </c>
      <c r="D65" s="14" t="s">
        <v>28</v>
      </c>
      <c r="E65" s="17" t="str">
        <f t="shared" si="41"/>
        <v>59 Rueckle Rd Off Ramp Ref to Walnut Ave On Ramp</v>
      </c>
      <c r="F65" s="6">
        <f>VLOOKUP(C65,'LALD Length'!$B$12:$F$25,5,FALSE)</f>
        <v>4</v>
      </c>
      <c r="G65" s="2">
        <v>1</v>
      </c>
      <c r="H65" s="18">
        <f t="shared" si="42"/>
        <v>1.8333333333333333</v>
      </c>
      <c r="I65" s="29">
        <f t="shared" si="43"/>
        <v>70.042296485122876</v>
      </c>
      <c r="J65" s="6">
        <v>40</v>
      </c>
      <c r="K65" s="6">
        <f>VLOOKUP(C65,'LALD Length'!$B$12:$E$25,4,FALSE)</f>
        <v>379.99999999999545</v>
      </c>
      <c r="L65" s="9">
        <f t="shared" si="44"/>
        <v>2500</v>
      </c>
      <c r="M65" s="6" t="str">
        <f t="shared" si="45"/>
        <v>On</v>
      </c>
      <c r="N65" s="6" t="str">
        <f t="shared" si="53"/>
        <v>Upstream</v>
      </c>
      <c r="O65" s="17" t="str">
        <f t="shared" si="51"/>
        <v>On - Upstream</v>
      </c>
      <c r="P65" s="29">
        <f>VLOOKUP(C65,'Station Number'!$J$1:$K$40,2,FALSE)</f>
        <v>657.0999755859375</v>
      </c>
      <c r="Q65" s="29">
        <f>VLOOKUP(D65,'Station Number'!$J$1:$K$40,2,FALSE)</f>
        <v>682.0999755859375</v>
      </c>
      <c r="R65" s="2">
        <f t="shared" si="52"/>
        <v>-2500</v>
      </c>
      <c r="S65" s="2">
        <f t="shared" si="49"/>
        <v>657.0999755859375</v>
      </c>
      <c r="T65" s="32"/>
      <c r="U65" s="6">
        <v>1.8333333333333333</v>
      </c>
      <c r="V65" s="6">
        <v>0.83333333333333337</v>
      </c>
    </row>
    <row r="66" spans="1:26" s="7" customFormat="1" ht="15.75" x14ac:dyDescent="0.25">
      <c r="A66" s="15" t="s">
        <v>44</v>
      </c>
      <c r="B66" s="13">
        <v>60</v>
      </c>
      <c r="C66" s="12" t="s">
        <v>38</v>
      </c>
      <c r="D66" s="14" t="s">
        <v>26</v>
      </c>
      <c r="E66" s="17" t="str">
        <f t="shared" si="41"/>
        <v>60 Rueckle Rd Off Ramp Ref to Schmidt Ave On Ramp</v>
      </c>
      <c r="F66" s="6">
        <f>VLOOKUP(C66,'LALD Length'!$B$12:$F$25,5,FALSE)</f>
        <v>4</v>
      </c>
      <c r="G66" s="2">
        <v>1</v>
      </c>
      <c r="H66" s="18">
        <f t="shared" si="42"/>
        <v>1.8333333333333333</v>
      </c>
      <c r="I66" s="29">
        <f t="shared" si="43"/>
        <v>70.042296485122876</v>
      </c>
      <c r="J66" s="6">
        <v>40</v>
      </c>
      <c r="K66" s="6">
        <f>VLOOKUP(C66,'LALD Length'!$B$12:$E$25,4,FALSE)</f>
        <v>379.99999999999545</v>
      </c>
      <c r="L66" s="9">
        <f t="shared" si="44"/>
        <v>3109.99755859375</v>
      </c>
      <c r="M66" s="6" t="str">
        <f t="shared" si="45"/>
        <v>On</v>
      </c>
      <c r="N66" s="6" t="str">
        <f t="shared" si="53"/>
        <v>Downstream</v>
      </c>
      <c r="O66" s="17" t="str">
        <f t="shared" si="51"/>
        <v>On - Downstream</v>
      </c>
      <c r="P66" s="29">
        <f>VLOOKUP(C66,'Station Number'!$J$1:$K$40,2,FALSE)</f>
        <v>657.0999755859375</v>
      </c>
      <c r="Q66" s="29">
        <f>VLOOKUP(D66,'Station Number'!$J$1:$K$40,2,FALSE)</f>
        <v>626</v>
      </c>
      <c r="R66" s="2">
        <f t="shared" si="52"/>
        <v>3109.99755859375</v>
      </c>
      <c r="S66" s="2">
        <f t="shared" si="49"/>
        <v>657.0999755859375</v>
      </c>
      <c r="T66" s="32"/>
      <c r="U66" s="6">
        <v>1.8333333333333333</v>
      </c>
      <c r="V66" s="6">
        <v>0.83333333333333337</v>
      </c>
      <c r="W66" s="3"/>
      <c r="X66" s="3"/>
      <c r="Y66" s="3"/>
      <c r="Z66" s="3"/>
    </row>
    <row r="67" spans="1:26" s="3" customFormat="1" ht="15.75" x14ac:dyDescent="0.25">
      <c r="A67" s="15" t="s">
        <v>44</v>
      </c>
      <c r="B67" s="13">
        <v>61</v>
      </c>
      <c r="C67" s="14" t="s">
        <v>26</v>
      </c>
      <c r="D67" s="12" t="s">
        <v>38</v>
      </c>
      <c r="E67" s="17" t="str">
        <f t="shared" si="41"/>
        <v>61 Schmidt Ave On Ramp Ref to Rueckle Rd Off Ramp</v>
      </c>
      <c r="F67" s="6">
        <f>VLOOKUP(C67,'LALD Length'!$B$12:$F$25,5,FALSE)</f>
        <v>4</v>
      </c>
      <c r="G67" s="2">
        <v>1</v>
      </c>
      <c r="H67" s="18">
        <f t="shared" si="42"/>
        <v>1.6666666666666667</v>
      </c>
      <c r="I67" s="29">
        <f t="shared" si="43"/>
        <v>70.45451576958196</v>
      </c>
      <c r="J67" s="6">
        <v>40</v>
      </c>
      <c r="K67" s="6">
        <f>VLOOKUP(C67,'LALD Length'!$B$12:$E$25,4,FALSE)</f>
        <v>1089.9999999999977</v>
      </c>
      <c r="L67" s="9">
        <f t="shared" si="44"/>
        <v>3109.99755859375</v>
      </c>
      <c r="M67" s="6" t="str">
        <f t="shared" si="45"/>
        <v>Off</v>
      </c>
      <c r="N67" s="6" t="str">
        <f t="shared" si="53"/>
        <v>Upstream</v>
      </c>
      <c r="O67" s="17" t="str">
        <f t="shared" ref="O67:O84" si="54">CONCATENATE(M67," - ",N67)</f>
        <v>Off - Upstream</v>
      </c>
      <c r="P67" s="29">
        <f>VLOOKUP(C67,'Station Number'!$J$1:$K$40,2,FALSE)</f>
        <v>626</v>
      </c>
      <c r="Q67" s="29">
        <f>VLOOKUP(D67,'Station Number'!$J$1:$K$40,2,FALSE)</f>
        <v>657.0999755859375</v>
      </c>
      <c r="R67" s="2">
        <f t="shared" si="52"/>
        <v>-3109.99755859375</v>
      </c>
      <c r="S67" s="2">
        <f t="shared" si="49"/>
        <v>626</v>
      </c>
      <c r="T67" s="32"/>
      <c r="U67" s="6">
        <v>1.6666666666666667</v>
      </c>
      <c r="V67" s="6">
        <v>1</v>
      </c>
    </row>
    <row r="68" spans="1:26" s="7" customFormat="1" ht="15.75" x14ac:dyDescent="0.25">
      <c r="A68" s="15" t="s">
        <v>44</v>
      </c>
      <c r="B68" s="13">
        <v>62</v>
      </c>
      <c r="C68" s="14" t="s">
        <v>26</v>
      </c>
      <c r="D68" s="12" t="s">
        <v>36</v>
      </c>
      <c r="E68" s="17" t="str">
        <f t="shared" si="41"/>
        <v>62 Schmidt Ave On Ramp Ref to Solms Rd Off Ramp</v>
      </c>
      <c r="F68" s="6">
        <f>VLOOKUP(C68,'LALD Length'!$B$12:$F$25,5,FALSE)</f>
        <v>4</v>
      </c>
      <c r="G68" s="2">
        <v>1</v>
      </c>
      <c r="H68" s="18">
        <f t="shared" si="42"/>
        <v>1.6666666666666667</v>
      </c>
      <c r="I68" s="29">
        <f t="shared" si="43"/>
        <v>70.45451576958196</v>
      </c>
      <c r="J68" s="6">
        <v>40</v>
      </c>
      <c r="K68" s="6">
        <f>VLOOKUP(C68,'LALD Length'!$B$12:$E$25,4,FALSE)</f>
        <v>1089.9999999999977</v>
      </c>
      <c r="L68" s="9">
        <f t="shared" si="44"/>
        <v>2529.998779296875</v>
      </c>
      <c r="M68" s="6" t="str">
        <f t="shared" si="45"/>
        <v>Off</v>
      </c>
      <c r="N68" s="6" t="str">
        <f t="shared" si="53"/>
        <v>Downstream</v>
      </c>
      <c r="O68" s="17" t="str">
        <f t="shared" si="54"/>
        <v>Off - Downstream</v>
      </c>
      <c r="P68" s="29">
        <f>VLOOKUP(C68,'Station Number'!$J$1:$K$40,2,FALSE)</f>
        <v>626</v>
      </c>
      <c r="Q68" s="29">
        <f>VLOOKUP(D68,'Station Number'!$J$1:$K$40,2,FALSE)</f>
        <v>600.70001220703125</v>
      </c>
      <c r="R68" s="2">
        <f t="shared" si="52"/>
        <v>2529.998779296875</v>
      </c>
      <c r="S68" s="2">
        <f t="shared" si="49"/>
        <v>626</v>
      </c>
      <c r="T68" s="32"/>
      <c r="U68" s="6">
        <v>1.6666666666666667</v>
      </c>
      <c r="V68" s="6">
        <v>1</v>
      </c>
      <c r="W68" s="3"/>
      <c r="X68" s="3"/>
      <c r="Y68" s="3"/>
      <c r="Z68" s="3"/>
    </row>
    <row r="69" spans="1:26" s="3" customFormat="1" ht="15.75" x14ac:dyDescent="0.25">
      <c r="A69" s="15" t="s">
        <v>44</v>
      </c>
      <c r="B69" s="13">
        <v>65</v>
      </c>
      <c r="C69" s="14" t="s">
        <v>41</v>
      </c>
      <c r="D69" s="12" t="s">
        <v>36</v>
      </c>
      <c r="E69" s="17" t="str">
        <f t="shared" si="41"/>
        <v>65 Rueckle Rd On Ramp Ref to Solms Rd Off Ramp</v>
      </c>
      <c r="F69" s="6">
        <f>VLOOKUP(C69,'LALD Length'!$B$12:$F$25,5,FALSE)</f>
        <v>3</v>
      </c>
      <c r="G69" s="2">
        <v>1</v>
      </c>
      <c r="H69" s="18">
        <f t="shared" si="42"/>
        <v>1.6666666666666667</v>
      </c>
      <c r="I69" s="29">
        <f t="shared" si="43"/>
        <v>70.45451576958196</v>
      </c>
      <c r="J69" s="6">
        <v>40</v>
      </c>
      <c r="K69" s="6">
        <f>VLOOKUP(C69,'LALD Length'!$B$12:$E$25,4,FALSE)</f>
        <v>1500</v>
      </c>
      <c r="L69" s="9">
        <f t="shared" si="44"/>
        <v>3729.998779296875</v>
      </c>
      <c r="M69" s="6" t="str">
        <f t="shared" si="45"/>
        <v>Off</v>
      </c>
      <c r="N69" s="6" t="str">
        <f t="shared" si="53"/>
        <v>Upstream</v>
      </c>
      <c r="O69" s="17" t="str">
        <f t="shared" si="54"/>
        <v>Off - Upstream</v>
      </c>
      <c r="P69" s="29">
        <f>VLOOKUP(C69,'Station Number'!$J$1:$K$40,2,FALSE)</f>
        <v>563.4000244140625</v>
      </c>
      <c r="Q69" s="29">
        <f>VLOOKUP(D69,'Station Number'!$J$1:$K$40,2,FALSE)</f>
        <v>600.70001220703125</v>
      </c>
      <c r="R69" s="2">
        <f t="shared" si="52"/>
        <v>-3729.998779296875</v>
      </c>
      <c r="S69" s="2">
        <f t="shared" si="49"/>
        <v>563.4000244140625</v>
      </c>
      <c r="T69" s="32"/>
      <c r="U69" s="6">
        <v>1.6666666666666667</v>
      </c>
      <c r="V69" s="6">
        <v>0.83333333333333337</v>
      </c>
    </row>
    <row r="70" spans="1:26" s="7" customFormat="1" ht="15.75" x14ac:dyDescent="0.25">
      <c r="A70" s="15" t="s">
        <v>44</v>
      </c>
      <c r="B70" s="13">
        <v>66</v>
      </c>
      <c r="C70" s="14" t="s">
        <v>41</v>
      </c>
      <c r="D70" s="12" t="s">
        <v>34</v>
      </c>
      <c r="E70" s="17" t="str">
        <f t="shared" si="41"/>
        <v>66 Rueckle Rd On Ramp Ref to Engel Rd Off Ramp</v>
      </c>
      <c r="F70" s="6">
        <f>VLOOKUP(C70,'LALD Length'!$B$12:$F$25,5,FALSE)</f>
        <v>3</v>
      </c>
      <c r="G70" s="2">
        <v>1</v>
      </c>
      <c r="H70" s="18">
        <f t="shared" si="42"/>
        <v>1.6666666666666667</v>
      </c>
      <c r="I70" s="29">
        <f t="shared" si="43"/>
        <v>70.45451576958196</v>
      </c>
      <c r="J70" s="6">
        <v>40</v>
      </c>
      <c r="K70" s="6">
        <f>VLOOKUP(C70,'LALD Length'!$B$12:$E$25,4,FALSE)</f>
        <v>1500</v>
      </c>
      <c r="L70" s="9">
        <f t="shared" si="44"/>
        <v>2910.003662109375</v>
      </c>
      <c r="M70" s="6" t="str">
        <f t="shared" si="45"/>
        <v>Off</v>
      </c>
      <c r="N70" s="6" t="str">
        <f t="shared" si="53"/>
        <v>Downstream</v>
      </c>
      <c r="O70" s="17" t="str">
        <f t="shared" si="54"/>
        <v>Off - Downstream</v>
      </c>
      <c r="P70" s="29">
        <f>VLOOKUP(C70,'Station Number'!$J$1:$K$40,2,FALSE)</f>
        <v>563.4000244140625</v>
      </c>
      <c r="Q70" s="29">
        <f>VLOOKUP(D70,'Station Number'!$J$1:$K$40,2,FALSE)</f>
        <v>534.29998779296875</v>
      </c>
      <c r="R70" s="2">
        <f t="shared" si="52"/>
        <v>2910.003662109375</v>
      </c>
      <c r="S70" s="2">
        <f t="shared" si="49"/>
        <v>563.4000244140625</v>
      </c>
      <c r="T70" s="32"/>
      <c r="U70" s="6">
        <v>1.6666666666666667</v>
      </c>
      <c r="V70" s="6">
        <v>0.83333333333333337</v>
      </c>
      <c r="W70" s="3"/>
      <c r="X70" s="3"/>
      <c r="Y70" s="3"/>
      <c r="Z70" s="3"/>
    </row>
    <row r="71" spans="1:26" s="3" customFormat="1" ht="15.75" x14ac:dyDescent="0.25">
      <c r="A71" s="15" t="s">
        <v>44</v>
      </c>
      <c r="B71" s="13">
        <v>67</v>
      </c>
      <c r="C71" s="12" t="s">
        <v>34</v>
      </c>
      <c r="D71" s="14" t="s">
        <v>41</v>
      </c>
      <c r="E71" s="17" t="str">
        <f t="shared" si="41"/>
        <v>67 Engel Rd Off Ramp Ref to Rueckle Rd On Ramp</v>
      </c>
      <c r="F71" s="6">
        <f>VLOOKUP(C71,'LALD Length'!$B$12:$F$25,5,FALSE)</f>
        <v>3</v>
      </c>
      <c r="G71" s="2">
        <v>1</v>
      </c>
      <c r="H71" s="18">
        <f t="shared" si="42"/>
        <v>1.5</v>
      </c>
      <c r="I71" s="29">
        <f t="shared" si="43"/>
        <v>70.873395724381268</v>
      </c>
      <c r="J71" s="6">
        <v>40</v>
      </c>
      <c r="K71" s="6">
        <f>VLOOKUP(C71,'LALD Length'!$B$12:$E$25,4,FALSE)</f>
        <v>339.99999999999773</v>
      </c>
      <c r="L71" s="9">
        <f t="shared" si="44"/>
        <v>2910.003662109375</v>
      </c>
      <c r="M71" s="6" t="str">
        <f t="shared" si="45"/>
        <v>On</v>
      </c>
      <c r="N71" s="6" t="str">
        <f t="shared" si="53"/>
        <v>Upstream</v>
      </c>
      <c r="O71" s="17" t="str">
        <f t="shared" si="54"/>
        <v>On - Upstream</v>
      </c>
      <c r="P71" s="29">
        <f>VLOOKUP(C71,'Station Number'!$J$1:$K$40,2,FALSE)</f>
        <v>534.29998779296875</v>
      </c>
      <c r="Q71" s="29">
        <f>VLOOKUP(D71,'Station Number'!$J$1:$K$40,2,FALSE)</f>
        <v>563.4000244140625</v>
      </c>
      <c r="R71" s="2">
        <f t="shared" si="52"/>
        <v>-2910.003662109375</v>
      </c>
      <c r="S71" s="2">
        <f t="shared" si="49"/>
        <v>534.29998779296875</v>
      </c>
      <c r="T71" s="32"/>
      <c r="U71" s="6">
        <v>1.5</v>
      </c>
      <c r="V71" s="6">
        <v>0.83333333333333337</v>
      </c>
    </row>
    <row r="72" spans="1:26" s="7" customFormat="1" ht="15.75" x14ac:dyDescent="0.25">
      <c r="A72" s="15" t="s">
        <v>44</v>
      </c>
      <c r="B72" s="13">
        <v>68</v>
      </c>
      <c r="C72" s="12" t="s">
        <v>34</v>
      </c>
      <c r="D72" s="14" t="s">
        <v>39</v>
      </c>
      <c r="E72" s="17" t="str">
        <f t="shared" si="41"/>
        <v>68 Engel Rd Off Ramp Ref to Solms Rd On Ramp</v>
      </c>
      <c r="F72" s="6">
        <f>VLOOKUP(C72,'LALD Length'!$B$12:$F$25,5,FALSE)</f>
        <v>3</v>
      </c>
      <c r="G72" s="2">
        <v>1</v>
      </c>
      <c r="H72" s="18">
        <f t="shared" si="42"/>
        <v>1.5</v>
      </c>
      <c r="I72" s="29">
        <f t="shared" si="43"/>
        <v>70.873395724381268</v>
      </c>
      <c r="J72" s="6">
        <v>40</v>
      </c>
      <c r="K72" s="6">
        <f>VLOOKUP(C72,'LALD Length'!$B$12:$E$25,4,FALSE)</f>
        <v>339.99999999999773</v>
      </c>
      <c r="L72" s="9">
        <f t="shared" si="44"/>
        <v>3989.9993896484375</v>
      </c>
      <c r="M72" s="6" t="str">
        <f t="shared" si="45"/>
        <v>On</v>
      </c>
      <c r="N72" s="6" t="str">
        <f t="shared" si="53"/>
        <v>Downstream</v>
      </c>
      <c r="O72" s="17" t="str">
        <f t="shared" si="54"/>
        <v>On - Downstream</v>
      </c>
      <c r="P72" s="29">
        <f>VLOOKUP(C72,'Station Number'!$J$1:$K$40,2,FALSE)</f>
        <v>534.29998779296875</v>
      </c>
      <c r="Q72" s="29">
        <f>VLOOKUP(D72,'Station Number'!$J$1:$K$40,2,FALSE)</f>
        <v>494.39999389648438</v>
      </c>
      <c r="R72" s="2">
        <f t="shared" si="52"/>
        <v>3989.9993896484375</v>
      </c>
      <c r="S72" s="2">
        <f t="shared" si="49"/>
        <v>534.29998779296875</v>
      </c>
      <c r="T72" s="32"/>
      <c r="U72" s="6">
        <v>1.5</v>
      </c>
      <c r="V72" s="6">
        <v>0.83333333333333337</v>
      </c>
      <c r="W72" s="3"/>
      <c r="X72" s="3"/>
      <c r="Y72" s="3"/>
      <c r="Z72" s="3"/>
    </row>
    <row r="73" spans="1:26" s="3" customFormat="1" ht="15.75" x14ac:dyDescent="0.25">
      <c r="A73" s="15" t="s">
        <v>44</v>
      </c>
      <c r="B73" s="13">
        <v>69</v>
      </c>
      <c r="C73" s="14" t="s">
        <v>39</v>
      </c>
      <c r="D73" s="12" t="s">
        <v>34</v>
      </c>
      <c r="E73" s="17" t="str">
        <f t="shared" si="41"/>
        <v>69 Solms Rd On Ramp Ref to Engel Rd Off Ramp</v>
      </c>
      <c r="F73" s="6">
        <f>VLOOKUP(C73,'LALD Length'!$B$12:$F$25,5,FALSE)</f>
        <v>3</v>
      </c>
      <c r="G73" s="2">
        <v>1</v>
      </c>
      <c r="H73" s="18">
        <f t="shared" si="42"/>
        <v>1.3333333333333333</v>
      </c>
      <c r="I73" s="29">
        <f t="shared" si="43"/>
        <v>71.299805955915545</v>
      </c>
      <c r="J73" s="6">
        <v>40</v>
      </c>
      <c r="K73" s="6">
        <f>VLOOKUP(C73,'LALD Length'!$B$12:$E$25,4,FALSE)</f>
        <v>1219.9999999999989</v>
      </c>
      <c r="L73" s="9">
        <f t="shared" si="44"/>
        <v>3989.9993896484375</v>
      </c>
      <c r="M73" s="6" t="str">
        <f t="shared" si="45"/>
        <v>Off</v>
      </c>
      <c r="N73" s="6" t="str">
        <f t="shared" si="53"/>
        <v>Upstream</v>
      </c>
      <c r="O73" s="17" t="str">
        <f t="shared" si="54"/>
        <v>Off - Upstream</v>
      </c>
      <c r="P73" s="29">
        <f>VLOOKUP(C73,'Station Number'!$J$1:$K$40,2,FALSE)</f>
        <v>494.39999389648438</v>
      </c>
      <c r="Q73" s="29">
        <f>VLOOKUP(D73,'Station Number'!$J$1:$K$40,2,FALSE)</f>
        <v>534.29998779296875</v>
      </c>
      <c r="R73" s="2">
        <f t="shared" si="52"/>
        <v>-3989.9993896484375</v>
      </c>
      <c r="S73" s="2">
        <f t="shared" si="49"/>
        <v>494.39999389648438</v>
      </c>
      <c r="T73" s="32"/>
      <c r="U73" s="6">
        <v>1.3333333333333333</v>
      </c>
      <c r="V73" s="6">
        <v>0.66666666666666663</v>
      </c>
    </row>
    <row r="74" spans="1:26" s="7" customFormat="1" ht="15.75" x14ac:dyDescent="0.25">
      <c r="A74" s="15" t="s">
        <v>44</v>
      </c>
      <c r="B74" s="13">
        <v>70</v>
      </c>
      <c r="C74" s="14" t="s">
        <v>39</v>
      </c>
      <c r="D74" s="12" t="s">
        <v>25</v>
      </c>
      <c r="E74" s="17" t="str">
        <f t="shared" si="41"/>
        <v>70 Solms Rd On Ramp Ref to Schawab Rd Off Ramp</v>
      </c>
      <c r="F74" s="6">
        <f>VLOOKUP(C74,'LALD Length'!$B$12:$F$25,5,FALSE)</f>
        <v>3</v>
      </c>
      <c r="G74" s="2">
        <v>1</v>
      </c>
      <c r="H74" s="18">
        <f t="shared" si="42"/>
        <v>1.3333333333333333</v>
      </c>
      <c r="I74" s="29">
        <f t="shared" si="43"/>
        <v>71.299805955915545</v>
      </c>
      <c r="J74" s="6">
        <v>40</v>
      </c>
      <c r="K74" s="6">
        <f>VLOOKUP(C74,'LALD Length'!$B$12:$E$25,4,FALSE)</f>
        <v>1219.9999999999989</v>
      </c>
      <c r="L74" s="9">
        <f t="shared" si="44"/>
        <v>2829.998779296875</v>
      </c>
      <c r="M74" s="6" t="str">
        <f t="shared" si="45"/>
        <v>Off</v>
      </c>
      <c r="N74" s="6" t="str">
        <f t="shared" si="53"/>
        <v>Downstream</v>
      </c>
      <c r="O74" s="17" t="str">
        <f t="shared" si="54"/>
        <v>Off - Downstream</v>
      </c>
      <c r="P74" s="29">
        <f>VLOOKUP(C74,'Station Number'!$J$1:$K$40,2,FALSE)</f>
        <v>494.39999389648438</v>
      </c>
      <c r="Q74" s="29">
        <f>VLOOKUP(D74,'Station Number'!$J$1:$K$40,2,FALSE)</f>
        <v>466.10000610351563</v>
      </c>
      <c r="R74" s="2">
        <f t="shared" si="52"/>
        <v>2829.998779296875</v>
      </c>
      <c r="S74" s="2">
        <f t="shared" si="49"/>
        <v>494.39999389648438</v>
      </c>
      <c r="T74" s="32"/>
      <c r="U74" s="6">
        <v>1.3333333333333333</v>
      </c>
      <c r="V74" s="6">
        <v>0.66666666666666663</v>
      </c>
      <c r="W74" s="3"/>
      <c r="X74" s="3"/>
      <c r="Y74" s="3"/>
      <c r="Z74" s="3"/>
    </row>
    <row r="75" spans="1:26" s="3" customFormat="1" ht="15.75" x14ac:dyDescent="0.25">
      <c r="A75" s="15" t="s">
        <v>44</v>
      </c>
      <c r="B75" s="13">
        <v>71</v>
      </c>
      <c r="C75" s="12" t="s">
        <v>25</v>
      </c>
      <c r="D75" s="14" t="s">
        <v>39</v>
      </c>
      <c r="E75" s="17" t="str">
        <f t="shared" si="41"/>
        <v>71 Schawab Rd Off Ramp Ref to Solms Rd On Ramp</v>
      </c>
      <c r="F75" s="6">
        <f>VLOOKUP(C75,'LALD Length'!$B$12:$F$25,5,FALSE)</f>
        <v>3</v>
      </c>
      <c r="G75" s="2">
        <v>1</v>
      </c>
      <c r="H75" s="18">
        <f t="shared" si="42"/>
        <v>1.3333333333333333</v>
      </c>
      <c r="I75" s="29">
        <f t="shared" si="43"/>
        <v>71.299805955915545</v>
      </c>
      <c r="J75" s="6">
        <v>40</v>
      </c>
      <c r="K75" s="6">
        <f>VLOOKUP(C75,'LALD Length'!$B$12:$E$25,4,FALSE)</f>
        <v>359.99999999999659</v>
      </c>
      <c r="L75" s="9">
        <f t="shared" si="44"/>
        <v>2829.998779296875</v>
      </c>
      <c r="M75" s="6" t="str">
        <f t="shared" si="45"/>
        <v>On</v>
      </c>
      <c r="N75" s="6" t="str">
        <f t="shared" si="53"/>
        <v>Upstream</v>
      </c>
      <c r="O75" s="17" t="str">
        <f t="shared" si="54"/>
        <v>On - Upstream</v>
      </c>
      <c r="P75" s="29">
        <f>VLOOKUP(C75,'Station Number'!$J$1:$K$40,2,FALSE)</f>
        <v>466.10000610351563</v>
      </c>
      <c r="Q75" s="29">
        <f>VLOOKUP(D75,'Station Number'!$J$1:$K$40,2,FALSE)</f>
        <v>494.39999389648438</v>
      </c>
      <c r="R75" s="2">
        <f t="shared" si="52"/>
        <v>-2829.998779296875</v>
      </c>
      <c r="S75" s="2">
        <f t="shared" si="49"/>
        <v>466.10000610351563</v>
      </c>
      <c r="T75" s="32"/>
      <c r="U75" s="6">
        <v>1.3333333333333333</v>
      </c>
      <c r="V75" s="6">
        <v>0.66666666666666663</v>
      </c>
    </row>
    <row r="76" spans="1:26" s="7" customFormat="1" ht="15.75" x14ac:dyDescent="0.25">
      <c r="A76" s="15" t="s">
        <v>44</v>
      </c>
      <c r="B76" s="13">
        <v>72</v>
      </c>
      <c r="C76" s="12" t="s">
        <v>25</v>
      </c>
      <c r="D76" s="14" t="s">
        <v>37</v>
      </c>
      <c r="E76" s="17" t="str">
        <f t="shared" si="41"/>
        <v>72 Schawab Rd Off Ramp Ref to Engel Rd On Ramp</v>
      </c>
      <c r="F76" s="6">
        <f>VLOOKUP(C76,'LALD Length'!$B$12:$F$25,5,FALSE)</f>
        <v>3</v>
      </c>
      <c r="G76" s="2">
        <v>1</v>
      </c>
      <c r="H76" s="18">
        <f t="shared" si="42"/>
        <v>1.3333333333333333</v>
      </c>
      <c r="I76" s="29">
        <f t="shared" si="43"/>
        <v>71.299805955915545</v>
      </c>
      <c r="J76" s="6">
        <v>40</v>
      </c>
      <c r="K76" s="6">
        <f>VLOOKUP(C76,'LALD Length'!$B$12:$E$25,4,FALSE)</f>
        <v>359.99999999999659</v>
      </c>
      <c r="L76" s="9">
        <f t="shared" si="44"/>
        <v>5889.9993896484375</v>
      </c>
      <c r="M76" s="6" t="str">
        <f t="shared" si="45"/>
        <v>On</v>
      </c>
      <c r="N76" s="6" t="str">
        <f t="shared" si="53"/>
        <v>Downstream</v>
      </c>
      <c r="O76" s="17" t="str">
        <f t="shared" si="54"/>
        <v>On - Downstream</v>
      </c>
      <c r="P76" s="29">
        <f>VLOOKUP(C76,'Station Number'!$J$1:$K$40,2,FALSE)</f>
        <v>466.10000610351563</v>
      </c>
      <c r="Q76" s="29">
        <f>VLOOKUP(D76,'Station Number'!$J$1:$K$40,2,FALSE)</f>
        <v>407.20001220703125</v>
      </c>
      <c r="R76" s="2">
        <f t="shared" si="52"/>
        <v>5889.9993896484375</v>
      </c>
      <c r="S76" s="2">
        <f t="shared" si="49"/>
        <v>466.10000610351563</v>
      </c>
      <c r="T76" s="32"/>
      <c r="U76" s="6">
        <v>1.3333333333333333</v>
      </c>
      <c r="V76" s="6">
        <v>0.66666666666666663</v>
      </c>
      <c r="W76" s="3"/>
      <c r="X76" s="3"/>
      <c r="Y76" s="3"/>
      <c r="Z76" s="3"/>
    </row>
    <row r="77" spans="1:26" s="3" customFormat="1" ht="15.75" x14ac:dyDescent="0.25">
      <c r="A77" s="15" t="s">
        <v>44</v>
      </c>
      <c r="B77" s="13">
        <v>73</v>
      </c>
      <c r="C77" s="14" t="s">
        <v>37</v>
      </c>
      <c r="D77" s="12" t="s">
        <v>25</v>
      </c>
      <c r="E77" s="17" t="str">
        <f t="shared" si="41"/>
        <v>73 Engel Rd On Ramp Ref to Schawab Rd Off Ramp</v>
      </c>
      <c r="F77" s="6">
        <f>VLOOKUP(C77,'LALD Length'!$B$12:$F$25,5,FALSE)</f>
        <v>3</v>
      </c>
      <c r="G77" s="2">
        <v>1</v>
      </c>
      <c r="H77" s="18">
        <f t="shared" si="42"/>
        <v>1.5</v>
      </c>
      <c r="I77" s="29">
        <f t="shared" si="43"/>
        <v>70.873395724381268</v>
      </c>
      <c r="J77" s="6">
        <v>40</v>
      </c>
      <c r="K77" s="6">
        <f>VLOOKUP(C77,'LALD Length'!$B$12:$E$25,4,FALSE)</f>
        <v>1300</v>
      </c>
      <c r="L77" s="9">
        <f t="shared" si="44"/>
        <v>5889.9993896484375</v>
      </c>
      <c r="M77" s="6" t="str">
        <f t="shared" si="45"/>
        <v>Off</v>
      </c>
      <c r="N77" s="6" t="str">
        <f t="shared" si="53"/>
        <v>Upstream</v>
      </c>
      <c r="O77" s="17" t="str">
        <f t="shared" si="54"/>
        <v>Off - Upstream</v>
      </c>
      <c r="P77" s="29">
        <f>VLOOKUP(C77,'Station Number'!$J$1:$K$40,2,FALSE)</f>
        <v>407.20001220703125</v>
      </c>
      <c r="Q77" s="29">
        <f>VLOOKUP(D77,'Station Number'!$J$1:$K$40,2,FALSE)</f>
        <v>466.10000610351563</v>
      </c>
      <c r="R77" s="2">
        <f t="shared" si="52"/>
        <v>-5889.9993896484375</v>
      </c>
      <c r="S77" s="2">
        <f t="shared" si="49"/>
        <v>407.20001220703125</v>
      </c>
      <c r="T77" s="32"/>
      <c r="U77" s="6">
        <v>1.5</v>
      </c>
      <c r="V77" s="6">
        <v>0.66666666666666663</v>
      </c>
    </row>
    <row r="78" spans="1:26" s="3" customFormat="1" ht="15.75" x14ac:dyDescent="0.25">
      <c r="A78" s="15" t="s">
        <v>44</v>
      </c>
      <c r="B78" s="13">
        <v>74</v>
      </c>
      <c r="C78" s="14" t="s">
        <v>37</v>
      </c>
      <c r="D78" s="12" t="s">
        <v>31</v>
      </c>
      <c r="E78" s="17" t="str">
        <f t="shared" si="41"/>
        <v>74 Engel Rd On Ramp Ref to FM 1103 Off Ramp</v>
      </c>
      <c r="F78" s="6">
        <f>VLOOKUP(C78,'LALD Length'!$B$12:$F$25,5,FALSE)</f>
        <v>3</v>
      </c>
      <c r="G78" s="2">
        <v>1</v>
      </c>
      <c r="H78" s="18">
        <f t="shared" si="42"/>
        <v>1.5</v>
      </c>
      <c r="I78" s="29">
        <f t="shared" si="43"/>
        <v>70.873395724381268</v>
      </c>
      <c r="J78" s="6">
        <v>40</v>
      </c>
      <c r="K78" s="6">
        <f>VLOOKUP(C78,'LALD Length'!$B$12:$E$25,4,FALSE)</f>
        <v>1300</v>
      </c>
      <c r="L78" s="9">
        <f t="shared" si="44"/>
        <v>4270.001220703125</v>
      </c>
      <c r="M78" s="6" t="str">
        <f t="shared" si="45"/>
        <v>Off</v>
      </c>
      <c r="N78" s="6" t="str">
        <f t="shared" si="53"/>
        <v>Downstream</v>
      </c>
      <c r="O78" s="17" t="str">
        <f t="shared" si="54"/>
        <v>Off - Downstream</v>
      </c>
      <c r="P78" s="29">
        <f>VLOOKUP(C78,'Station Number'!$J$1:$K$40,2,FALSE)</f>
        <v>407.20001220703125</v>
      </c>
      <c r="Q78" s="29">
        <f>VLOOKUP(D78,'Station Number'!$J$1:$K$40,2,FALSE)</f>
        <v>364.5</v>
      </c>
      <c r="R78" s="2">
        <f t="shared" si="52"/>
        <v>4270.001220703125</v>
      </c>
      <c r="S78" s="2">
        <f t="shared" si="49"/>
        <v>407.20001220703125</v>
      </c>
      <c r="T78" s="32"/>
      <c r="U78" s="6">
        <v>1.5</v>
      </c>
      <c r="V78" s="6">
        <v>0.66666666666666663</v>
      </c>
    </row>
    <row r="79" spans="1:26" s="3" customFormat="1" ht="15.75" x14ac:dyDescent="0.25">
      <c r="A79" s="15" t="s">
        <v>44</v>
      </c>
      <c r="B79" s="13">
        <v>75</v>
      </c>
      <c r="C79" s="12" t="s">
        <v>31</v>
      </c>
      <c r="D79" s="14" t="s">
        <v>37</v>
      </c>
      <c r="E79" s="17" t="str">
        <f t="shared" si="41"/>
        <v>75 FM 1103 Off Ramp Ref to Engel Rd On Ramp</v>
      </c>
      <c r="F79" s="6">
        <f>VLOOKUP(C79,'LALD Length'!$B$12:$F$25,5,FALSE)</f>
        <v>3</v>
      </c>
      <c r="G79" s="2">
        <v>1</v>
      </c>
      <c r="H79" s="18">
        <f t="shared" si="42"/>
        <v>1.5</v>
      </c>
      <c r="I79" s="29">
        <f t="shared" si="43"/>
        <v>70.873395724381268</v>
      </c>
      <c r="J79" s="6">
        <v>40</v>
      </c>
      <c r="K79" s="6">
        <f>VLOOKUP(C79,'LALD Length'!$B$12:$E$25,4,FALSE)</f>
        <v>339.99999999999773</v>
      </c>
      <c r="L79" s="9">
        <f t="shared" si="44"/>
        <v>4270.001220703125</v>
      </c>
      <c r="M79" s="6" t="str">
        <f t="shared" si="45"/>
        <v>On</v>
      </c>
      <c r="N79" s="6" t="str">
        <f t="shared" si="53"/>
        <v>Upstream</v>
      </c>
      <c r="O79" s="17" t="str">
        <f t="shared" si="54"/>
        <v>On - Upstream</v>
      </c>
      <c r="P79" s="29">
        <f>VLOOKUP(C79,'Station Number'!$J$1:$K$40,2,FALSE)</f>
        <v>364.5</v>
      </c>
      <c r="Q79" s="29">
        <f>VLOOKUP(D79,'Station Number'!$J$1:$K$40,2,FALSE)</f>
        <v>407.20001220703125</v>
      </c>
      <c r="R79" s="2">
        <f t="shared" si="52"/>
        <v>-4270.001220703125</v>
      </c>
      <c r="S79" s="2">
        <f t="shared" si="49"/>
        <v>364.5</v>
      </c>
      <c r="T79" s="32"/>
      <c r="U79" s="6">
        <v>1.5</v>
      </c>
      <c r="V79" s="6">
        <v>0.66666666666666663</v>
      </c>
    </row>
    <row r="80" spans="1:26" s="3" customFormat="1" ht="15.75" x14ac:dyDescent="0.25">
      <c r="A80" s="15" t="s">
        <v>44</v>
      </c>
      <c r="B80" s="13">
        <v>76</v>
      </c>
      <c r="C80" s="12" t="s">
        <v>31</v>
      </c>
      <c r="D80" s="14" t="s">
        <v>35</v>
      </c>
      <c r="E80" s="17" t="str">
        <f t="shared" si="41"/>
        <v>76 FM 1103 Off Ramp Ref to Schawab Rd On Ramp</v>
      </c>
      <c r="F80" s="6">
        <f>VLOOKUP(C80,'LALD Length'!$B$12:$F$25,5,FALSE)</f>
        <v>3</v>
      </c>
      <c r="G80" s="2">
        <v>1</v>
      </c>
      <c r="H80" s="18">
        <f t="shared" si="42"/>
        <v>1.5</v>
      </c>
      <c r="I80" s="29">
        <f t="shared" si="43"/>
        <v>70.873395724381268</v>
      </c>
      <c r="J80" s="6">
        <v>40</v>
      </c>
      <c r="K80" s="6">
        <f>VLOOKUP(C80,'LALD Length'!$B$12:$E$25,4,FALSE)</f>
        <v>339.99999999999773</v>
      </c>
      <c r="L80" s="9">
        <f t="shared" si="44"/>
        <v>4760.0006103515625</v>
      </c>
      <c r="M80" s="6" t="str">
        <f t="shared" si="45"/>
        <v>On</v>
      </c>
      <c r="N80" s="6" t="str">
        <f t="shared" si="53"/>
        <v>Downstream</v>
      </c>
      <c r="O80" s="17" t="str">
        <f t="shared" si="54"/>
        <v>On - Downstream</v>
      </c>
      <c r="P80" s="29">
        <f>VLOOKUP(C80,'Station Number'!$J$1:$K$40,2,FALSE)</f>
        <v>364.5</v>
      </c>
      <c r="Q80" s="29">
        <f>VLOOKUP(D80,'Station Number'!$J$1:$K$40,2,FALSE)</f>
        <v>316.89999389648438</v>
      </c>
      <c r="R80" s="2">
        <f t="shared" si="52"/>
        <v>4760.0006103515625</v>
      </c>
      <c r="S80" s="2">
        <f t="shared" si="49"/>
        <v>364.5</v>
      </c>
      <c r="T80" s="32"/>
      <c r="U80" s="6">
        <v>1.5</v>
      </c>
      <c r="V80" s="6">
        <v>0.66666666666666663</v>
      </c>
    </row>
    <row r="81" spans="1:22" s="3" customFormat="1" ht="15.75" x14ac:dyDescent="0.25">
      <c r="A81" s="15" t="s">
        <v>44</v>
      </c>
      <c r="B81" s="13">
        <v>77</v>
      </c>
      <c r="C81" s="14" t="s">
        <v>35</v>
      </c>
      <c r="D81" s="12" t="s">
        <v>31</v>
      </c>
      <c r="E81" s="17" t="str">
        <f t="shared" si="41"/>
        <v>77 Schawab Rd On Ramp Ref to FM 1103 Off Ramp</v>
      </c>
      <c r="F81" s="6">
        <f>VLOOKUP(C81,'LALD Length'!$B$12:$F$25,5,FALSE)</f>
        <v>3</v>
      </c>
      <c r="G81" s="2">
        <v>1</v>
      </c>
      <c r="H81" s="18">
        <f t="shared" si="42"/>
        <v>1.6666666666666667</v>
      </c>
      <c r="I81" s="29">
        <f t="shared" si="43"/>
        <v>70.45451576958196</v>
      </c>
      <c r="J81" s="6">
        <v>40</v>
      </c>
      <c r="K81" s="6">
        <f>VLOOKUP(C81,'LALD Length'!$B$12:$E$25,4,FALSE)</f>
        <v>1450</v>
      </c>
      <c r="L81" s="9">
        <f t="shared" si="44"/>
        <v>4760.0006103515625</v>
      </c>
      <c r="M81" s="6" t="str">
        <f t="shared" si="45"/>
        <v>Off</v>
      </c>
      <c r="N81" s="6" t="str">
        <f t="shared" si="53"/>
        <v>Upstream</v>
      </c>
      <c r="O81" s="17" t="str">
        <f t="shared" si="54"/>
        <v>Off - Upstream</v>
      </c>
      <c r="P81" s="29">
        <f>VLOOKUP(C81,'Station Number'!$J$1:$K$40,2,FALSE)</f>
        <v>316.89999389648438</v>
      </c>
      <c r="Q81" s="29">
        <f>VLOOKUP(D81,'Station Number'!$J$1:$K$40,2,FALSE)</f>
        <v>364.5</v>
      </c>
      <c r="R81" s="2">
        <f t="shared" si="52"/>
        <v>-4760.0006103515625</v>
      </c>
      <c r="S81" s="2">
        <f t="shared" si="49"/>
        <v>316.89999389648438</v>
      </c>
      <c r="T81" s="32"/>
      <c r="U81" s="6">
        <v>1.6666666666666667</v>
      </c>
      <c r="V81" s="6">
        <v>0.66666666666666663</v>
      </c>
    </row>
    <row r="82" spans="1:22" s="3" customFormat="1" ht="15.75" x14ac:dyDescent="0.25">
      <c r="A82" s="15" t="s">
        <v>44</v>
      </c>
      <c r="B82" s="13">
        <v>78</v>
      </c>
      <c r="C82" s="14" t="s">
        <v>35</v>
      </c>
      <c r="D82" s="14" t="s">
        <v>62</v>
      </c>
      <c r="E82" s="17" t="str">
        <f t="shared" si="41"/>
        <v>78 Schawab Rd On Ramp Ref to FM 2252 Off Ramp</v>
      </c>
      <c r="F82" s="6">
        <f>VLOOKUP(C82,'LALD Length'!$B$12:$F$25,5,FALSE)</f>
        <v>3</v>
      </c>
      <c r="G82" s="2">
        <v>1</v>
      </c>
      <c r="H82" s="18">
        <f t="shared" si="42"/>
        <v>1.6666666666666667</v>
      </c>
      <c r="I82" s="29">
        <f t="shared" si="43"/>
        <v>70.45451576958196</v>
      </c>
      <c r="J82" s="6">
        <v>40</v>
      </c>
      <c r="K82" s="6">
        <f>VLOOKUP(C82,'LALD Length'!$B$12:$E$25,4,FALSE)</f>
        <v>1450</v>
      </c>
      <c r="L82" s="9">
        <f t="shared" si="44"/>
        <v>3229.998779296875</v>
      </c>
      <c r="M82" s="6" t="str">
        <f t="shared" si="45"/>
        <v>Off</v>
      </c>
      <c r="N82" s="6" t="str">
        <f t="shared" si="53"/>
        <v>Downstream</v>
      </c>
      <c r="O82" s="17" t="str">
        <f t="shared" si="54"/>
        <v>Off - Downstream</v>
      </c>
      <c r="P82" s="29">
        <f>VLOOKUP(C82,'Station Number'!$J$1:$K$40,2,FALSE)</f>
        <v>316.89999389648438</v>
      </c>
      <c r="Q82" s="29">
        <f>VLOOKUP(D82,'Station Number'!$J$1:$K$40,2,FALSE)</f>
        <v>284.60000610351563</v>
      </c>
      <c r="R82" s="2">
        <f t="shared" si="52"/>
        <v>3229.998779296875</v>
      </c>
      <c r="S82" s="2">
        <f t="shared" si="49"/>
        <v>316.89999389648438</v>
      </c>
      <c r="T82" s="32"/>
      <c r="U82" s="6">
        <v>1.6666666666666667</v>
      </c>
      <c r="V82" s="6">
        <v>0.66666666666666663</v>
      </c>
    </row>
    <row r="83" spans="1:22" s="3" customFormat="1" ht="15.75" x14ac:dyDescent="0.25">
      <c r="A83" s="15" t="s">
        <v>44</v>
      </c>
      <c r="B83" s="13">
        <v>79</v>
      </c>
      <c r="C83" s="14" t="s">
        <v>62</v>
      </c>
      <c r="D83" s="14" t="s">
        <v>35</v>
      </c>
      <c r="E83" s="17" t="str">
        <f t="shared" si="41"/>
        <v>79 FM 2252 Off Ramp Ref to Schawab Rd On Ramp</v>
      </c>
      <c r="F83" s="6">
        <f>VLOOKUP(C83,'LALD Length'!$B$12:$F$25,5,FALSE)</f>
        <v>4</v>
      </c>
      <c r="G83" s="2">
        <v>1</v>
      </c>
      <c r="H83" s="18">
        <f t="shared" si="42"/>
        <v>1.8333333333333333</v>
      </c>
      <c r="I83" s="29">
        <f t="shared" si="43"/>
        <v>70.042296485122876</v>
      </c>
      <c r="J83" s="6">
        <v>40</v>
      </c>
      <c r="K83" s="6">
        <f>VLOOKUP(C83,'LALD Length'!$B$12:$E$25,4,FALSE)</f>
        <v>189.99999999999773</v>
      </c>
      <c r="L83" s="9">
        <f t="shared" si="44"/>
        <v>3229.998779296875</v>
      </c>
      <c r="M83" s="6" t="str">
        <f t="shared" si="45"/>
        <v>On</v>
      </c>
      <c r="N83" s="6" t="str">
        <f t="shared" si="53"/>
        <v>Upstream</v>
      </c>
      <c r="O83" s="17" t="str">
        <f t="shared" si="54"/>
        <v>On - Upstream</v>
      </c>
      <c r="P83" s="29">
        <f>VLOOKUP(C83,'Station Number'!$J$1:$K$40,2,FALSE)</f>
        <v>284.60000610351563</v>
      </c>
      <c r="Q83" s="29">
        <f>VLOOKUP(D83,'Station Number'!$J$1:$K$40,2,FALSE)</f>
        <v>316.89999389648438</v>
      </c>
      <c r="R83" s="2">
        <f t="shared" si="52"/>
        <v>-3229.998779296875</v>
      </c>
      <c r="S83" s="2">
        <f t="shared" si="49"/>
        <v>284.60000610351563</v>
      </c>
      <c r="T83" s="32"/>
      <c r="U83" s="6">
        <v>1.8333333333333333</v>
      </c>
      <c r="V83" s="6">
        <v>0.83333333333333337</v>
      </c>
    </row>
    <row r="84" spans="1:22" s="3" customFormat="1" ht="15.75" x14ac:dyDescent="0.25">
      <c r="A84" s="15" t="s">
        <v>44</v>
      </c>
      <c r="B84" s="13">
        <v>80</v>
      </c>
      <c r="C84" s="14" t="s">
        <v>62</v>
      </c>
      <c r="D84" s="14" t="s">
        <v>46</v>
      </c>
      <c r="E84" s="17" t="str">
        <f t="shared" si="41"/>
        <v>80 FM 2252 Off Ramp Ref to HOV lane Off Ramp</v>
      </c>
      <c r="F84" s="6">
        <f>VLOOKUP(C84,'LALD Length'!$B$12:$F$25,5,FALSE)</f>
        <v>4</v>
      </c>
      <c r="G84" s="2">
        <v>1</v>
      </c>
      <c r="H84" s="18">
        <f t="shared" si="42"/>
        <v>1.8333333333333333</v>
      </c>
      <c r="I84" s="29">
        <f t="shared" si="43"/>
        <v>70.042296485122876</v>
      </c>
      <c r="J84" s="6">
        <v>40</v>
      </c>
      <c r="K84" s="6">
        <f>VLOOKUP(C84,'LALD Length'!$B$12:$E$25,4,FALSE)</f>
        <v>189.99999999999773</v>
      </c>
      <c r="L84" s="9">
        <f t="shared" si="44"/>
        <v>1110.0006103515625</v>
      </c>
      <c r="M84" s="6" t="str">
        <f t="shared" si="45"/>
        <v>Off</v>
      </c>
      <c r="N84" s="6" t="str">
        <f t="shared" si="53"/>
        <v>Downstream</v>
      </c>
      <c r="O84" s="17" t="str">
        <f t="shared" si="54"/>
        <v>Off - Downstream</v>
      </c>
      <c r="P84" s="29">
        <f>VLOOKUP(C84,'Station Number'!$J$1:$K$40,2,FALSE)</f>
        <v>284.60000610351563</v>
      </c>
      <c r="Q84" s="29">
        <f>VLOOKUP(D84,'Station Number'!$J$1:$K$40,2,FALSE)</f>
        <v>273.5</v>
      </c>
      <c r="R84" s="2">
        <f t="shared" si="52"/>
        <v>1110.0006103515625</v>
      </c>
      <c r="S84" s="2">
        <f t="shared" si="49"/>
        <v>284.60000610351563</v>
      </c>
      <c r="T84" s="32"/>
      <c r="U84" s="6">
        <v>1.8333333333333333</v>
      </c>
      <c r="V84" s="6">
        <v>0.83333333333333337</v>
      </c>
    </row>
  </sheetData>
  <conditionalFormatting sqref="J9 L36:L55 J11:J21 L57:L84">
    <cfRule type="cellIs" dxfId="5" priority="8" operator="greaterThan">
      <formula>6000</formula>
    </cfRule>
  </conditionalFormatting>
  <conditionalFormatting sqref="J3:J4">
    <cfRule type="cellIs" dxfId="4" priority="6" operator="greaterThan">
      <formula>6000</formula>
    </cfRule>
  </conditionalFormatting>
  <conditionalFormatting sqref="J6">
    <cfRule type="cellIs" dxfId="3" priority="5" operator="greaterThan">
      <formula>6000</formula>
    </cfRule>
  </conditionalFormatting>
  <conditionalFormatting sqref="J23:J33">
    <cfRule type="cellIs" dxfId="2" priority="3" operator="greaterThan">
      <formula>6000</formula>
    </cfRule>
  </conditionalFormatting>
  <conditionalFormatting sqref="J2">
    <cfRule type="cellIs" dxfId="1" priority="2" operator="greaterThan">
      <formula>6000</formula>
    </cfRule>
  </conditionalFormatting>
  <conditionalFormatting sqref="J10">
    <cfRule type="cellIs" dxfId="0" priority="1" operator="greaterThan">
      <formula>6000</formula>
    </cfRule>
  </conditionalFormatting>
  <pageMargins left="0.7" right="0.7" top="0.75" bottom="0.75" header="0.3" footer="0.3"/>
  <pageSetup paperSize="3" scale="7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K33"/>
  <sheetViews>
    <sheetView workbookViewId="0">
      <selection activeCell="O29" sqref="O29"/>
    </sheetView>
  </sheetViews>
  <sheetFormatPr defaultRowHeight="15" x14ac:dyDescent="0.25"/>
  <sheetData>
    <row r="1" spans="1:11" x14ac:dyDescent="0.25">
      <c r="A1" s="10" t="s">
        <v>47</v>
      </c>
      <c r="B1" s="10" t="s">
        <v>58</v>
      </c>
      <c r="C1" s="10"/>
      <c r="D1" s="10" t="s">
        <v>59</v>
      </c>
      <c r="E1" s="10" t="s">
        <v>58</v>
      </c>
      <c r="F1" s="10"/>
      <c r="G1" s="10" t="s">
        <v>60</v>
      </c>
      <c r="H1" s="10" t="s">
        <v>58</v>
      </c>
      <c r="I1" s="10"/>
      <c r="J1" s="10" t="s">
        <v>61</v>
      </c>
      <c r="K1" s="10" t="s">
        <v>58</v>
      </c>
    </row>
    <row r="2" spans="1:11" x14ac:dyDescent="0.25">
      <c r="A2" s="10" t="s">
        <v>68</v>
      </c>
      <c r="B2" s="10">
        <v>138.5</v>
      </c>
      <c r="C2" s="10"/>
      <c r="D2" s="10" t="s">
        <v>72</v>
      </c>
      <c r="E2" s="10">
        <v>100.69999694824219</v>
      </c>
      <c r="F2" s="10"/>
      <c r="G2" s="10" t="s">
        <v>68</v>
      </c>
      <c r="H2" s="10">
        <v>138.5</v>
      </c>
      <c r="I2" s="10"/>
      <c r="J2" s="10" t="s">
        <v>72</v>
      </c>
      <c r="K2" s="10">
        <v>100.09999847412109</v>
      </c>
    </row>
    <row r="3" spans="1:11" x14ac:dyDescent="0.25">
      <c r="A3" s="10" t="s">
        <v>69</v>
      </c>
      <c r="B3" s="10">
        <v>185.1</v>
      </c>
      <c r="C3" s="10"/>
      <c r="D3" s="10" t="s">
        <v>72</v>
      </c>
      <c r="E3" s="10">
        <v>127</v>
      </c>
      <c r="F3" s="10"/>
      <c r="G3" s="10" t="s">
        <v>69</v>
      </c>
      <c r="H3" s="10">
        <v>185.1</v>
      </c>
      <c r="I3" s="10"/>
      <c r="J3" s="10" t="s">
        <v>72</v>
      </c>
      <c r="K3" s="10">
        <v>127.5</v>
      </c>
    </row>
    <row r="4" spans="1:11" x14ac:dyDescent="0.25">
      <c r="A4" s="10" t="s">
        <v>48</v>
      </c>
      <c r="B4" s="10">
        <v>227</v>
      </c>
      <c r="C4" s="10"/>
      <c r="D4" s="10" t="s">
        <v>72</v>
      </c>
      <c r="E4" s="10">
        <v>151.60000610351563</v>
      </c>
      <c r="F4" s="10"/>
      <c r="G4" s="10" t="s">
        <v>48</v>
      </c>
      <c r="H4" s="10">
        <v>227</v>
      </c>
      <c r="I4" s="10"/>
      <c r="J4" s="10" t="s">
        <v>72</v>
      </c>
      <c r="K4" s="10">
        <v>149.19999694824219</v>
      </c>
    </row>
    <row r="5" spans="1:11" x14ac:dyDescent="0.25">
      <c r="A5" s="10" t="s">
        <v>49</v>
      </c>
      <c r="B5" s="10">
        <v>290</v>
      </c>
      <c r="C5" s="10"/>
      <c r="D5" s="10" t="s">
        <v>72</v>
      </c>
      <c r="E5" s="10">
        <v>176.69999694824219</v>
      </c>
      <c r="F5" s="10"/>
      <c r="G5" s="10" t="s">
        <v>49</v>
      </c>
      <c r="H5" s="10">
        <v>290</v>
      </c>
      <c r="I5" s="10"/>
      <c r="J5" s="10" t="s">
        <v>72</v>
      </c>
      <c r="K5" s="10">
        <v>186.5</v>
      </c>
    </row>
    <row r="6" spans="1:11" x14ac:dyDescent="0.25">
      <c r="A6" s="10" t="s">
        <v>50</v>
      </c>
      <c r="B6" s="10">
        <v>392.9</v>
      </c>
      <c r="C6" s="10"/>
      <c r="D6" s="10" t="s">
        <v>62</v>
      </c>
      <c r="E6" s="10">
        <v>192.80000305175781</v>
      </c>
      <c r="F6" s="10"/>
      <c r="G6" s="10" t="s">
        <v>50</v>
      </c>
      <c r="H6" s="10">
        <v>392.9</v>
      </c>
      <c r="I6" s="10"/>
      <c r="J6" s="10" t="s">
        <v>72</v>
      </c>
      <c r="K6" s="10">
        <v>196.69999694824219</v>
      </c>
    </row>
    <row r="7" spans="1:11" x14ac:dyDescent="0.25">
      <c r="A7" s="10" t="s">
        <v>51</v>
      </c>
      <c r="B7" s="10">
        <v>481</v>
      </c>
      <c r="C7" s="10"/>
      <c r="D7" s="10" t="s">
        <v>31</v>
      </c>
      <c r="E7" s="10">
        <v>235.30000305175781</v>
      </c>
      <c r="F7" s="10"/>
      <c r="G7" s="10" t="s">
        <v>51</v>
      </c>
      <c r="H7" s="10">
        <v>481</v>
      </c>
      <c r="I7" s="10"/>
      <c r="J7" s="10" t="s">
        <v>72</v>
      </c>
      <c r="K7" s="10">
        <v>213</v>
      </c>
    </row>
    <row r="8" spans="1:11" x14ac:dyDescent="0.25">
      <c r="A8" s="10" t="s">
        <v>52</v>
      </c>
      <c r="B8" s="10">
        <v>551.4</v>
      </c>
      <c r="C8" s="10"/>
      <c r="D8" s="10" t="s">
        <v>32</v>
      </c>
      <c r="E8" s="10">
        <v>265.60000610351563</v>
      </c>
      <c r="F8" s="10"/>
      <c r="G8" s="10" t="s">
        <v>52</v>
      </c>
      <c r="H8" s="10">
        <v>551.4</v>
      </c>
      <c r="I8" s="10"/>
      <c r="J8" s="10" t="s">
        <v>33</v>
      </c>
      <c r="K8" s="10">
        <v>245.89999389648438</v>
      </c>
    </row>
    <row r="9" spans="1:11" x14ac:dyDescent="0.25">
      <c r="A9" s="10" t="s">
        <v>53</v>
      </c>
      <c r="B9" s="10">
        <v>614.20000000000005</v>
      </c>
      <c r="C9" s="10"/>
      <c r="D9" s="10" t="s">
        <v>24</v>
      </c>
      <c r="E9" s="10">
        <v>273.5</v>
      </c>
      <c r="F9" s="10"/>
      <c r="G9" s="10" t="s">
        <v>53</v>
      </c>
      <c r="H9" s="10">
        <v>614.20000000000005</v>
      </c>
      <c r="I9" s="10"/>
      <c r="J9" s="10" t="s">
        <v>46</v>
      </c>
      <c r="K9" s="10">
        <v>273.5</v>
      </c>
    </row>
    <row r="10" spans="1:11" x14ac:dyDescent="0.25">
      <c r="A10" s="10" t="s">
        <v>54</v>
      </c>
      <c r="B10" s="10">
        <v>662</v>
      </c>
      <c r="C10" s="10"/>
      <c r="D10" s="10" t="s">
        <v>25</v>
      </c>
      <c r="E10" s="10">
        <v>297</v>
      </c>
      <c r="F10" s="10"/>
      <c r="G10" s="10" t="s">
        <v>54</v>
      </c>
      <c r="H10" s="10">
        <v>662</v>
      </c>
      <c r="I10" s="10"/>
      <c r="J10" s="10" t="s">
        <v>62</v>
      </c>
      <c r="K10" s="10">
        <v>284.60000610351563</v>
      </c>
    </row>
    <row r="11" spans="1:11" x14ac:dyDescent="0.25">
      <c r="A11" s="10" t="s">
        <v>55</v>
      </c>
      <c r="B11" s="10">
        <v>717.3</v>
      </c>
      <c r="C11" s="10"/>
      <c r="D11" s="10" t="s">
        <v>33</v>
      </c>
      <c r="E11" s="10">
        <v>367.10000610351563</v>
      </c>
      <c r="F11" s="10"/>
      <c r="G11" s="10" t="s">
        <v>55</v>
      </c>
      <c r="H11" s="10">
        <v>717.3</v>
      </c>
      <c r="I11" s="10"/>
      <c r="J11" s="10" t="s">
        <v>35</v>
      </c>
      <c r="K11" s="10">
        <v>316.89999389648438</v>
      </c>
    </row>
    <row r="12" spans="1:11" x14ac:dyDescent="0.25">
      <c r="A12" s="10" t="s">
        <v>56</v>
      </c>
      <c r="B12" s="10">
        <v>772.4</v>
      </c>
      <c r="C12" s="10"/>
      <c r="D12" s="10" t="s">
        <v>34</v>
      </c>
      <c r="E12" s="10">
        <v>403.20001220703125</v>
      </c>
      <c r="F12" s="10"/>
      <c r="G12" s="10" t="s">
        <v>56</v>
      </c>
      <c r="H12" s="10">
        <v>772.4</v>
      </c>
      <c r="I12" s="10"/>
      <c r="J12" s="10" t="s">
        <v>31</v>
      </c>
      <c r="K12" s="10">
        <v>364.5</v>
      </c>
    </row>
    <row r="13" spans="1:11" x14ac:dyDescent="0.25">
      <c r="A13" s="10" t="s">
        <v>57</v>
      </c>
      <c r="B13" s="10">
        <v>833</v>
      </c>
      <c r="C13" s="10"/>
      <c r="D13" s="10" t="s">
        <v>35</v>
      </c>
      <c r="E13" s="10">
        <v>455.60000610351563</v>
      </c>
      <c r="F13" s="10"/>
      <c r="G13" s="10" t="s">
        <v>57</v>
      </c>
      <c r="H13" s="10">
        <v>833</v>
      </c>
      <c r="I13" s="10"/>
      <c r="J13" s="10" t="s">
        <v>37</v>
      </c>
      <c r="K13" s="10">
        <v>407.20001220703125</v>
      </c>
    </row>
    <row r="14" spans="1:11" x14ac:dyDescent="0.25">
      <c r="A14" s="10" t="s">
        <v>70</v>
      </c>
      <c r="B14" s="10">
        <v>884.3</v>
      </c>
      <c r="C14" s="10"/>
      <c r="D14" s="10" t="s">
        <v>36</v>
      </c>
      <c r="E14" s="10">
        <v>486.20001220703125</v>
      </c>
      <c r="F14" s="10"/>
      <c r="G14" s="10" t="s">
        <v>70</v>
      </c>
      <c r="H14" s="10">
        <v>884.3</v>
      </c>
      <c r="I14" s="10"/>
      <c r="J14" s="10" t="s">
        <v>25</v>
      </c>
      <c r="K14" s="10">
        <v>466.10000610351563</v>
      </c>
    </row>
    <row r="15" spans="1:11" x14ac:dyDescent="0.25">
      <c r="A15" s="10" t="s">
        <v>71</v>
      </c>
      <c r="B15" s="10">
        <v>951.7</v>
      </c>
      <c r="C15" s="10"/>
      <c r="D15" s="10" t="s">
        <v>37</v>
      </c>
      <c r="E15" s="10">
        <v>529.79998779296875</v>
      </c>
      <c r="F15" s="10"/>
      <c r="G15" s="10" t="s">
        <v>71</v>
      </c>
      <c r="H15" s="10">
        <v>951.7</v>
      </c>
      <c r="I15" s="10"/>
      <c r="J15" s="10" t="s">
        <v>39</v>
      </c>
      <c r="K15" s="10">
        <v>494.39999389648438</v>
      </c>
    </row>
    <row r="16" spans="1:11" x14ac:dyDescent="0.25">
      <c r="A16" s="10"/>
      <c r="B16" s="10"/>
      <c r="C16" s="10"/>
      <c r="D16" s="10" t="s">
        <v>38</v>
      </c>
      <c r="E16" s="10">
        <v>563.9000244140625</v>
      </c>
      <c r="F16" s="10"/>
      <c r="G16" s="10"/>
      <c r="H16" s="10"/>
      <c r="I16" s="10"/>
      <c r="J16" s="10" t="s">
        <v>34</v>
      </c>
      <c r="K16" s="10">
        <v>534.29998779296875</v>
      </c>
    </row>
    <row r="17" spans="1:11" x14ac:dyDescent="0.25">
      <c r="A17" s="10"/>
      <c r="B17" s="10"/>
      <c r="C17" s="10"/>
      <c r="D17" s="10" t="s">
        <v>39</v>
      </c>
      <c r="E17" s="10">
        <v>598.29998779296875</v>
      </c>
      <c r="F17" s="10"/>
      <c r="G17" s="10"/>
      <c r="H17" s="10"/>
      <c r="I17" s="10"/>
      <c r="J17" s="10" t="s">
        <v>41</v>
      </c>
      <c r="K17" s="10">
        <v>563.4000244140625</v>
      </c>
    </row>
    <row r="18" spans="1:11" x14ac:dyDescent="0.25">
      <c r="A18" s="10"/>
      <c r="B18" s="10"/>
      <c r="C18" s="10"/>
      <c r="D18" s="10" t="s">
        <v>40</v>
      </c>
      <c r="E18" s="10">
        <v>618.20001220703125</v>
      </c>
      <c r="F18" s="10"/>
      <c r="G18" s="10"/>
      <c r="H18" s="10"/>
      <c r="I18" s="10"/>
      <c r="J18" s="10" t="s">
        <v>36</v>
      </c>
      <c r="K18" s="10">
        <v>600.70001220703125</v>
      </c>
    </row>
    <row r="19" spans="1:11" x14ac:dyDescent="0.25">
      <c r="A19" s="10"/>
      <c r="B19" s="10"/>
      <c r="C19" s="10"/>
      <c r="D19" s="10" t="s">
        <v>41</v>
      </c>
      <c r="E19" s="10">
        <v>647.5</v>
      </c>
      <c r="F19" s="10"/>
      <c r="G19" s="10"/>
      <c r="H19" s="10"/>
      <c r="I19" s="10"/>
      <c r="J19" s="10" t="s">
        <v>26</v>
      </c>
      <c r="K19" s="10">
        <v>626</v>
      </c>
    </row>
    <row r="20" spans="1:11" x14ac:dyDescent="0.25">
      <c r="A20" s="10"/>
      <c r="B20" s="10"/>
      <c r="C20" s="10"/>
      <c r="D20" s="10" t="s">
        <v>42</v>
      </c>
      <c r="E20" s="10">
        <v>681.20001220703125</v>
      </c>
      <c r="F20" s="10"/>
      <c r="G20" s="10"/>
      <c r="H20" s="10"/>
      <c r="I20" s="10"/>
      <c r="J20" s="10" t="s">
        <v>38</v>
      </c>
      <c r="K20" s="10">
        <v>657.0999755859375</v>
      </c>
    </row>
    <row r="21" spans="1:11" x14ac:dyDescent="0.25">
      <c r="A21" s="10"/>
      <c r="B21" s="10"/>
      <c r="C21" s="10"/>
      <c r="D21" s="10" t="s">
        <v>26</v>
      </c>
      <c r="E21" s="10">
        <v>717.70001220703125</v>
      </c>
      <c r="F21" s="10"/>
      <c r="G21" s="10"/>
      <c r="H21" s="10"/>
      <c r="I21" s="10"/>
      <c r="J21" s="10" t="s">
        <v>28</v>
      </c>
      <c r="K21" s="10">
        <v>682.0999755859375</v>
      </c>
    </row>
    <row r="22" spans="1:11" x14ac:dyDescent="0.25">
      <c r="D22" t="s">
        <v>27</v>
      </c>
      <c r="E22">
        <v>726.20001220703125</v>
      </c>
      <c r="J22" t="s">
        <v>40</v>
      </c>
      <c r="K22">
        <v>707.5999755859375</v>
      </c>
    </row>
    <row r="23" spans="1:11" x14ac:dyDescent="0.25">
      <c r="D23" t="s">
        <v>28</v>
      </c>
      <c r="E23">
        <v>763.20001220703125</v>
      </c>
      <c r="J23" t="s">
        <v>45</v>
      </c>
      <c r="K23">
        <v>734</v>
      </c>
    </row>
    <row r="24" spans="1:11" x14ac:dyDescent="0.25">
      <c r="D24" t="s">
        <v>29</v>
      </c>
      <c r="E24">
        <v>769.5999755859375</v>
      </c>
      <c r="J24" t="s">
        <v>42</v>
      </c>
      <c r="K24">
        <v>765.9000244140625</v>
      </c>
    </row>
    <row r="25" spans="1:11" x14ac:dyDescent="0.25">
      <c r="D25" t="s">
        <v>43</v>
      </c>
      <c r="E25">
        <v>793.0999755859375</v>
      </c>
      <c r="J25" t="s">
        <v>27</v>
      </c>
      <c r="K25">
        <v>791.5999755859375</v>
      </c>
    </row>
    <row r="26" spans="1:11" x14ac:dyDescent="0.25">
      <c r="D26" t="s">
        <v>45</v>
      </c>
      <c r="E26">
        <v>821.5999755859375</v>
      </c>
      <c r="J26" t="s">
        <v>30</v>
      </c>
      <c r="K26">
        <v>802.4000244140625</v>
      </c>
    </row>
    <row r="27" spans="1:11" x14ac:dyDescent="0.25">
      <c r="D27" t="s">
        <v>72</v>
      </c>
      <c r="E27">
        <v>837.5999755859375</v>
      </c>
      <c r="J27" t="s">
        <v>63</v>
      </c>
      <c r="K27">
        <v>829.29998779296875</v>
      </c>
    </row>
    <row r="28" spans="1:11" x14ac:dyDescent="0.25">
      <c r="D28" t="s">
        <v>72</v>
      </c>
      <c r="E28">
        <v>877.70001220703125</v>
      </c>
      <c r="J28" t="s">
        <v>72</v>
      </c>
      <c r="K28">
        <v>852.79998779296875</v>
      </c>
    </row>
    <row r="29" spans="1:11" x14ac:dyDescent="0.25">
      <c r="D29" t="s">
        <v>72</v>
      </c>
      <c r="E29">
        <v>884.29998779296875</v>
      </c>
      <c r="J29" t="s">
        <v>72</v>
      </c>
      <c r="K29">
        <v>876.5</v>
      </c>
    </row>
    <row r="30" spans="1:11" x14ac:dyDescent="0.25">
      <c r="D30" t="s">
        <v>72</v>
      </c>
      <c r="E30">
        <v>900.5</v>
      </c>
      <c r="J30" t="s">
        <v>72</v>
      </c>
      <c r="K30">
        <v>884.29998779296875</v>
      </c>
    </row>
    <row r="31" spans="1:11" x14ac:dyDescent="0.25">
      <c r="D31" t="s">
        <v>72</v>
      </c>
      <c r="E31">
        <v>919.5999755859375</v>
      </c>
      <c r="J31" t="s">
        <v>72</v>
      </c>
      <c r="K31">
        <v>902.79998779296875</v>
      </c>
    </row>
    <row r="32" spans="1:11" x14ac:dyDescent="0.25">
      <c r="D32" t="s">
        <v>72</v>
      </c>
      <c r="E32">
        <v>946.5999755859375</v>
      </c>
      <c r="J32" t="s">
        <v>72</v>
      </c>
      <c r="K32">
        <v>925.0999755859375</v>
      </c>
    </row>
    <row r="33" spans="10:11" x14ac:dyDescent="0.25">
      <c r="J33" t="s">
        <v>72</v>
      </c>
      <c r="K33">
        <v>945.5999755859375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zoomScale="115" zoomScaleNormal="115" workbookViewId="0">
      <selection activeCell="F26" sqref="F26"/>
    </sheetView>
  </sheetViews>
  <sheetFormatPr defaultRowHeight="15" x14ac:dyDescent="0.25"/>
  <cols>
    <col min="1" max="1" width="5.28515625" customWidth="1"/>
    <col min="2" max="2" width="16" bestFit="1" customWidth="1"/>
    <col min="3" max="3" width="7.42578125" customWidth="1"/>
    <col min="4" max="4" width="6.85546875" customWidth="1"/>
  </cols>
  <sheetData>
    <row r="1" spans="1:6" ht="15.75" x14ac:dyDescent="0.25">
      <c r="A1" s="13">
        <v>31</v>
      </c>
      <c r="B1" s="12" t="s">
        <v>33</v>
      </c>
      <c r="C1">
        <v>367.1</v>
      </c>
      <c r="D1">
        <v>379.5</v>
      </c>
      <c r="E1">
        <f>(D1-C1)*100</f>
        <v>1239.9999999999977</v>
      </c>
      <c r="F1">
        <v>3</v>
      </c>
    </row>
    <row r="2" spans="1:6" ht="15.75" x14ac:dyDescent="0.25">
      <c r="A2" s="13">
        <v>33</v>
      </c>
      <c r="B2" s="11" t="s">
        <v>34</v>
      </c>
      <c r="C2">
        <v>399.4</v>
      </c>
      <c r="D2">
        <v>403.2</v>
      </c>
      <c r="E2">
        <f t="shared" ref="E2:E25" si="0">(D2-C2)*100</f>
        <v>380.00000000000114</v>
      </c>
      <c r="F2">
        <v>3</v>
      </c>
    </row>
    <row r="3" spans="1:6" ht="15.75" x14ac:dyDescent="0.25">
      <c r="A3" s="13">
        <v>35</v>
      </c>
      <c r="B3" s="12" t="s">
        <v>35</v>
      </c>
      <c r="C3">
        <v>455.6</v>
      </c>
      <c r="D3">
        <v>468.6</v>
      </c>
      <c r="E3">
        <f t="shared" si="0"/>
        <v>1300</v>
      </c>
      <c r="F3">
        <v>3</v>
      </c>
    </row>
    <row r="4" spans="1:6" ht="15.75" x14ac:dyDescent="0.25">
      <c r="A4" s="13">
        <v>37</v>
      </c>
      <c r="B4" s="11" t="s">
        <v>36</v>
      </c>
      <c r="C4">
        <v>482.3</v>
      </c>
      <c r="D4">
        <v>486.3</v>
      </c>
      <c r="E4">
        <f t="shared" si="0"/>
        <v>400</v>
      </c>
      <c r="F4">
        <v>3</v>
      </c>
    </row>
    <row r="5" spans="1:6" ht="15.75" x14ac:dyDescent="0.25">
      <c r="A5" s="13">
        <v>39</v>
      </c>
      <c r="B5" s="12" t="s">
        <v>37</v>
      </c>
      <c r="C5">
        <v>529.79999999999995</v>
      </c>
      <c r="D5">
        <v>545.70000000000005</v>
      </c>
      <c r="E5">
        <v>1500</v>
      </c>
      <c r="F5">
        <v>3</v>
      </c>
    </row>
    <row r="6" spans="1:6" ht="15.75" x14ac:dyDescent="0.25">
      <c r="A6" s="13">
        <v>41</v>
      </c>
      <c r="B6" s="11" t="s">
        <v>38</v>
      </c>
      <c r="C6">
        <v>560.20000000000005</v>
      </c>
      <c r="D6">
        <v>563.70000000000005</v>
      </c>
      <c r="E6">
        <f t="shared" si="0"/>
        <v>350</v>
      </c>
      <c r="F6">
        <v>3</v>
      </c>
    </row>
    <row r="7" spans="1:6" ht="15.75" x14ac:dyDescent="0.25">
      <c r="A7" s="13">
        <v>43</v>
      </c>
      <c r="B7" s="12" t="s">
        <v>39</v>
      </c>
      <c r="C7">
        <v>598.20000000000005</v>
      </c>
      <c r="D7">
        <v>615.20000000000005</v>
      </c>
      <c r="E7">
        <v>1500</v>
      </c>
      <c r="F7">
        <v>3</v>
      </c>
    </row>
    <row r="8" spans="1:6" ht="15.75" x14ac:dyDescent="0.25">
      <c r="A8" s="13">
        <v>45</v>
      </c>
      <c r="B8" s="11" t="s">
        <v>40</v>
      </c>
      <c r="C8">
        <v>615.20000000000005</v>
      </c>
      <c r="D8">
        <v>618.20000000000005</v>
      </c>
      <c r="E8">
        <f t="shared" si="0"/>
        <v>300</v>
      </c>
      <c r="F8">
        <v>4</v>
      </c>
    </row>
    <row r="9" spans="1:6" ht="15.75" x14ac:dyDescent="0.25">
      <c r="A9" s="13">
        <v>47</v>
      </c>
      <c r="B9" s="12" t="s">
        <v>41</v>
      </c>
      <c r="C9">
        <v>647.5</v>
      </c>
      <c r="D9">
        <v>659.5</v>
      </c>
      <c r="E9">
        <f t="shared" si="0"/>
        <v>1200</v>
      </c>
      <c r="F9">
        <v>4</v>
      </c>
    </row>
    <row r="10" spans="1:6" ht="15.75" x14ac:dyDescent="0.25">
      <c r="A10" s="13">
        <v>49</v>
      </c>
      <c r="B10" s="11" t="s">
        <v>42</v>
      </c>
      <c r="C10">
        <v>679.5</v>
      </c>
      <c r="D10">
        <v>681.2</v>
      </c>
      <c r="E10">
        <f t="shared" si="0"/>
        <v>170.00000000000455</v>
      </c>
      <c r="F10">
        <v>4</v>
      </c>
    </row>
    <row r="11" spans="1:6" ht="15.75" x14ac:dyDescent="0.25">
      <c r="A11" s="13"/>
      <c r="B11" s="12"/>
    </row>
    <row r="12" spans="1:6" ht="15.75" x14ac:dyDescent="0.25">
      <c r="A12" s="13">
        <v>51</v>
      </c>
      <c r="B12" s="12" t="s">
        <v>42</v>
      </c>
      <c r="C12">
        <v>765.9</v>
      </c>
      <c r="D12">
        <v>769.4</v>
      </c>
      <c r="E12">
        <f t="shared" si="0"/>
        <v>350</v>
      </c>
      <c r="F12">
        <v>4</v>
      </c>
    </row>
    <row r="13" spans="1:6" ht="15.75" x14ac:dyDescent="0.25">
      <c r="A13" s="13">
        <v>53</v>
      </c>
      <c r="B13" s="14" t="s">
        <v>45</v>
      </c>
      <c r="C13">
        <v>718.9</v>
      </c>
      <c r="D13">
        <v>734</v>
      </c>
      <c r="E13">
        <v>1500</v>
      </c>
      <c r="F13">
        <v>4</v>
      </c>
    </row>
    <row r="14" spans="1:6" ht="15.75" x14ac:dyDescent="0.25">
      <c r="A14" s="13">
        <v>55</v>
      </c>
      <c r="B14" s="12" t="s">
        <v>40</v>
      </c>
      <c r="C14">
        <v>707.6</v>
      </c>
      <c r="D14">
        <v>709.6</v>
      </c>
      <c r="E14">
        <f t="shared" si="0"/>
        <v>200</v>
      </c>
      <c r="F14">
        <v>4</v>
      </c>
    </row>
    <row r="15" spans="1:6" ht="15.75" x14ac:dyDescent="0.25">
      <c r="A15" s="13">
        <v>57</v>
      </c>
      <c r="B15" s="14" t="s">
        <v>28</v>
      </c>
      <c r="C15">
        <v>673.5</v>
      </c>
      <c r="D15">
        <v>682</v>
      </c>
      <c r="E15">
        <f t="shared" si="0"/>
        <v>850</v>
      </c>
      <c r="F15">
        <v>4</v>
      </c>
    </row>
    <row r="16" spans="1:6" ht="15.75" x14ac:dyDescent="0.25">
      <c r="A16" s="13">
        <v>59</v>
      </c>
      <c r="B16" s="12" t="s">
        <v>38</v>
      </c>
      <c r="C16">
        <v>657.1</v>
      </c>
      <c r="D16">
        <v>660.9</v>
      </c>
      <c r="E16">
        <f t="shared" si="0"/>
        <v>379.99999999999545</v>
      </c>
      <c r="F16">
        <v>4</v>
      </c>
    </row>
    <row r="17" spans="1:6" ht="15.75" x14ac:dyDescent="0.25">
      <c r="A17" s="13">
        <v>61</v>
      </c>
      <c r="B17" s="14" t="s">
        <v>26</v>
      </c>
      <c r="C17">
        <v>615</v>
      </c>
      <c r="D17">
        <v>625.9</v>
      </c>
      <c r="E17">
        <f t="shared" si="0"/>
        <v>1089.9999999999977</v>
      </c>
      <c r="F17">
        <v>4</v>
      </c>
    </row>
    <row r="18" spans="1:6" ht="15.75" x14ac:dyDescent="0.25">
      <c r="A18" s="13">
        <v>65</v>
      </c>
      <c r="B18" s="14" t="s">
        <v>41</v>
      </c>
      <c r="C18">
        <v>547.1</v>
      </c>
      <c r="D18">
        <v>563.20000000000005</v>
      </c>
      <c r="E18">
        <v>1500</v>
      </c>
      <c r="F18">
        <v>3</v>
      </c>
    </row>
    <row r="19" spans="1:6" ht="15.75" x14ac:dyDescent="0.25">
      <c r="A19" s="13">
        <v>67</v>
      </c>
      <c r="B19" s="12" t="s">
        <v>34</v>
      </c>
      <c r="C19">
        <v>534.20000000000005</v>
      </c>
      <c r="D19">
        <v>537.6</v>
      </c>
      <c r="E19">
        <f t="shared" si="0"/>
        <v>339.99999999999773</v>
      </c>
      <c r="F19">
        <v>3</v>
      </c>
    </row>
    <row r="20" spans="1:6" ht="15.75" x14ac:dyDescent="0.25">
      <c r="A20" s="13">
        <v>69</v>
      </c>
      <c r="B20" s="14" t="s">
        <v>39</v>
      </c>
      <c r="C20">
        <v>482.2</v>
      </c>
      <c r="D20">
        <v>494.4</v>
      </c>
      <c r="E20">
        <f t="shared" si="0"/>
        <v>1219.9999999999989</v>
      </c>
      <c r="F20">
        <v>3</v>
      </c>
    </row>
    <row r="21" spans="1:6" ht="15.75" x14ac:dyDescent="0.25">
      <c r="A21" s="13">
        <v>71</v>
      </c>
      <c r="B21" s="12" t="s">
        <v>25</v>
      </c>
      <c r="C21">
        <v>466.1</v>
      </c>
      <c r="D21">
        <v>469.7</v>
      </c>
      <c r="E21">
        <f t="shared" si="0"/>
        <v>359.99999999999659</v>
      </c>
      <c r="F21">
        <v>3</v>
      </c>
    </row>
    <row r="22" spans="1:6" ht="15.75" x14ac:dyDescent="0.25">
      <c r="A22" s="13">
        <v>73</v>
      </c>
      <c r="B22" s="14" t="s">
        <v>37</v>
      </c>
      <c r="C22">
        <v>394.1</v>
      </c>
      <c r="D22">
        <v>407.1</v>
      </c>
      <c r="E22">
        <f t="shared" si="0"/>
        <v>1300</v>
      </c>
      <c r="F22">
        <v>3</v>
      </c>
    </row>
    <row r="23" spans="1:6" ht="15.75" x14ac:dyDescent="0.25">
      <c r="A23" s="13">
        <v>75</v>
      </c>
      <c r="B23" s="12" t="s">
        <v>31</v>
      </c>
      <c r="C23">
        <v>364.6</v>
      </c>
      <c r="D23">
        <v>368</v>
      </c>
      <c r="E23">
        <f t="shared" si="0"/>
        <v>339.99999999999773</v>
      </c>
      <c r="F23">
        <v>3</v>
      </c>
    </row>
    <row r="24" spans="1:6" ht="15.75" x14ac:dyDescent="0.25">
      <c r="A24" s="13">
        <v>77</v>
      </c>
      <c r="B24" s="14" t="s">
        <v>35</v>
      </c>
      <c r="C24">
        <v>302.5</v>
      </c>
      <c r="D24">
        <v>317</v>
      </c>
      <c r="E24">
        <f t="shared" si="0"/>
        <v>1450</v>
      </c>
      <c r="F24">
        <v>3</v>
      </c>
    </row>
    <row r="25" spans="1:6" ht="15.75" x14ac:dyDescent="0.25">
      <c r="A25" s="13">
        <v>79</v>
      </c>
      <c r="B25" s="14" t="s">
        <v>62</v>
      </c>
      <c r="C25">
        <v>283.60000000000002</v>
      </c>
      <c r="D25">
        <v>285.5</v>
      </c>
      <c r="E25">
        <f t="shared" si="0"/>
        <v>189.99999999999773</v>
      </c>
      <c r="F25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Inputs</vt:lpstr>
      <vt:lpstr>Station Number</vt:lpstr>
      <vt:lpstr>LALD Length</vt:lpstr>
      <vt:lpstr>Inputs!Print_Area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bhargavi</dc:creator>
  <cp:lastModifiedBy>Y. Jeremy Dai</cp:lastModifiedBy>
  <cp:lastPrinted>2017-01-30T19:14:21Z</cp:lastPrinted>
  <dcterms:created xsi:type="dcterms:W3CDTF">2016-05-04T14:47:11Z</dcterms:created>
  <dcterms:modified xsi:type="dcterms:W3CDTF">2017-04-05T18:30:26Z</dcterms:modified>
</cp:coreProperties>
</file>