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2.xml" ContentType="application/vnd.openxmlformats-officedocument.drawing+xml"/>
  <Override PartName="/xl/ctrlProps/ctrlProp10.xml" ContentType="application/vnd.ms-excel.controlproperties+xml"/>
  <Override PartName="/xl/drawings/drawing3.xml" ContentType="application/vnd.openxmlformats-officedocument.drawing+xml"/>
  <Override PartName="/xl/ctrlProps/ctrlProp11.xml" ContentType="application/vnd.ms-excel.controlproperties+xml"/>
  <Override PartName="/xl/ctrlProps/ctrlProp12.xml" ContentType="application/vnd.ms-excel.controlproperties+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codeName="ThisWorkbook"/>
  <mc:AlternateContent xmlns:mc="http://schemas.openxmlformats.org/markup-compatibility/2006">
    <mc:Choice Requires="x15">
      <x15ac:absPath xmlns:x15ac="http://schemas.microsoft.com/office/spreadsheetml/2010/11/ac" url="C:\Users\jeremy\Google Drive\AIA\Excel\"/>
    </mc:Choice>
  </mc:AlternateContent>
  <bookViews>
    <workbookView xWindow="0" yWindow="0" windowWidth="28800" windowHeight="12210" tabRatio="828" xr2:uid="{00000000-000D-0000-FFFF-FFFF00000000}"/>
  </bookViews>
  <sheets>
    <sheet name="Step 1_Lanes" sheetId="1" r:id="rId1"/>
    <sheet name="Step 2_Volumes" sheetId="3" r:id="rId2"/>
    <sheet name="Warrant 1" sheetId="4" r:id="rId3"/>
    <sheet name="Warrant 2" sheetId="5" r:id="rId4"/>
    <sheet name="Warrant 3" sheetId="6" r:id="rId5"/>
    <sheet name="Warrant 4" sheetId="7" r:id="rId6"/>
    <sheet name="Warrant 56789" sheetId="8" r:id="rId7"/>
    <sheet name="Choice" sheetId="2" r:id="rId8"/>
  </sheets>
  <definedNames>
    <definedName name="PlaceM" localSheetId="7">Choice!$O$4</definedName>
  </definedName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8" i="7" l="1"/>
  <c r="Q17" i="7"/>
  <c r="R17" i="7"/>
  <c r="Q18" i="7"/>
  <c r="Q19" i="7"/>
  <c r="R19" i="7"/>
  <c r="R16" i="7"/>
  <c r="Q16" i="7"/>
  <c r="B26" i="5"/>
  <c r="B24" i="5"/>
  <c r="C24" i="5"/>
  <c r="B25" i="5"/>
  <c r="C25" i="5"/>
  <c r="C26" i="5"/>
  <c r="S51" i="3"/>
  <c r="S40" i="3"/>
  <c r="S41" i="3"/>
  <c r="S42" i="3"/>
  <c r="S43" i="3"/>
  <c r="S44" i="3"/>
  <c r="S45" i="3"/>
  <c r="S46" i="3"/>
  <c r="S47" i="3"/>
  <c r="S48" i="3"/>
  <c r="S49" i="3"/>
  <c r="S50" i="3"/>
  <c r="S52" i="3"/>
  <c r="S53" i="3"/>
  <c r="S54" i="3"/>
  <c r="S55" i="3"/>
  <c r="S56" i="3"/>
  <c r="S57" i="3"/>
  <c r="S58" i="3"/>
  <c r="S59" i="3"/>
  <c r="S60" i="3"/>
  <c r="S61" i="3"/>
  <c r="S62" i="3"/>
  <c r="S39" i="3"/>
  <c r="B9" i="5"/>
  <c r="B7" i="5"/>
  <c r="C7" i="5"/>
  <c r="B8" i="5"/>
  <c r="C8"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H3" i="5"/>
  <c r="H4" i="5"/>
  <c r="H19" i="7"/>
  <c r="N21" i="2"/>
  <c r="M21" i="2"/>
  <c r="C5" i="7"/>
  <c r="C6" i="7"/>
  <c r="C7" i="7"/>
  <c r="C8" i="7"/>
  <c r="C9" i="7"/>
  <c r="C10" i="7"/>
  <c r="C11" i="7"/>
  <c r="C12" i="7"/>
  <c r="C13" i="7"/>
  <c r="C14" i="7"/>
  <c r="C15" i="7"/>
  <c r="C16" i="7"/>
  <c r="C17" i="7"/>
  <c r="C18" i="7"/>
  <c r="C19" i="7"/>
  <c r="C20" i="7"/>
  <c r="C21" i="7"/>
  <c r="C22" i="7"/>
  <c r="C23" i="7"/>
  <c r="C24" i="7"/>
  <c r="C25" i="7"/>
  <c r="C26" i="7"/>
  <c r="C27" i="7"/>
  <c r="C28" i="7"/>
  <c r="B5" i="7"/>
  <c r="B6" i="7"/>
  <c r="B7" i="7"/>
  <c r="B8" i="7"/>
  <c r="D5" i="7"/>
  <c r="D6" i="7"/>
  <c r="D7" i="7"/>
  <c r="D8" i="7"/>
  <c r="B9" i="7"/>
  <c r="D9" i="7"/>
  <c r="B10" i="7"/>
  <c r="D10" i="7"/>
  <c r="B11" i="7"/>
  <c r="D11" i="7"/>
  <c r="B12" i="7"/>
  <c r="D12" i="7"/>
  <c r="B13" i="7"/>
  <c r="D13" i="7"/>
  <c r="B14" i="7"/>
  <c r="D14" i="7"/>
  <c r="B15" i="7"/>
  <c r="D15" i="7"/>
  <c r="B16" i="7"/>
  <c r="D16" i="7"/>
  <c r="B17" i="7"/>
  <c r="D17" i="7"/>
  <c r="B18" i="7"/>
  <c r="D18" i="7"/>
  <c r="B19" i="7"/>
  <c r="D19" i="7"/>
  <c r="B20" i="7"/>
  <c r="D20" i="7"/>
  <c r="B21" i="7"/>
  <c r="D21" i="7"/>
  <c r="B22" i="7"/>
  <c r="D22" i="7"/>
  <c r="B23" i="7"/>
  <c r="D23" i="7"/>
  <c r="B24" i="7"/>
  <c r="D24" i="7"/>
  <c r="B25" i="7"/>
  <c r="D25" i="7"/>
  <c r="B26" i="7"/>
  <c r="D26" i="7"/>
  <c r="B27" i="7"/>
  <c r="D27" i="7"/>
  <c r="B28" i="7"/>
  <c r="D28" i="7"/>
  <c r="U29" i="3"/>
  <c r="B24" i="2"/>
  <c r="D24" i="2"/>
  <c r="K32" i="3"/>
  <c r="U7" i="3"/>
  <c r="U8" i="3"/>
  <c r="U9" i="3"/>
  <c r="U10" i="3"/>
  <c r="U11" i="3"/>
  <c r="U12" i="3"/>
  <c r="U13" i="3"/>
  <c r="U14" i="3"/>
  <c r="U15" i="3"/>
  <c r="U16" i="3"/>
  <c r="U17" i="3"/>
  <c r="U18" i="3"/>
  <c r="U19" i="3"/>
  <c r="U20" i="3"/>
  <c r="U21" i="3"/>
  <c r="U22" i="3"/>
  <c r="U23" i="3"/>
  <c r="U24" i="3"/>
  <c r="U25" i="3"/>
  <c r="U26" i="3"/>
  <c r="U27" i="3"/>
  <c r="U28" i="3"/>
  <c r="U6" i="3"/>
  <c r="T3" i="3"/>
  <c r="T4" i="3"/>
  <c r="S4" i="3"/>
  <c r="B40" i="3"/>
  <c r="C40" i="3"/>
  <c r="D40" i="3"/>
  <c r="E40" i="3"/>
  <c r="T40" i="3"/>
  <c r="F40" i="3"/>
  <c r="G40" i="3"/>
  <c r="H40" i="3"/>
  <c r="I40" i="3"/>
  <c r="U40" i="3"/>
  <c r="X40" i="3"/>
  <c r="B41" i="3"/>
  <c r="C41" i="3"/>
  <c r="D41" i="3"/>
  <c r="E41" i="3"/>
  <c r="T41" i="3"/>
  <c r="F41" i="3"/>
  <c r="G41" i="3"/>
  <c r="H41" i="3"/>
  <c r="I41" i="3"/>
  <c r="U41" i="3"/>
  <c r="X41" i="3"/>
  <c r="B42" i="3"/>
  <c r="C42" i="3"/>
  <c r="D42" i="3"/>
  <c r="E42" i="3"/>
  <c r="T42" i="3"/>
  <c r="F42" i="3"/>
  <c r="G42" i="3"/>
  <c r="H42" i="3"/>
  <c r="I42" i="3"/>
  <c r="U42" i="3"/>
  <c r="X42" i="3"/>
  <c r="B43" i="3"/>
  <c r="C43" i="3"/>
  <c r="D43" i="3"/>
  <c r="E43" i="3"/>
  <c r="T43" i="3"/>
  <c r="F43" i="3"/>
  <c r="G43" i="3"/>
  <c r="H43" i="3"/>
  <c r="I43" i="3"/>
  <c r="U43" i="3"/>
  <c r="X43" i="3"/>
  <c r="B44" i="3"/>
  <c r="C44" i="3"/>
  <c r="D44" i="3"/>
  <c r="E44" i="3"/>
  <c r="T44" i="3"/>
  <c r="F44" i="3"/>
  <c r="G44" i="3"/>
  <c r="H44" i="3"/>
  <c r="I44" i="3"/>
  <c r="U44" i="3"/>
  <c r="X44" i="3"/>
  <c r="B45" i="3"/>
  <c r="C45" i="3"/>
  <c r="D45" i="3"/>
  <c r="E45" i="3"/>
  <c r="T45" i="3"/>
  <c r="F45" i="3"/>
  <c r="G45" i="3"/>
  <c r="H45" i="3"/>
  <c r="I45" i="3"/>
  <c r="U45" i="3"/>
  <c r="X45" i="3"/>
  <c r="B46" i="3"/>
  <c r="C46" i="3"/>
  <c r="D46" i="3"/>
  <c r="E46" i="3"/>
  <c r="T46" i="3"/>
  <c r="F46" i="3"/>
  <c r="G46" i="3"/>
  <c r="H46" i="3"/>
  <c r="I46" i="3"/>
  <c r="U46" i="3"/>
  <c r="X46" i="3"/>
  <c r="B47" i="3"/>
  <c r="C47" i="3"/>
  <c r="D47" i="3"/>
  <c r="E47" i="3"/>
  <c r="T47" i="3"/>
  <c r="F47" i="3"/>
  <c r="G47" i="3"/>
  <c r="H47" i="3"/>
  <c r="I47" i="3"/>
  <c r="U47" i="3"/>
  <c r="X47" i="3"/>
  <c r="B48" i="3"/>
  <c r="C48" i="3"/>
  <c r="D48" i="3"/>
  <c r="E48" i="3"/>
  <c r="T48" i="3"/>
  <c r="F48" i="3"/>
  <c r="G48" i="3"/>
  <c r="H48" i="3"/>
  <c r="I48" i="3"/>
  <c r="U48" i="3"/>
  <c r="X48" i="3"/>
  <c r="B49" i="3"/>
  <c r="C49" i="3"/>
  <c r="D49" i="3"/>
  <c r="E49" i="3"/>
  <c r="T49" i="3"/>
  <c r="F49" i="3"/>
  <c r="G49" i="3"/>
  <c r="H49" i="3"/>
  <c r="I49" i="3"/>
  <c r="U49" i="3"/>
  <c r="X49" i="3"/>
  <c r="B50" i="3"/>
  <c r="C50" i="3"/>
  <c r="D50" i="3"/>
  <c r="E50" i="3"/>
  <c r="T50" i="3"/>
  <c r="F50" i="3"/>
  <c r="G50" i="3"/>
  <c r="H50" i="3"/>
  <c r="I50" i="3"/>
  <c r="U50" i="3"/>
  <c r="X50" i="3"/>
  <c r="B51" i="3"/>
  <c r="C51" i="3"/>
  <c r="D51" i="3"/>
  <c r="E51" i="3"/>
  <c r="T51" i="3"/>
  <c r="F51" i="3"/>
  <c r="G51" i="3"/>
  <c r="H51" i="3"/>
  <c r="I51" i="3"/>
  <c r="U51" i="3"/>
  <c r="X51" i="3"/>
  <c r="B52" i="3"/>
  <c r="C52" i="3"/>
  <c r="D52" i="3"/>
  <c r="E52" i="3"/>
  <c r="T52" i="3"/>
  <c r="F52" i="3"/>
  <c r="G52" i="3"/>
  <c r="H52" i="3"/>
  <c r="I52" i="3"/>
  <c r="U52" i="3"/>
  <c r="X52" i="3"/>
  <c r="B53" i="3"/>
  <c r="C53" i="3"/>
  <c r="D53" i="3"/>
  <c r="E53" i="3"/>
  <c r="T53" i="3"/>
  <c r="F53" i="3"/>
  <c r="G53" i="3"/>
  <c r="H53" i="3"/>
  <c r="I53" i="3"/>
  <c r="U53" i="3"/>
  <c r="X53" i="3"/>
  <c r="B54" i="3"/>
  <c r="C54" i="3"/>
  <c r="D54" i="3"/>
  <c r="E54" i="3"/>
  <c r="T54" i="3"/>
  <c r="F54" i="3"/>
  <c r="G54" i="3"/>
  <c r="H54" i="3"/>
  <c r="I54" i="3"/>
  <c r="U54" i="3"/>
  <c r="X54" i="3"/>
  <c r="B55" i="3"/>
  <c r="C55" i="3"/>
  <c r="D55" i="3"/>
  <c r="E55" i="3"/>
  <c r="T55" i="3"/>
  <c r="F55" i="3"/>
  <c r="G55" i="3"/>
  <c r="H55" i="3"/>
  <c r="I55" i="3"/>
  <c r="U55" i="3"/>
  <c r="X55" i="3"/>
  <c r="B56" i="3"/>
  <c r="C56" i="3"/>
  <c r="D56" i="3"/>
  <c r="E56" i="3"/>
  <c r="T56" i="3"/>
  <c r="F56" i="3"/>
  <c r="G56" i="3"/>
  <c r="H56" i="3"/>
  <c r="I56" i="3"/>
  <c r="U56" i="3"/>
  <c r="X56" i="3"/>
  <c r="B57" i="3"/>
  <c r="C57" i="3"/>
  <c r="D57" i="3"/>
  <c r="E57" i="3"/>
  <c r="T57" i="3"/>
  <c r="F57" i="3"/>
  <c r="G57" i="3"/>
  <c r="H57" i="3"/>
  <c r="I57" i="3"/>
  <c r="U57" i="3"/>
  <c r="X57" i="3"/>
  <c r="B58" i="3"/>
  <c r="C58" i="3"/>
  <c r="D58" i="3"/>
  <c r="E58" i="3"/>
  <c r="T58" i="3"/>
  <c r="F58" i="3"/>
  <c r="G58" i="3"/>
  <c r="H58" i="3"/>
  <c r="I58" i="3"/>
  <c r="U58" i="3"/>
  <c r="X58" i="3"/>
  <c r="B59" i="3"/>
  <c r="C59" i="3"/>
  <c r="D59" i="3"/>
  <c r="E59" i="3"/>
  <c r="T59" i="3"/>
  <c r="F59" i="3"/>
  <c r="G59" i="3"/>
  <c r="H59" i="3"/>
  <c r="I59" i="3"/>
  <c r="U59" i="3"/>
  <c r="X59" i="3"/>
  <c r="B60" i="3"/>
  <c r="C60" i="3"/>
  <c r="D60" i="3"/>
  <c r="E60" i="3"/>
  <c r="T60" i="3"/>
  <c r="F60" i="3"/>
  <c r="G60" i="3"/>
  <c r="H60" i="3"/>
  <c r="I60" i="3"/>
  <c r="U60" i="3"/>
  <c r="X60" i="3"/>
  <c r="B61" i="3"/>
  <c r="C61" i="3"/>
  <c r="D61" i="3"/>
  <c r="E61" i="3"/>
  <c r="T61" i="3"/>
  <c r="F61" i="3"/>
  <c r="G61" i="3"/>
  <c r="H61" i="3"/>
  <c r="I61" i="3"/>
  <c r="U61" i="3"/>
  <c r="X61" i="3"/>
  <c r="B62" i="3"/>
  <c r="C62" i="3"/>
  <c r="D62" i="3"/>
  <c r="E62" i="3"/>
  <c r="T62" i="3"/>
  <c r="F62" i="3"/>
  <c r="G62" i="3"/>
  <c r="H62" i="3"/>
  <c r="I62" i="3"/>
  <c r="U62" i="3"/>
  <c r="X62" i="3"/>
  <c r="B39" i="3"/>
  <c r="C39" i="3"/>
  <c r="D39" i="3"/>
  <c r="E39" i="3"/>
  <c r="T39" i="3"/>
  <c r="F39" i="3"/>
  <c r="G39" i="3"/>
  <c r="H39" i="3"/>
  <c r="I39" i="3"/>
  <c r="U39" i="3"/>
  <c r="X39" i="3"/>
  <c r="J40" i="3"/>
  <c r="K40" i="3"/>
  <c r="L40" i="3"/>
  <c r="M40" i="3"/>
  <c r="V40" i="3"/>
  <c r="N40" i="3"/>
  <c r="O40" i="3"/>
  <c r="P40" i="3"/>
  <c r="Q40" i="3"/>
  <c r="W40" i="3"/>
  <c r="J41" i="3"/>
  <c r="K41" i="3"/>
  <c r="L41" i="3"/>
  <c r="M41" i="3"/>
  <c r="V41" i="3"/>
  <c r="N41" i="3"/>
  <c r="O41" i="3"/>
  <c r="P41" i="3"/>
  <c r="Q41" i="3"/>
  <c r="W41" i="3"/>
  <c r="J42" i="3"/>
  <c r="K42" i="3"/>
  <c r="L42" i="3"/>
  <c r="M42" i="3"/>
  <c r="V42" i="3"/>
  <c r="N42" i="3"/>
  <c r="O42" i="3"/>
  <c r="P42" i="3"/>
  <c r="Q42" i="3"/>
  <c r="W42" i="3"/>
  <c r="J43" i="3"/>
  <c r="K43" i="3"/>
  <c r="L43" i="3"/>
  <c r="M43" i="3"/>
  <c r="V43" i="3"/>
  <c r="N43" i="3"/>
  <c r="O43" i="3"/>
  <c r="P43" i="3"/>
  <c r="Q43" i="3"/>
  <c r="W43" i="3"/>
  <c r="J44" i="3"/>
  <c r="K44" i="3"/>
  <c r="L44" i="3"/>
  <c r="M44" i="3"/>
  <c r="V44" i="3"/>
  <c r="N44" i="3"/>
  <c r="O44" i="3"/>
  <c r="P44" i="3"/>
  <c r="Q44" i="3"/>
  <c r="W44" i="3"/>
  <c r="J45" i="3"/>
  <c r="K45" i="3"/>
  <c r="L45" i="3"/>
  <c r="M45" i="3"/>
  <c r="V45" i="3"/>
  <c r="N45" i="3"/>
  <c r="O45" i="3"/>
  <c r="P45" i="3"/>
  <c r="Q45" i="3"/>
  <c r="W45" i="3"/>
  <c r="J46" i="3"/>
  <c r="K46" i="3"/>
  <c r="L46" i="3"/>
  <c r="M46" i="3"/>
  <c r="V46" i="3"/>
  <c r="N46" i="3"/>
  <c r="O46" i="3"/>
  <c r="P46" i="3"/>
  <c r="Q46" i="3"/>
  <c r="W46" i="3"/>
  <c r="J47" i="3"/>
  <c r="K47" i="3"/>
  <c r="L47" i="3"/>
  <c r="M47" i="3"/>
  <c r="V47" i="3"/>
  <c r="N47" i="3"/>
  <c r="O47" i="3"/>
  <c r="P47" i="3"/>
  <c r="Q47" i="3"/>
  <c r="W47" i="3"/>
  <c r="J48" i="3"/>
  <c r="K48" i="3"/>
  <c r="L48" i="3"/>
  <c r="M48" i="3"/>
  <c r="V48" i="3"/>
  <c r="N48" i="3"/>
  <c r="O48" i="3"/>
  <c r="P48" i="3"/>
  <c r="Q48" i="3"/>
  <c r="W48" i="3"/>
  <c r="J49" i="3"/>
  <c r="K49" i="3"/>
  <c r="L49" i="3"/>
  <c r="M49" i="3"/>
  <c r="V49" i="3"/>
  <c r="N49" i="3"/>
  <c r="O49" i="3"/>
  <c r="P49" i="3"/>
  <c r="Q49" i="3"/>
  <c r="W49" i="3"/>
  <c r="J50" i="3"/>
  <c r="K50" i="3"/>
  <c r="L50" i="3"/>
  <c r="M50" i="3"/>
  <c r="V50" i="3"/>
  <c r="N50" i="3"/>
  <c r="O50" i="3"/>
  <c r="P50" i="3"/>
  <c r="Q50" i="3"/>
  <c r="W50" i="3"/>
  <c r="J51" i="3"/>
  <c r="K51" i="3"/>
  <c r="L51" i="3"/>
  <c r="M51" i="3"/>
  <c r="V51" i="3"/>
  <c r="N51" i="3"/>
  <c r="O51" i="3"/>
  <c r="P51" i="3"/>
  <c r="Q51" i="3"/>
  <c r="W51" i="3"/>
  <c r="J52" i="3"/>
  <c r="K52" i="3"/>
  <c r="L52" i="3"/>
  <c r="M52" i="3"/>
  <c r="V52" i="3"/>
  <c r="N52" i="3"/>
  <c r="O52" i="3"/>
  <c r="P52" i="3"/>
  <c r="Q52" i="3"/>
  <c r="W52" i="3"/>
  <c r="J53" i="3"/>
  <c r="K53" i="3"/>
  <c r="L53" i="3"/>
  <c r="M53" i="3"/>
  <c r="V53" i="3"/>
  <c r="N53" i="3"/>
  <c r="O53" i="3"/>
  <c r="P53" i="3"/>
  <c r="Q53" i="3"/>
  <c r="W53" i="3"/>
  <c r="J54" i="3"/>
  <c r="K54" i="3"/>
  <c r="L54" i="3"/>
  <c r="M54" i="3"/>
  <c r="V54" i="3"/>
  <c r="N54" i="3"/>
  <c r="O54" i="3"/>
  <c r="P54" i="3"/>
  <c r="Q54" i="3"/>
  <c r="W54" i="3"/>
  <c r="J55" i="3"/>
  <c r="K55" i="3"/>
  <c r="L55" i="3"/>
  <c r="M55" i="3"/>
  <c r="V55" i="3"/>
  <c r="N55" i="3"/>
  <c r="O55" i="3"/>
  <c r="P55" i="3"/>
  <c r="Q55" i="3"/>
  <c r="W55" i="3"/>
  <c r="J56" i="3"/>
  <c r="K56" i="3"/>
  <c r="L56" i="3"/>
  <c r="M56" i="3"/>
  <c r="V56" i="3"/>
  <c r="N56" i="3"/>
  <c r="O56" i="3"/>
  <c r="P56" i="3"/>
  <c r="Q56" i="3"/>
  <c r="W56" i="3"/>
  <c r="J57" i="3"/>
  <c r="K57" i="3"/>
  <c r="L57" i="3"/>
  <c r="M57" i="3"/>
  <c r="V57" i="3"/>
  <c r="N57" i="3"/>
  <c r="O57" i="3"/>
  <c r="P57" i="3"/>
  <c r="Q57" i="3"/>
  <c r="W57" i="3"/>
  <c r="J58" i="3"/>
  <c r="K58" i="3"/>
  <c r="L58" i="3"/>
  <c r="M58" i="3"/>
  <c r="V58" i="3"/>
  <c r="N58" i="3"/>
  <c r="O58" i="3"/>
  <c r="P58" i="3"/>
  <c r="Q58" i="3"/>
  <c r="W58" i="3"/>
  <c r="J59" i="3"/>
  <c r="K59" i="3"/>
  <c r="L59" i="3"/>
  <c r="M59" i="3"/>
  <c r="V59" i="3"/>
  <c r="N59" i="3"/>
  <c r="O59" i="3"/>
  <c r="P59" i="3"/>
  <c r="Q59" i="3"/>
  <c r="W59" i="3"/>
  <c r="J60" i="3"/>
  <c r="K60" i="3"/>
  <c r="L60" i="3"/>
  <c r="M60" i="3"/>
  <c r="V60" i="3"/>
  <c r="N60" i="3"/>
  <c r="O60" i="3"/>
  <c r="P60" i="3"/>
  <c r="Q60" i="3"/>
  <c r="W60" i="3"/>
  <c r="J61" i="3"/>
  <c r="K61" i="3"/>
  <c r="L61" i="3"/>
  <c r="M61" i="3"/>
  <c r="V61" i="3"/>
  <c r="N61" i="3"/>
  <c r="O61" i="3"/>
  <c r="P61" i="3"/>
  <c r="Q61" i="3"/>
  <c r="W61" i="3"/>
  <c r="J62" i="3"/>
  <c r="K62" i="3"/>
  <c r="L62" i="3"/>
  <c r="M62" i="3"/>
  <c r="V62" i="3"/>
  <c r="N62" i="3"/>
  <c r="O62" i="3"/>
  <c r="P62" i="3"/>
  <c r="Q62" i="3"/>
  <c r="W62" i="3"/>
  <c r="N39" i="3"/>
  <c r="O39" i="3"/>
  <c r="P39" i="3"/>
  <c r="Q39" i="3"/>
  <c r="W39" i="3"/>
  <c r="A6" i="7"/>
  <c r="A7" i="7"/>
  <c r="A8" i="7"/>
  <c r="A9" i="7"/>
  <c r="A10" i="7"/>
  <c r="A11" i="7"/>
  <c r="A12" i="7"/>
  <c r="A13" i="7"/>
  <c r="A14" i="7"/>
  <c r="A15" i="7"/>
  <c r="A16" i="7"/>
  <c r="A17" i="7"/>
  <c r="A18" i="7"/>
  <c r="A19" i="7"/>
  <c r="A20" i="7"/>
  <c r="A21" i="7"/>
  <c r="A22" i="7"/>
  <c r="A23" i="7"/>
  <c r="A24" i="7"/>
  <c r="A25" i="7"/>
  <c r="A26" i="7"/>
  <c r="A27" i="7"/>
  <c r="A28" i="7"/>
  <c r="A5" i="7"/>
  <c r="C30" i="4"/>
  <c r="D30" i="4"/>
  <c r="E30" i="4"/>
  <c r="F30" i="4"/>
  <c r="G30" i="4"/>
  <c r="H30" i="4"/>
  <c r="C31" i="4"/>
  <c r="D31" i="4"/>
  <c r="E31" i="4"/>
  <c r="F31" i="4"/>
  <c r="G31" i="4"/>
  <c r="H31" i="4"/>
  <c r="C32" i="4"/>
  <c r="D32" i="4"/>
  <c r="E32" i="4"/>
  <c r="F32" i="4"/>
  <c r="G32" i="4"/>
  <c r="H32" i="4"/>
  <c r="C33" i="4"/>
  <c r="D33" i="4"/>
  <c r="E33" i="4"/>
  <c r="F33" i="4"/>
  <c r="G33" i="4"/>
  <c r="H33" i="4"/>
  <c r="C34" i="4"/>
  <c r="D34" i="4"/>
  <c r="E34" i="4"/>
  <c r="F34" i="4"/>
  <c r="G34" i="4"/>
  <c r="H34" i="4"/>
  <c r="C35" i="4"/>
  <c r="D35" i="4"/>
  <c r="E35" i="4"/>
  <c r="F35" i="4"/>
  <c r="G35" i="4"/>
  <c r="H35" i="4"/>
  <c r="C36" i="4"/>
  <c r="D36" i="4"/>
  <c r="E36" i="4"/>
  <c r="F36" i="4"/>
  <c r="G36" i="4"/>
  <c r="H36" i="4"/>
  <c r="C37" i="4"/>
  <c r="D37" i="4"/>
  <c r="E37" i="4"/>
  <c r="F37" i="4"/>
  <c r="G37" i="4"/>
  <c r="H37" i="4"/>
  <c r="C38" i="4"/>
  <c r="D38" i="4"/>
  <c r="E38" i="4"/>
  <c r="F38" i="4"/>
  <c r="G38" i="4"/>
  <c r="H38" i="4"/>
  <c r="C39" i="4"/>
  <c r="D39" i="4"/>
  <c r="E39" i="4"/>
  <c r="F39" i="4"/>
  <c r="G39" i="4"/>
  <c r="H39" i="4"/>
  <c r="C40" i="4"/>
  <c r="D40" i="4"/>
  <c r="E40" i="4"/>
  <c r="F40" i="4"/>
  <c r="G40" i="4"/>
  <c r="H40" i="4"/>
  <c r="C41" i="4"/>
  <c r="D41" i="4"/>
  <c r="E41" i="4"/>
  <c r="F41" i="4"/>
  <c r="G41" i="4"/>
  <c r="H41" i="4"/>
  <c r="J39" i="3"/>
  <c r="K39" i="3"/>
  <c r="L39" i="3"/>
  <c r="M39" i="3"/>
  <c r="V39" i="3"/>
  <c r="Y39" i="3"/>
  <c r="Z39" i="3"/>
  <c r="Y40" i="3"/>
  <c r="Z40" i="3"/>
  <c r="Y41" i="3"/>
  <c r="Z41" i="3"/>
  <c r="Y42" i="3"/>
  <c r="Z42" i="3"/>
  <c r="Y43" i="3"/>
  <c r="Z43" i="3"/>
  <c r="Y44" i="3"/>
  <c r="Z44" i="3"/>
  <c r="Y45" i="3"/>
  <c r="Z45" i="3"/>
  <c r="Y46" i="3"/>
  <c r="Z46" i="3"/>
  <c r="Y47" i="3"/>
  <c r="Z47" i="3"/>
  <c r="Y48" i="3"/>
  <c r="Z48" i="3"/>
  <c r="Y49" i="3"/>
  <c r="Z49" i="3"/>
  <c r="Y50" i="3"/>
  <c r="Z50" i="3"/>
  <c r="Y51" i="3"/>
  <c r="Z51" i="3"/>
  <c r="Y52" i="3"/>
  <c r="Z52" i="3"/>
  <c r="Y53" i="3"/>
  <c r="Z53" i="3"/>
  <c r="Y54" i="3"/>
  <c r="Z54" i="3"/>
  <c r="Y55" i="3"/>
  <c r="Z55" i="3"/>
  <c r="Y56" i="3"/>
  <c r="Z56" i="3"/>
  <c r="Y57" i="3"/>
  <c r="Z57" i="3"/>
  <c r="Y58" i="3"/>
  <c r="Z58" i="3"/>
  <c r="Y59" i="3"/>
  <c r="Z59" i="3"/>
  <c r="Y60" i="3"/>
  <c r="Z60" i="3"/>
  <c r="Y61" i="3"/>
  <c r="Z61" i="3"/>
  <c r="Y62" i="3"/>
  <c r="Z62" i="3"/>
  <c r="C6" i="5"/>
  <c r="C5" i="5"/>
  <c r="C4" i="5"/>
  <c r="C3" i="5"/>
  <c r="B6" i="5"/>
  <c r="B5" i="5"/>
  <c r="B4" i="5"/>
  <c r="B3" i="5"/>
  <c r="A6" i="2"/>
  <c r="A7" i="2"/>
  <c r="A8" i="2"/>
  <c r="A11" i="2"/>
  <c r="A12" i="2"/>
  <c r="A13" i="2"/>
  <c r="A14" i="2"/>
  <c r="A15" i="2"/>
  <c r="A16" i="2"/>
  <c r="B18" i="1"/>
  <c r="A17" i="2"/>
  <c r="B6" i="2"/>
  <c r="B7" i="2"/>
  <c r="B8" i="2"/>
  <c r="B11" i="2"/>
  <c r="B12" i="2"/>
  <c r="B13" i="2"/>
  <c r="B14" i="2"/>
  <c r="B15" i="2"/>
  <c r="B16" i="2"/>
  <c r="C18" i="1"/>
  <c r="B17" i="2"/>
  <c r="A18" i="2"/>
  <c r="B20" i="1"/>
  <c r="C6" i="2"/>
  <c r="C7" i="2"/>
  <c r="C8" i="2"/>
  <c r="C11" i="2"/>
  <c r="C12" i="2"/>
  <c r="C13" i="2"/>
  <c r="C14" i="2"/>
  <c r="C15" i="2"/>
  <c r="C16" i="2"/>
  <c r="D18" i="1"/>
  <c r="C17" i="2"/>
  <c r="D6" i="2"/>
  <c r="D7" i="2"/>
  <c r="D8" i="2"/>
  <c r="D11" i="2"/>
  <c r="D12" i="2"/>
  <c r="D13" i="2"/>
  <c r="D14" i="2"/>
  <c r="D15" i="2"/>
  <c r="D16" i="2"/>
  <c r="E18" i="1"/>
  <c r="D17" i="2"/>
  <c r="C18" i="2"/>
  <c r="D20" i="1"/>
  <c r="B21" i="1"/>
  <c r="C2" i="4"/>
  <c r="E11" i="4"/>
  <c r="N9" i="2"/>
  <c r="O17" i="4"/>
  <c r="C19" i="4"/>
  <c r="D19" i="4"/>
  <c r="E19" i="4"/>
  <c r="O19" i="4"/>
  <c r="I11" i="4"/>
  <c r="P17" i="4"/>
  <c r="F19" i="4"/>
  <c r="G19" i="4"/>
  <c r="H19" i="4"/>
  <c r="P19" i="4"/>
  <c r="N11" i="4"/>
  <c r="Q17" i="4"/>
  <c r="Q19" i="4"/>
  <c r="R11" i="4"/>
  <c r="R17" i="4"/>
  <c r="R19" i="4"/>
  <c r="C20" i="4"/>
  <c r="D20" i="4"/>
  <c r="E20" i="4"/>
  <c r="O20" i="4"/>
  <c r="F20" i="4"/>
  <c r="G20" i="4"/>
  <c r="H20" i="4"/>
  <c r="P20" i="4"/>
  <c r="Q20" i="4"/>
  <c r="R20" i="4"/>
  <c r="C21" i="4"/>
  <c r="D21" i="4"/>
  <c r="E21" i="4"/>
  <c r="O21" i="4"/>
  <c r="F21" i="4"/>
  <c r="G21" i="4"/>
  <c r="H21" i="4"/>
  <c r="P21" i="4"/>
  <c r="Q21" i="4"/>
  <c r="R21" i="4"/>
  <c r="C22" i="4"/>
  <c r="D22" i="4"/>
  <c r="E22" i="4"/>
  <c r="O22" i="4"/>
  <c r="F22" i="4"/>
  <c r="G22" i="4"/>
  <c r="H22" i="4"/>
  <c r="P22" i="4"/>
  <c r="Q22" i="4"/>
  <c r="R22" i="4"/>
  <c r="C23" i="4"/>
  <c r="D23" i="4"/>
  <c r="E23" i="4"/>
  <c r="O23" i="4"/>
  <c r="F23" i="4"/>
  <c r="G23" i="4"/>
  <c r="H23" i="4"/>
  <c r="P23" i="4"/>
  <c r="Q23" i="4"/>
  <c r="R23" i="4"/>
  <c r="C24" i="4"/>
  <c r="D24" i="4"/>
  <c r="E24" i="4"/>
  <c r="O24" i="4"/>
  <c r="F24" i="4"/>
  <c r="G24" i="4"/>
  <c r="H24" i="4"/>
  <c r="P24" i="4"/>
  <c r="Q24" i="4"/>
  <c r="R24" i="4"/>
  <c r="C25" i="4"/>
  <c r="D25" i="4"/>
  <c r="E25" i="4"/>
  <c r="O25" i="4"/>
  <c r="F25" i="4"/>
  <c r="G25" i="4"/>
  <c r="H25" i="4"/>
  <c r="P25" i="4"/>
  <c r="Q25" i="4"/>
  <c r="R25" i="4"/>
  <c r="C26" i="4"/>
  <c r="D26" i="4"/>
  <c r="E26" i="4"/>
  <c r="O26" i="4"/>
  <c r="F26" i="4"/>
  <c r="G26" i="4"/>
  <c r="H26" i="4"/>
  <c r="P26" i="4"/>
  <c r="Q26" i="4"/>
  <c r="R26" i="4"/>
  <c r="C27" i="4"/>
  <c r="D27" i="4"/>
  <c r="E27" i="4"/>
  <c r="O27" i="4"/>
  <c r="F27" i="4"/>
  <c r="G27" i="4"/>
  <c r="H27" i="4"/>
  <c r="P27" i="4"/>
  <c r="Q27" i="4"/>
  <c r="R27" i="4"/>
  <c r="C28" i="4"/>
  <c r="D28" i="4"/>
  <c r="E28" i="4"/>
  <c r="O28" i="4"/>
  <c r="F28" i="4"/>
  <c r="G28" i="4"/>
  <c r="H28" i="4"/>
  <c r="P28" i="4"/>
  <c r="Q28" i="4"/>
  <c r="R28" i="4"/>
  <c r="C29" i="4"/>
  <c r="D29" i="4"/>
  <c r="E29" i="4"/>
  <c r="O29" i="4"/>
  <c r="F29" i="4"/>
  <c r="G29" i="4"/>
  <c r="H29" i="4"/>
  <c r="P29" i="4"/>
  <c r="Q29" i="4"/>
  <c r="R29" i="4"/>
  <c r="O30" i="4"/>
  <c r="P30" i="4"/>
  <c r="Q30" i="4"/>
  <c r="R30" i="4"/>
  <c r="O31" i="4"/>
  <c r="P31" i="4"/>
  <c r="Q31" i="4"/>
  <c r="R31" i="4"/>
  <c r="O32" i="4"/>
  <c r="P32" i="4"/>
  <c r="Q32" i="4"/>
  <c r="R32" i="4"/>
  <c r="O33" i="4"/>
  <c r="P33" i="4"/>
  <c r="Q33" i="4"/>
  <c r="R33" i="4"/>
  <c r="O34" i="4"/>
  <c r="P34" i="4"/>
  <c r="Q34" i="4"/>
  <c r="R34" i="4"/>
  <c r="O35" i="4"/>
  <c r="P35" i="4"/>
  <c r="Q35" i="4"/>
  <c r="R35" i="4"/>
  <c r="O36" i="4"/>
  <c r="P36" i="4"/>
  <c r="Q36" i="4"/>
  <c r="R36" i="4"/>
  <c r="O37" i="4"/>
  <c r="P37" i="4"/>
  <c r="Q37" i="4"/>
  <c r="R37" i="4"/>
  <c r="O38" i="4"/>
  <c r="P38" i="4"/>
  <c r="Q38" i="4"/>
  <c r="R38" i="4"/>
  <c r="O39" i="4"/>
  <c r="P39" i="4"/>
  <c r="Q39" i="4"/>
  <c r="R39" i="4"/>
  <c r="O40" i="4"/>
  <c r="P40" i="4"/>
  <c r="Q40" i="4"/>
  <c r="R40" i="4"/>
  <c r="O41" i="4"/>
  <c r="P41" i="4"/>
  <c r="Q41" i="4"/>
  <c r="R41" i="4"/>
  <c r="C18" i="4"/>
  <c r="F18" i="4"/>
  <c r="G18" i="4"/>
  <c r="H18" i="4"/>
  <c r="R18" i="4"/>
  <c r="D18" i="4"/>
  <c r="E18" i="4"/>
  <c r="Q18" i="4"/>
  <c r="P18" i="4"/>
  <c r="O18" i="4"/>
  <c r="Q11" i="4"/>
  <c r="L17" i="4"/>
  <c r="L19" i="4"/>
  <c r="L20" i="4"/>
  <c r="L21" i="4"/>
  <c r="L22" i="4"/>
  <c r="L23" i="4"/>
  <c r="L24" i="4"/>
  <c r="L25" i="4"/>
  <c r="L26" i="4"/>
  <c r="L27" i="4"/>
  <c r="L28" i="4"/>
  <c r="L29" i="4"/>
  <c r="L30" i="4"/>
  <c r="L31" i="4"/>
  <c r="L32" i="4"/>
  <c r="L33" i="4"/>
  <c r="L34" i="4"/>
  <c r="L35" i="4"/>
  <c r="L36" i="4"/>
  <c r="L37" i="4"/>
  <c r="L38" i="4"/>
  <c r="L39" i="4"/>
  <c r="M11" i="4"/>
  <c r="K17" i="4"/>
  <c r="K39" i="4"/>
  <c r="N39" i="4"/>
  <c r="L40" i="4"/>
  <c r="K40" i="4"/>
  <c r="N40" i="4"/>
  <c r="L41" i="4"/>
  <c r="L18" i="4"/>
  <c r="K19" i="4"/>
  <c r="K20" i="4"/>
  <c r="K21" i="4"/>
  <c r="K22" i="4"/>
  <c r="K23" i="4"/>
  <c r="K24" i="4"/>
  <c r="K25" i="4"/>
  <c r="K26" i="4"/>
  <c r="K27" i="4"/>
  <c r="K28" i="4"/>
  <c r="K29" i="4"/>
  <c r="K30" i="4"/>
  <c r="K31" i="4"/>
  <c r="K32" i="4"/>
  <c r="K33" i="4"/>
  <c r="K34" i="4"/>
  <c r="K35" i="4"/>
  <c r="K36" i="4"/>
  <c r="K37" i="4"/>
  <c r="K38" i="4"/>
  <c r="K41" i="4"/>
  <c r="K18" i="4"/>
  <c r="H11" i="4"/>
  <c r="J17" i="4"/>
  <c r="J19" i="4"/>
  <c r="J20" i="4"/>
  <c r="J21" i="4"/>
  <c r="J22" i="4"/>
  <c r="J23" i="4"/>
  <c r="J24" i="4"/>
  <c r="J25" i="4"/>
  <c r="J26" i="4"/>
  <c r="J27" i="4"/>
  <c r="J28" i="4"/>
  <c r="J29" i="4"/>
  <c r="J30" i="4"/>
  <c r="J31" i="4"/>
  <c r="J32" i="4"/>
  <c r="J33" i="4"/>
  <c r="J34" i="4"/>
  <c r="J35" i="4"/>
  <c r="J36" i="4"/>
  <c r="J37" i="4"/>
  <c r="J38" i="4"/>
  <c r="J39" i="4"/>
  <c r="J40" i="4"/>
  <c r="D11" i="4"/>
  <c r="I17" i="4"/>
  <c r="I40" i="4"/>
  <c r="M40" i="4"/>
  <c r="J41" i="4"/>
  <c r="J18" i="4"/>
  <c r="I19" i="4"/>
  <c r="I20" i="4"/>
  <c r="I21" i="4"/>
  <c r="I22" i="4"/>
  <c r="I23" i="4"/>
  <c r="I24" i="4"/>
  <c r="I25" i="4"/>
  <c r="I26" i="4"/>
  <c r="I27" i="4"/>
  <c r="I28" i="4"/>
  <c r="I29" i="4"/>
  <c r="I30" i="4"/>
  <c r="I31" i="4"/>
  <c r="I32" i="4"/>
  <c r="I33" i="4"/>
  <c r="I34" i="4"/>
  <c r="I35" i="4"/>
  <c r="I36" i="4"/>
  <c r="I37" i="4"/>
  <c r="I38" i="4"/>
  <c r="I39" i="4"/>
  <c r="I41" i="4"/>
  <c r="I18" i="4"/>
  <c r="B36" i="4"/>
  <c r="M36" i="4"/>
  <c r="B37" i="4"/>
  <c r="B38" i="4"/>
  <c r="B39" i="4"/>
  <c r="B40" i="4"/>
  <c r="B41" i="4"/>
  <c r="A40" i="4"/>
  <c r="A41" i="4"/>
  <c r="A36" i="4"/>
  <c r="A37" i="4"/>
  <c r="A38" i="4"/>
  <c r="A39" i="4"/>
  <c r="S36" i="4"/>
  <c r="S38" i="4"/>
  <c r="S40" i="4"/>
  <c r="N37" i="4"/>
  <c r="N38" i="4"/>
  <c r="M39" i="4"/>
  <c r="M37" i="4"/>
  <c r="N36" i="4"/>
  <c r="M38" i="4"/>
  <c r="S41" i="4"/>
  <c r="N41" i="4"/>
  <c r="S39" i="4"/>
  <c r="M41" i="4"/>
  <c r="S37" i="4"/>
  <c r="R51" i="3"/>
  <c r="R52" i="3"/>
  <c r="R53" i="3"/>
  <c r="R54" i="3"/>
  <c r="R55" i="3"/>
  <c r="R56" i="3"/>
  <c r="R57" i="3"/>
  <c r="R58" i="3"/>
  <c r="R59" i="3"/>
  <c r="R60" i="3"/>
  <c r="R61" i="3"/>
  <c r="R62" i="3"/>
  <c r="R18" i="3"/>
  <c r="R19" i="3"/>
  <c r="R20" i="3"/>
  <c r="R21" i="3"/>
  <c r="R22" i="3"/>
  <c r="R23" i="3"/>
  <c r="R24" i="3"/>
  <c r="R25" i="3"/>
  <c r="R26" i="3"/>
  <c r="R27" i="3"/>
  <c r="R28" i="3"/>
  <c r="R29" i="3"/>
  <c r="X8" i="8"/>
  <c r="K15" i="2"/>
  <c r="K12" i="2"/>
  <c r="V3" i="8"/>
  <c r="A19" i="4"/>
  <c r="A20" i="4"/>
  <c r="A21" i="4"/>
  <c r="A22" i="4"/>
  <c r="A23" i="4"/>
  <c r="A24" i="4"/>
  <c r="A25" i="4"/>
  <c r="A26" i="4"/>
  <c r="A27" i="4"/>
  <c r="A28" i="4"/>
  <c r="A29" i="4"/>
  <c r="A30" i="4"/>
  <c r="A31" i="4"/>
  <c r="A32" i="4"/>
  <c r="A33" i="4"/>
  <c r="A34" i="4"/>
  <c r="A35" i="4"/>
  <c r="A18" i="4"/>
  <c r="C24" i="2"/>
  <c r="R6" i="3"/>
  <c r="R7" i="3"/>
  <c r="R8" i="3"/>
  <c r="R9" i="3"/>
  <c r="R10" i="3"/>
  <c r="R11" i="3"/>
  <c r="R12" i="3"/>
  <c r="R13" i="3"/>
  <c r="R14" i="3"/>
  <c r="R15" i="3"/>
  <c r="R16" i="3"/>
  <c r="R17" i="3"/>
  <c r="B3" i="3"/>
  <c r="B36" i="3"/>
  <c r="J3" i="3"/>
  <c r="J36" i="3"/>
  <c r="R44" i="3"/>
  <c r="R45" i="3"/>
  <c r="R49" i="3"/>
  <c r="R47" i="3"/>
  <c r="R41" i="3"/>
  <c r="R40" i="3"/>
  <c r="R43" i="3"/>
  <c r="R42" i="3"/>
  <c r="R50" i="3"/>
  <c r="R48" i="3"/>
  <c r="R39" i="3"/>
  <c r="R46" i="3"/>
  <c r="E9" i="1"/>
  <c r="N4" i="3"/>
  <c r="N37" i="3"/>
  <c r="D9" i="1"/>
  <c r="J4" i="3"/>
  <c r="J37" i="3"/>
  <c r="C9" i="1"/>
  <c r="F4" i="3"/>
  <c r="F37" i="3"/>
  <c r="B9" i="1"/>
  <c r="B4" i="3"/>
  <c r="B37" i="3"/>
  <c r="V37" i="3"/>
  <c r="F16" i="4"/>
  <c r="W37" i="3"/>
  <c r="G16" i="4"/>
  <c r="T37" i="3"/>
  <c r="C16" i="4"/>
  <c r="U37" i="3"/>
  <c r="D16" i="4"/>
  <c r="S33" i="4"/>
  <c r="M31" i="4"/>
  <c r="N33" i="4"/>
  <c r="S32" i="4"/>
  <c r="N32" i="4"/>
  <c r="M33" i="4"/>
  <c r="M32" i="4"/>
  <c r="M35" i="4"/>
  <c r="S31" i="4"/>
  <c r="N31" i="4"/>
  <c r="S35" i="4"/>
  <c r="B33" i="4"/>
  <c r="B31" i="4"/>
  <c r="B32" i="4"/>
  <c r="B29" i="4"/>
  <c r="B35" i="4"/>
  <c r="N34" i="4"/>
  <c r="N35" i="4"/>
  <c r="B20" i="4"/>
  <c r="B23" i="4"/>
  <c r="B24" i="4"/>
  <c r="S34" i="4"/>
  <c r="M34" i="4"/>
  <c r="B27" i="4"/>
  <c r="B30" i="4"/>
  <c r="B21" i="4"/>
  <c r="B22" i="4"/>
  <c r="B26" i="4"/>
  <c r="B25" i="4"/>
  <c r="B28" i="4"/>
  <c r="B34" i="4"/>
  <c r="B19" i="4"/>
  <c r="P11" i="4"/>
  <c r="K11" i="4"/>
  <c r="O11" i="4"/>
  <c r="L11" i="4"/>
  <c r="N29" i="4"/>
  <c r="N26" i="4"/>
  <c r="N27" i="4"/>
  <c r="N30" i="4"/>
  <c r="G11" i="4"/>
  <c r="F11" i="4"/>
  <c r="C11" i="4"/>
  <c r="B11" i="4"/>
  <c r="B18" i="4"/>
  <c r="N19" i="4"/>
  <c r="N20" i="4"/>
  <c r="N23" i="4"/>
  <c r="N21" i="4"/>
  <c r="N18" i="4"/>
  <c r="N22" i="4"/>
  <c r="N28" i="4"/>
  <c r="N25" i="4"/>
  <c r="N24" i="4"/>
  <c r="M23" i="4"/>
  <c r="M19" i="4"/>
  <c r="M20" i="4"/>
  <c r="N42" i="4"/>
  <c r="N43" i="4"/>
  <c r="M25" i="4"/>
  <c r="M24" i="4"/>
  <c r="M21" i="4"/>
  <c r="M28" i="4"/>
  <c r="M29" i="4"/>
  <c r="M26" i="4"/>
  <c r="M18" i="4"/>
  <c r="M22" i="4"/>
  <c r="M27" i="4"/>
  <c r="M30" i="4"/>
  <c r="M42" i="4"/>
  <c r="M43" i="4"/>
  <c r="S28" i="4"/>
  <c r="S30" i="4"/>
  <c r="S18" i="4"/>
  <c r="S23" i="4"/>
  <c r="S21" i="4"/>
  <c r="S20" i="4"/>
  <c r="S19" i="4"/>
  <c r="S27" i="4"/>
  <c r="S26" i="4"/>
  <c r="S29" i="4"/>
  <c r="S24" i="4"/>
  <c r="S22" i="4"/>
  <c r="S25" i="4"/>
  <c r="K18" i="2"/>
  <c r="U16" i="8"/>
  <c r="S42" i="4"/>
  <c r="S43" i="4"/>
</calcChain>
</file>

<file path=xl/sharedStrings.xml><?xml version="1.0" encoding="utf-8"?>
<sst xmlns="http://schemas.openxmlformats.org/spreadsheetml/2006/main" count="259" uniqueCount="125">
  <si>
    <t>No. of 
Lanes</t>
  </si>
  <si>
    <t>Roadway Approach</t>
  </si>
  <si>
    <t>Major Street</t>
  </si>
  <si>
    <t>Minor Street</t>
  </si>
  <si>
    <t>Northbound</t>
  </si>
  <si>
    <t>Southbound</t>
  </si>
  <si>
    <t>Eastbound</t>
  </si>
  <si>
    <t>Westbound</t>
  </si>
  <si>
    <t>Through</t>
  </si>
  <si>
    <t>Exclusive Left Turn</t>
  </si>
  <si>
    <t>Exclusive Right Turn</t>
  </si>
  <si>
    <t>SUMMARY</t>
  </si>
  <si>
    <t>2 or more lanes</t>
  </si>
  <si>
    <t>CONCLUSION</t>
  </si>
  <si>
    <t>Roadway Configuration</t>
  </si>
  <si>
    <t>North-South-Oriented</t>
  </si>
  <si>
    <t>East-West-Oriented</t>
  </si>
  <si>
    <t>Enough traffic that the LT lanes can be counted as full lanes?</t>
  </si>
  <si>
    <t>Enough conflicts that the RT lanes can be counted as full lanes?</t>
  </si>
  <si>
    <t>Through/Left Turn</t>
  </si>
  <si>
    <t>Through/Right Turn</t>
  </si>
  <si>
    <t>Through/Left/Right</t>
  </si>
  <si>
    <t>Number of Lane</t>
  </si>
  <si>
    <t>Directions</t>
  </si>
  <si>
    <t>sum</t>
  </si>
  <si>
    <t>minus wrong left</t>
  </si>
  <si>
    <t>minus wrong wrong</t>
  </si>
  <si>
    <t>Sum</t>
  </si>
  <si>
    <t>Overwrite</t>
  </si>
  <si>
    <t>Final</t>
  </si>
  <si>
    <t>WRONG</t>
  </si>
  <si>
    <t>1 lane</t>
  </si>
  <si>
    <t>Time</t>
  </si>
  <si>
    <t>T</t>
  </si>
  <si>
    <t>U</t>
  </si>
  <si>
    <t>R</t>
  </si>
  <si>
    <t>L</t>
  </si>
  <si>
    <t>Counts</t>
  </si>
  <si>
    <t>Total</t>
  </si>
  <si>
    <t>Volumes of the Desired Year</t>
  </si>
  <si>
    <t>OR</t>
  </si>
  <si>
    <t>Multiplier:</t>
  </si>
  <si>
    <t>Base Year:</t>
  </si>
  <si>
    <t>Annual Growth Factor:</t>
  </si>
  <si>
    <t>Desired Year:</t>
  </si>
  <si>
    <t>Final Factor</t>
  </si>
  <si>
    <t>Major</t>
  </si>
  <si>
    <t>High Minor</t>
  </si>
  <si>
    <t>Rank</t>
  </si>
  <si>
    <t>Minor</t>
  </si>
  <si>
    <t>Approach</t>
  </si>
  <si>
    <t>Growth Factor</t>
  </si>
  <si>
    <t xml:space="preserve">Warrant 1. Eight Hour Vehicular Volume </t>
  </si>
  <si>
    <t>Condition A – Minimum Vehicle Volume</t>
  </si>
  <si>
    <t>Warrant</t>
  </si>
  <si>
    <r>
      <t>100%</t>
    </r>
    <r>
      <rPr>
        <vertAlign val="superscript"/>
        <sz val="10"/>
        <color theme="1"/>
        <rFont val="Times New Roman"/>
        <family val="1"/>
      </rPr>
      <t>a</t>
    </r>
  </si>
  <si>
    <r>
      <t>80%</t>
    </r>
    <r>
      <rPr>
        <vertAlign val="superscript"/>
        <sz val="10"/>
        <color theme="1"/>
        <rFont val="Times New Roman"/>
        <family val="1"/>
      </rPr>
      <t>b</t>
    </r>
  </si>
  <si>
    <r>
      <t>70%</t>
    </r>
    <r>
      <rPr>
        <vertAlign val="superscript"/>
        <sz val="10"/>
        <color theme="1"/>
        <rFont val="Times New Roman"/>
        <family val="1"/>
      </rPr>
      <t>c</t>
    </r>
  </si>
  <si>
    <r>
      <t>56%</t>
    </r>
    <r>
      <rPr>
        <vertAlign val="superscript"/>
        <sz val="10"/>
        <color theme="1"/>
        <rFont val="Times New Roman"/>
        <family val="1"/>
      </rPr>
      <t>d</t>
    </r>
  </si>
  <si>
    <t>1 lane and 2 or more lanes</t>
  </si>
  <si>
    <t>1 lane and 1 lane</t>
  </si>
  <si>
    <t>2 or more lanes and 2 or more lanes</t>
  </si>
  <si>
    <t>2 or more lanes and 1 lane</t>
  </si>
  <si>
    <t>Number of Lanes:</t>
  </si>
  <si>
    <t xml:space="preserve">Major Rd Volume </t>
  </si>
  <si>
    <t xml:space="preserve">Minor Rd Volume </t>
  </si>
  <si>
    <t>Meets Warrant 1A Criteria?</t>
  </si>
  <si>
    <t>Meets Warrant 1B Criteria?</t>
  </si>
  <si>
    <t>Both Major and Minor Roads Meet Criteria</t>
  </si>
  <si>
    <t>High</t>
  </si>
  <si>
    <t>Warrant 1A</t>
  </si>
  <si>
    <t>Warrant 1B</t>
  </si>
  <si>
    <t>No. of YES in column</t>
  </si>
  <si>
    <t>Condition B – Interruption of Continuous Traffic</t>
  </si>
  <si>
    <t>Conditon A</t>
  </si>
  <si>
    <t>Conditon B</t>
  </si>
  <si>
    <t>Speed/Population</t>
  </si>
  <si>
    <t>Conditon A or Condtion B</t>
  </si>
  <si>
    <t>Combination of Condition A and Condition B</t>
  </si>
  <si>
    <t>Meet Criteria</t>
  </si>
  <si>
    <t xml:space="preserve">Warrant 2.Four Hour Volumes </t>
  </si>
  <si>
    <t>Major Total</t>
  </si>
  <si>
    <t>You should use line:</t>
  </si>
  <si>
    <t>You should use figure:</t>
  </si>
  <si>
    <t xml:space="preserve">Warrant 3.Peak Hour </t>
  </si>
  <si>
    <t>Warrant 4. Pedstrian Volume</t>
  </si>
  <si>
    <t>Warrant 5. School Crossing</t>
  </si>
  <si>
    <t>Warrant 7. Crash Experience</t>
  </si>
  <si>
    <t>Warrant 8. Roadway Network</t>
  </si>
  <si>
    <t>Warrant 9. Intersection Near a Grade Crossing</t>
  </si>
  <si>
    <t>Warrant 6. Corrdinated Signal System</t>
  </si>
  <si>
    <t>&gt;=8?</t>
  </si>
  <si>
    <t>SH 136</t>
  </si>
  <si>
    <t>FM 1912</t>
  </si>
  <si>
    <t>00:00 - 01:00</t>
  </si>
  <si>
    <t>00:01 - 02:00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</si>
  <si>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</si>
  <si>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</si>
  <si>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</si>
  <si>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</si>
  <si>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</si>
  <si>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</si>
  <si>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</si>
  <si>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</si>
  <si>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</si>
  <si>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</si>
  <si>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</si>
  <si>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</si>
  <si>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</si>
  <si>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</si>
  <si>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</si>
  <si>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</si>
  <si>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</si>
  <si>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</si>
  <si>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</si>
  <si>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</si>
  <si>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</si>
  <si>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23:00 - 24:00</t>
  </si>
  <si>
    <t>Warrant 4. Ped</t>
  </si>
  <si>
    <t>Pedestrain Volumes</t>
  </si>
  <si>
    <t>Crossing</t>
  </si>
  <si>
    <t>Crossing Ped</t>
  </si>
  <si>
    <t>Major Rd</t>
  </si>
  <si>
    <t>Final 4 hours with highest volumes:</t>
  </si>
  <si>
    <t>This workbook will help you with the Signal Warrant per MUTCD 2009. Input values when you see cell in light blue or pointed to by blue arrows.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</si>
</sst>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6" x14ac:knownFonts="1">
    <font>
      <sz val="11"/>
      <color theme="1"/>
      <name val="Calibri"/>
      <family val="2"/>
      <scheme val="minor"/>
    </font>
    <font>
      <sz val="11"/>
      <color rgb="FF3F3F76"/>
      <name val="Calibri"/>
      <family val="2"/>
      <scheme val="minor"/>
    </font>
    <font>
      <b/>
      <sz val="11"/>
      <color theme="1"/>
      <name val="Calibri"/>
      <family val="2"/>
      <scheme val="minor"/>
    </font>
    <font>
      <sz val="11"/>
      <color theme="0"/>
      <name val="Calibri"/>
      <family val="2"/>
      <scheme val="minor"/>
    </font>
    <font>
      <sz val="8"/>
      <color rgb="FF000000"/>
      <name val="Segoe UI"/>
      <family val="2"/>
    </font>
    <font>
      <b/>
      <sz val="11"/>
      <color theme="0"/>
      <name val="Calibri"/>
      <family val="2"/>
      <scheme val="minor"/>
    </font>
    <font>
      <sz val="11"/>
      <color rgb="FFFF0000"/>
      <name val="Calibri"/>
      <family val="2"/>
      <scheme val="minor"/>
    </font>
    <font>
      <b/>
      <sz val="10"/>
      <color theme="1"/>
      <name val="Times New Roman"/>
      <family val="1"/>
    </font>
    <font>
      <sz val="10"/>
      <color theme="1"/>
      <name val="Times New Roman"/>
      <family val="1"/>
    </font>
    <font>
      <vertAlign val="superscript"/>
      <sz val="10"/>
      <color theme="1"/>
      <name val="Times New Roman"/>
      <family val="1"/>
    </font>
    <font>
      <sz val="22"/>
      <color theme="0"/>
      <name val="Calibri"/>
      <family val="2"/>
      <scheme val="minor"/>
    </font>
    <font>
      <sz val="11"/>
      <color theme="1"/>
      <name val="Calibri"/>
      <family val="2"/>
      <scheme val="minor"/>
    </font>
    <font>
      <b/>
      <sz val="11"/>
      <color theme="0"/>
      <name val="Calibri"/>
      <family val="2"/>
      <scheme val="minor"/>
    </font>
    <font>
      <sz val="11"/>
      <color rgb="FF3F3F76"/>
      <name val="Calibri"/>
      <family val="2"/>
      <scheme val="minor"/>
    </font>
    <font>
      <b/>
      <sz val="11"/>
      <color theme="1"/>
      <name val="Calibri"/>
      <family val="2"/>
      <scheme val="minor"/>
    </font>
    <font>
      <b/>
      <sz val="11"/>
      <name val="Calibri"/>
      <family val="2"/>
      <scheme val="minor"/>
    </font>
  </fonts>
  <fills count="9">
    <fill>
      <patternFill patternType="none"/>
    </fill>
    <fill>
      <patternFill patternType="gray125"/>
    </fill>
    <fill>
      <patternFill patternType="solid">
        <fgColor rgb="FFFFCC99"/>
      </patternFill>
    </fill>
    <fill>
      <patternFill patternType="solid">
        <fgColor theme="8"/>
        <bgColor indexed="64"/>
      </patternFill>
    </fill>
    <fill>
      <patternFill patternType="solid">
        <fgColor rgb="FF00B0F0"/>
        <bgColor indexed="64"/>
      </patternFill>
    </fill>
    <fill>
      <patternFill patternType="solid">
        <fgColor theme="8" tint="0.79998168889431442"/>
        <bgColor indexed="64"/>
      </patternFill>
    </fill>
    <fill>
      <patternFill patternType="solid">
        <fgColor rgb="FFFF0000"/>
        <bgColor indexed="64"/>
      </patternFill>
    </fill>
    <fill>
      <patternFill patternType="solid">
        <fgColor theme="0"/>
        <bgColor indexed="64"/>
      </patternFill>
    </fill>
    <fill>
      <patternFill patternType="solid">
        <fgColor theme="8" tint="-0.249977111117893"/>
        <bgColor indexed="64"/>
      </patternFill>
    </fill>
  </fills>
  <borders count="40">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medium">
        <color indexed="64"/>
      </right>
      <top/>
      <bottom/>
      <diagonal/>
    </border>
  </borders>
  <cellStyleXfs count="2">
    <xf numFmtId="0" fontId="0" fillId="0" borderId="0"/>
    <xf numFmtId="0" fontId="1" fillId="2" borderId="1" applyNumberFormat="0" applyAlignment="0" applyProtection="0"/>
  </cellStyleXfs>
  <cellXfs count="147">
    <xf numFmtId="0" fontId="0" fillId="0" borderId="0" xfId="0"/>
    <xf numFmtId="0" fontId="0" fillId="0" borderId="2" xfId="0" applyBorder="1" applyAlignment="1">
      <alignment horizontal="center" vertical="center"/>
    </xf>
    <xf numFmtId="0" fontId="0" fillId="4" borderId="0" xfId="0" applyFill="1" applyAlignment="1">
      <alignment horizontal="center"/>
    </xf>
    <xf numFmtId="0" fontId="0" fillId="4" borderId="0" xfId="0" applyFill="1"/>
    <xf numFmtId="0" fontId="0" fillId="0" borderId="0" xfId="0" applyFill="1"/>
    <xf numFmtId="0" fontId="0" fillId="5" borderId="2" xfId="0" applyFill="1" applyBorder="1" applyAlignment="1" applyProtection="1">
      <alignment horizontal="center" vertical="center"/>
      <protection locked="0"/>
    </xf>
    <xf numFmtId="0" fontId="0" fillId="0" borderId="2" xfId="0" applyFill="1" applyBorder="1" applyAlignment="1">
      <alignment horizontal="center"/>
    </xf>
    <xf numFmtId="0" fontId="0" fillId="0" borderId="2" xfId="0" applyFill="1" applyBorder="1" applyAlignment="1">
      <alignment horizontal="center" vertical="center"/>
    </xf>
    <xf numFmtId="0" fontId="0" fillId="0" borderId="2" xfId="0" applyBorder="1"/>
    <xf numFmtId="0" fontId="0" fillId="5" borderId="2" xfId="0" applyFill="1" applyBorder="1" applyAlignment="1" applyProtection="1">
      <alignment horizontal="center"/>
      <protection locked="0"/>
    </xf>
    <xf numFmtId="0" fontId="0" fillId="5" borderId="2" xfId="0" applyFill="1" applyBorder="1" applyProtection="1">
      <protection locked="0"/>
    </xf>
    <xf numFmtId="0" fontId="6" fillId="0" borderId="0" xfId="0" applyFont="1" applyAlignment="1">
      <alignment horizontal="center" vertical="center"/>
    </xf>
    <xf numFmtId="0" fontId="0" fillId="5" borderId="0" xfId="0" applyFill="1" applyAlignment="1" applyProtection="1">
      <alignment horizontal="center" vertical="center"/>
      <protection locked="0"/>
    </xf>
    <xf numFmtId="0" fontId="5" fillId="6" borderId="0" xfId="0" applyFont="1" applyFill="1" applyAlignment="1">
      <alignment horizontal="center" vertical="center"/>
    </xf>
    <xf numFmtId="10" fontId="0" fillId="5" borderId="0" xfId="0" applyNumberFormat="1" applyFill="1" applyAlignment="1" applyProtection="1">
      <alignment horizontal="center" vertical="center"/>
      <protection locked="0"/>
    </xf>
    <xf numFmtId="164" fontId="0" fillId="0" borderId="0" xfId="0" applyNumberFormat="1"/>
    <xf numFmtId="164" fontId="0" fillId="0" borderId="0" xfId="0" applyNumberFormat="1" applyAlignment="1">
      <alignment horizontal="center" vertical="center"/>
    </xf>
    <xf numFmtId="0" fontId="7" fillId="0" borderId="0" xfId="0" applyFont="1" applyAlignment="1">
      <alignment vertical="center"/>
    </xf>
    <xf numFmtId="0" fontId="8" fillId="0" borderId="15"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28" xfId="0" applyFont="1" applyBorder="1" applyAlignment="1">
      <alignment horizontal="center" vertical="center" wrapText="1"/>
    </xf>
    <xf numFmtId="0" fontId="8" fillId="0" borderId="29" xfId="0" applyFont="1" applyBorder="1" applyAlignment="1">
      <alignment horizontal="center" vertical="center" wrapText="1"/>
    </xf>
    <xf numFmtId="0" fontId="2" fillId="0" borderId="0" xfId="0" applyFont="1"/>
    <xf numFmtId="164" fontId="2" fillId="0" borderId="18" xfId="0" applyNumberFormat="1" applyFont="1" applyBorder="1" applyAlignment="1">
      <alignment horizontal="center" vertical="center"/>
    </xf>
    <xf numFmtId="18" fontId="0" fillId="0" borderId="2" xfId="0" applyNumberFormat="1" applyBorder="1" applyAlignment="1">
      <alignment horizontal="center" vertical="center"/>
    </xf>
    <xf numFmtId="1" fontId="0" fillId="0" borderId="2" xfId="0" applyNumberFormat="1" applyBorder="1" applyAlignment="1">
      <alignment horizontal="center" vertical="center"/>
    </xf>
    <xf numFmtId="0" fontId="0" fillId="0" borderId="2" xfId="0" applyBorder="1" applyAlignment="1">
      <alignment horizontal="center"/>
    </xf>
    <xf numFmtId="20" fontId="0" fillId="5" borderId="2" xfId="0" applyNumberFormat="1" applyFill="1" applyBorder="1" applyAlignment="1">
      <alignment horizontal="center"/>
    </xf>
    <xf numFmtId="0" fontId="8" fillId="0" borderId="2"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0" fillId="0" borderId="11" xfId="0" applyBorder="1"/>
    <xf numFmtId="0" fontId="0" fillId="0" borderId="12" xfId="0" applyBorder="1"/>
    <xf numFmtId="0" fontId="0" fillId="0" borderId="13" xfId="0" applyBorder="1"/>
    <xf numFmtId="0" fontId="0" fillId="4" borderId="34" xfId="0" applyFill="1" applyBorder="1" applyAlignment="1">
      <alignment horizontal="center" vertical="center"/>
    </xf>
    <xf numFmtId="0" fontId="0" fillId="0" borderId="0" xfId="0" applyProtection="1"/>
    <xf numFmtId="0" fontId="0" fillId="0" borderId="25" xfId="0" applyBorder="1" applyAlignment="1" applyProtection="1">
      <alignment horizontal="center"/>
    </xf>
    <xf numFmtId="0" fontId="0" fillId="0" borderId="2" xfId="0" applyFill="1" applyBorder="1" applyAlignment="1" applyProtection="1">
      <alignment horizontal="center"/>
    </xf>
    <xf numFmtId="0" fontId="0" fillId="0" borderId="20" xfId="0" applyBorder="1" applyAlignment="1" applyProtection="1">
      <alignment horizontal="center"/>
    </xf>
    <xf numFmtId="20" fontId="0" fillId="0" borderId="2" xfId="0" applyNumberFormat="1" applyFill="1" applyBorder="1" applyAlignment="1" applyProtection="1">
      <alignment horizontal="center"/>
    </xf>
    <xf numFmtId="1" fontId="0" fillId="7" borderId="2" xfId="0" applyNumberFormat="1" applyFill="1" applyBorder="1" applyAlignment="1" applyProtection="1">
      <alignment horizontal="center"/>
    </xf>
    <xf numFmtId="1" fontId="0" fillId="0" borderId="3" xfId="0" applyNumberFormat="1" applyBorder="1" applyProtection="1"/>
    <xf numFmtId="1" fontId="0" fillId="7" borderId="9" xfId="0" applyNumberFormat="1" applyFill="1" applyBorder="1" applyAlignment="1" applyProtection="1">
      <alignment horizontal="center"/>
    </xf>
    <xf numFmtId="1" fontId="0" fillId="7" borderId="20" xfId="0" applyNumberFormat="1" applyFill="1" applyBorder="1" applyAlignment="1" applyProtection="1">
      <alignment horizontal="center"/>
    </xf>
    <xf numFmtId="1" fontId="0" fillId="7" borderId="10" xfId="0" applyNumberFormat="1" applyFill="1" applyBorder="1" applyAlignment="1" applyProtection="1">
      <alignment horizontal="center"/>
    </xf>
    <xf numFmtId="1" fontId="0" fillId="7" borderId="12" xfId="0" applyNumberFormat="1" applyFill="1" applyBorder="1" applyAlignment="1" applyProtection="1">
      <alignment horizontal="center"/>
    </xf>
    <xf numFmtId="1" fontId="0" fillId="7" borderId="13" xfId="0" applyNumberFormat="1" applyFill="1" applyBorder="1" applyAlignment="1" applyProtection="1">
      <alignment horizontal="center"/>
    </xf>
    <xf numFmtId="0" fontId="0" fillId="5" borderId="0" xfId="0" applyFill="1"/>
    <xf numFmtId="0" fontId="0" fillId="0" borderId="2" xfId="0" applyBorder="1" applyAlignment="1">
      <alignment horizontal="center" vertical="center"/>
    </xf>
    <xf numFmtId="18" fontId="0" fillId="0" borderId="2" xfId="0" applyNumberFormat="1" applyBorder="1" applyAlignment="1">
      <alignment horizontal="center" vertical="center"/>
    </xf>
    <xf numFmtId="1" fontId="0" fillId="7" borderId="35" xfId="0" applyNumberFormat="1" applyFill="1" applyBorder="1" applyAlignment="1" applyProtection="1">
      <alignment horizontal="center"/>
    </xf>
    <xf numFmtId="0" fontId="0" fillId="0" borderId="2" xfId="0" applyBorder="1" applyAlignment="1">
      <alignment horizontal="center" vertical="center"/>
    </xf>
    <xf numFmtId="18" fontId="0" fillId="0" borderId="2" xfId="0" applyNumberFormat="1" applyBorder="1" applyAlignment="1">
      <alignment horizontal="center" vertical="center"/>
    </xf>
    <xf numFmtId="0" fontId="0" fillId="0" borderId="4" xfId="0" applyBorder="1" applyAlignment="1">
      <alignment vertical="center" wrapText="1"/>
    </xf>
    <xf numFmtId="0" fontId="0" fillId="0" borderId="2" xfId="0" quotePrefix="1" applyBorder="1" applyAlignment="1">
      <alignment vertical="center" wrapText="1"/>
    </xf>
    <xf numFmtId="164" fontId="2" fillId="0" borderId="37" xfId="0" applyNumberFormat="1" applyFont="1" applyBorder="1" applyAlignment="1">
      <alignment horizontal="center" vertical="center"/>
    </xf>
    <xf numFmtId="0" fontId="0" fillId="0" borderId="6" xfId="0" applyBorder="1" applyAlignment="1">
      <alignment horizontal="center" vertical="center"/>
    </xf>
    <xf numFmtId="0" fontId="0" fillId="0" borderId="38" xfId="0" applyBorder="1" applyAlignment="1">
      <alignment horizontal="center" vertical="center" wrapText="1"/>
    </xf>
    <xf numFmtId="0" fontId="0" fillId="0" borderId="8" xfId="0" quotePrefix="1" applyBorder="1" applyAlignment="1">
      <alignment horizontal="center" vertical="center" wrapText="1"/>
    </xf>
    <xf numFmtId="0" fontId="0" fillId="0" borderId="9" xfId="0" applyBorder="1" applyAlignment="1">
      <alignment horizontal="center" vertical="center"/>
    </xf>
    <xf numFmtId="0" fontId="0" fillId="0" borderId="11" xfId="0" applyBorder="1" applyAlignment="1">
      <alignment horizontal="center" vertical="center"/>
    </xf>
    <xf numFmtId="0" fontId="0" fillId="7" borderId="6" xfId="0" applyFill="1" applyBorder="1" applyAlignment="1">
      <alignment horizontal="center" vertical="center"/>
    </xf>
    <xf numFmtId="0" fontId="0" fillId="7" borderId="38" xfId="0" applyFill="1" applyBorder="1" applyAlignment="1">
      <alignment horizontal="center" vertical="center" wrapText="1"/>
    </xf>
    <xf numFmtId="0" fontId="0" fillId="7" borderId="8" xfId="0" quotePrefix="1" applyFill="1" applyBorder="1" applyAlignment="1">
      <alignment horizontal="center" vertical="center" wrapText="1"/>
    </xf>
    <xf numFmtId="0" fontId="0" fillId="7" borderId="9" xfId="0" applyFill="1" applyBorder="1" applyAlignment="1">
      <alignment horizontal="center" vertical="center"/>
    </xf>
    <xf numFmtId="0" fontId="0" fillId="7" borderId="2" xfId="0" applyFill="1" applyBorder="1" applyAlignment="1">
      <alignment horizontal="center" vertical="center"/>
    </xf>
    <xf numFmtId="0" fontId="0" fillId="7" borderId="11" xfId="0" applyFill="1" applyBorder="1" applyAlignment="1">
      <alignment horizontal="center" vertical="center"/>
    </xf>
    <xf numFmtId="0" fontId="0" fillId="7" borderId="10" xfId="0" applyFill="1" applyBorder="1" applyAlignment="1">
      <alignment horizontal="center" vertical="center"/>
    </xf>
    <xf numFmtId="0" fontId="0" fillId="7" borderId="12" xfId="0" applyFill="1" applyBorder="1" applyAlignment="1">
      <alignment horizontal="center" vertical="center"/>
    </xf>
    <xf numFmtId="0" fontId="0" fillId="7" borderId="13" xfId="0" applyFill="1" applyBorder="1" applyAlignment="1">
      <alignment horizontal="center" vertical="center"/>
    </xf>
    <xf numFmtId="0" fontId="0" fillId="5" borderId="10" xfId="0" applyFill="1" applyBorder="1" applyAlignment="1" applyProtection="1">
      <alignment horizontal="center" vertical="center"/>
      <protection locked="0"/>
    </xf>
    <xf numFmtId="0" fontId="0" fillId="5" borderId="12" xfId="0" applyFill="1" applyBorder="1" applyAlignment="1" applyProtection="1">
      <alignment horizontal="center" vertical="center"/>
      <protection locked="0"/>
    </xf>
    <xf numFmtId="0" fontId="0" fillId="5" borderId="13" xfId="0" applyFill="1" applyBorder="1" applyAlignment="1" applyProtection="1">
      <alignment horizontal="center" vertical="center"/>
      <protection locked="0"/>
    </xf>
    <xf numFmtId="0" fontId="0" fillId="0" borderId="2" xfId="0" applyBorder="1" applyAlignment="1">
      <alignment horizontal="center" vertical="center" wrapText="1"/>
    </xf>
    <xf numFmtId="0" fontId="0" fillId="0" borderId="2" xfId="0" applyBorder="1" applyAlignment="1">
      <alignment horizontal="center" vertical="center"/>
    </xf>
    <xf numFmtId="0" fontId="0" fillId="0" borderId="2" xfId="0" applyBorder="1" applyAlignment="1" applyProtection="1">
      <alignment horizontal="center" vertical="center"/>
    </xf>
    <xf numFmtId="0" fontId="0" fillId="5" borderId="0" xfId="0" applyFill="1" applyAlignment="1">
      <alignment horizontal="center"/>
    </xf>
    <xf numFmtId="0" fontId="2" fillId="7" borderId="16" xfId="0" applyFont="1" applyFill="1" applyBorder="1" applyAlignment="1" applyProtection="1">
      <alignment horizontal="center" vertical="center"/>
      <protection locked="0"/>
    </xf>
    <xf numFmtId="0" fontId="2" fillId="7" borderId="17" xfId="0" applyFont="1" applyFill="1" applyBorder="1" applyAlignment="1" applyProtection="1">
      <alignment horizontal="center" vertical="center"/>
      <protection locked="0"/>
    </xf>
    <xf numFmtId="0" fontId="0" fillId="0" borderId="26" xfId="0" applyBorder="1" applyAlignment="1" applyProtection="1">
      <alignment horizontal="center" vertical="center"/>
    </xf>
    <xf numFmtId="0" fontId="0" fillId="0" borderId="27" xfId="0" applyBorder="1" applyAlignment="1" applyProtection="1">
      <alignment horizontal="center" vertical="center"/>
    </xf>
    <xf numFmtId="0" fontId="0" fillId="0" borderId="6" xfId="0" applyBorder="1" applyAlignment="1" applyProtection="1">
      <alignment horizontal="center" vertical="center"/>
    </xf>
    <xf numFmtId="0" fontId="0" fillId="0" borderId="9" xfId="0" applyBorder="1" applyAlignment="1" applyProtection="1">
      <alignment horizontal="center" vertical="center"/>
    </xf>
    <xf numFmtId="0" fontId="2" fillId="0" borderId="0" xfId="0" applyFont="1" applyAlignment="1">
      <alignment horizontal="center"/>
    </xf>
    <xf numFmtId="0" fontId="5" fillId="3" borderId="14" xfId="0" applyFont="1" applyFill="1" applyBorder="1" applyAlignment="1">
      <alignment horizontal="center" vertical="center"/>
    </xf>
    <xf numFmtId="0" fontId="5" fillId="3" borderId="0" xfId="0" applyFont="1" applyFill="1" applyBorder="1" applyAlignment="1">
      <alignment horizontal="center" vertical="center"/>
    </xf>
    <xf numFmtId="0" fontId="0" fillId="0" borderId="2" xfId="0" applyFill="1" applyBorder="1" applyAlignment="1" applyProtection="1">
      <alignment horizontal="center" vertical="center"/>
    </xf>
    <xf numFmtId="0" fontId="0" fillId="0" borderId="3" xfId="0" applyBorder="1" applyAlignment="1" applyProtection="1">
      <alignment horizontal="center" vertical="center"/>
    </xf>
    <xf numFmtId="0" fontId="0" fillId="0" borderId="2" xfId="0" applyFill="1" applyBorder="1" applyAlignment="1">
      <alignment horizontal="center" vertical="center"/>
    </xf>
    <xf numFmtId="0" fontId="5" fillId="3" borderId="31" xfId="0" applyFont="1" applyFill="1" applyBorder="1" applyAlignment="1">
      <alignment horizontal="center" vertical="center"/>
    </xf>
    <xf numFmtId="0" fontId="5" fillId="3" borderId="33" xfId="0" applyFont="1" applyFill="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7" fillId="0" borderId="6" xfId="0" applyFont="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18" fontId="0" fillId="0" borderId="2" xfId="0" applyNumberFormat="1" applyBorder="1" applyAlignment="1">
      <alignment horizontal="center" vertical="center"/>
    </xf>
    <xf numFmtId="0" fontId="0" fillId="0" borderId="22" xfId="0" applyBorder="1" applyAlignment="1">
      <alignment horizontal="center" vertical="center" wrapText="1"/>
    </xf>
    <xf numFmtId="0" fontId="0" fillId="0" borderId="23" xfId="0"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wrapText="1"/>
    </xf>
    <xf numFmtId="0" fontId="0" fillId="0" borderId="9" xfId="0" applyBorder="1" applyAlignment="1">
      <alignment horizontal="center"/>
    </xf>
    <xf numFmtId="0" fontId="5" fillId="8" borderId="14" xfId="0" applyFont="1" applyFill="1" applyBorder="1" applyAlignment="1">
      <alignment horizontal="center" vertical="center"/>
    </xf>
    <xf numFmtId="0" fontId="5" fillId="8" borderId="0" xfId="0" applyFont="1" applyFill="1" applyBorder="1" applyAlignment="1">
      <alignment horizontal="center" vertical="center"/>
    </xf>
    <xf numFmtId="0" fontId="0" fillId="0" borderId="3" xfId="0" quotePrefix="1"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center" wrapText="1"/>
    </xf>
    <xf numFmtId="0" fontId="0" fillId="0" borderId="2" xfId="0" quotePrefix="1" applyBorder="1" applyAlignment="1">
      <alignment horizontal="center" vertical="center" wrapText="1"/>
    </xf>
    <xf numFmtId="0" fontId="2" fillId="7" borderId="18" xfId="0" applyFont="1" applyFill="1" applyBorder="1" applyAlignment="1" applyProtection="1">
      <alignment horizontal="center" vertical="center"/>
      <protection locked="0"/>
    </xf>
    <xf numFmtId="164" fontId="2" fillId="0" borderId="16" xfId="0" applyNumberFormat="1" applyFont="1" applyBorder="1" applyAlignment="1">
      <alignment horizontal="center" vertical="center"/>
    </xf>
    <xf numFmtId="164" fontId="2" fillId="0" borderId="17" xfId="0" applyNumberFormat="1" applyFont="1" applyBorder="1" applyAlignment="1">
      <alignment horizontal="center" vertical="center"/>
    </xf>
    <xf numFmtId="164" fontId="2" fillId="0" borderId="18" xfId="0" applyNumberFormat="1" applyFont="1" applyBorder="1" applyAlignment="1">
      <alignment horizontal="center" vertical="center"/>
    </xf>
    <xf numFmtId="0" fontId="2" fillId="7" borderId="21" xfId="0" applyFont="1" applyFill="1" applyBorder="1" applyAlignment="1" applyProtection="1">
      <alignment horizontal="center" vertical="center"/>
      <protection locked="0"/>
    </xf>
    <xf numFmtId="0" fontId="2" fillId="7" borderId="36" xfId="0" applyFont="1" applyFill="1" applyBorder="1" applyAlignment="1" applyProtection="1">
      <alignment horizontal="center" vertical="center"/>
      <protection locked="0"/>
    </xf>
    <xf numFmtId="0" fontId="3" fillId="4" borderId="0" xfId="0" applyFont="1" applyFill="1" applyAlignment="1">
      <alignment horizontal="center"/>
    </xf>
    <xf numFmtId="0" fontId="3" fillId="4" borderId="39" xfId="0" applyFont="1" applyFill="1" applyBorder="1" applyAlignment="1">
      <alignment horizontal="center"/>
    </xf>
    <xf numFmtId="0" fontId="0" fillId="0" borderId="19" xfId="0" applyBorder="1" applyAlignment="1">
      <alignment horizontal="center" vertical="center"/>
    </xf>
    <xf numFmtId="0" fontId="0" fillId="0" borderId="34" xfId="0" applyBorder="1" applyAlignment="1">
      <alignment horizontal="center" vertical="center"/>
    </xf>
    <xf numFmtId="0" fontId="0" fillId="0" borderId="20" xfId="0" applyBorder="1" applyAlignment="1">
      <alignment horizontal="center" vertical="center"/>
    </xf>
    <xf numFmtId="0" fontId="0" fillId="0" borderId="30" xfId="0" applyBorder="1" applyAlignment="1">
      <alignment horizontal="center"/>
    </xf>
    <xf numFmtId="0" fontId="0" fillId="4" borderId="0" xfId="0" applyFill="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10" fillId="4" borderId="0" xfId="0" applyFont="1" applyFill="1" applyAlignment="1">
      <alignment horizontal="center"/>
    </xf>
    <xf numFmtId="0" fontId="11" fillId="0" borderId="0" xfId="0" applyFont="1"/>
    <xf numFmtId="0" fontId="12" fillId="3" borderId="2" xfId="0" applyFont="1" applyFill="1" applyBorder="1" applyAlignment="1">
      <alignment horizontal="center" vertical="center"/>
    </xf>
    <xf numFmtId="0" fontId="11" fillId="0" borderId="2" xfId="0" applyFont="1" applyBorder="1" applyAlignment="1">
      <alignment horizontal="center" vertical="center" wrapText="1"/>
    </xf>
    <xf numFmtId="0" fontId="11" fillId="0" borderId="2" xfId="0" applyFont="1" applyBorder="1" applyAlignment="1">
      <alignment horizontal="center" vertical="center"/>
    </xf>
    <xf numFmtId="0" fontId="11" fillId="5" borderId="3" xfId="0" applyFont="1" applyFill="1" applyBorder="1" applyAlignment="1" applyProtection="1">
      <alignment horizontal="center" vertical="center"/>
      <protection locked="0"/>
    </xf>
    <xf numFmtId="0" fontId="11" fillId="5" borderId="4" xfId="0" applyFont="1" applyFill="1" applyBorder="1" applyAlignment="1" applyProtection="1">
      <alignment horizontal="center" vertical="center"/>
      <protection locked="0"/>
    </xf>
    <xf numFmtId="0" fontId="11" fillId="0" borderId="2" xfId="0" applyFont="1" applyBorder="1" applyAlignment="1">
      <alignment horizontal="center" vertical="center"/>
    </xf>
    <xf numFmtId="0" fontId="13" fillId="5" borderId="2" xfId="1" applyFont="1" applyFill="1" applyBorder="1" applyAlignment="1" applyProtection="1">
      <alignment horizontal="center" vertical="center"/>
      <protection locked="0"/>
    </xf>
    <xf numFmtId="0" fontId="13" fillId="5" borderId="2" xfId="1" applyFont="1" applyFill="1" applyBorder="1" applyAlignment="1" applyProtection="1">
      <alignment horizontal="center"/>
      <protection locked="0"/>
    </xf>
    <xf numFmtId="0" fontId="11" fillId="0" borderId="2" xfId="0" applyFont="1" applyFill="1" applyBorder="1" applyAlignment="1">
      <alignment vertical="center" wrapText="1"/>
    </xf>
    <xf numFmtId="0" fontId="11" fillId="5" borderId="2" xfId="0" applyFont="1" applyFill="1" applyBorder="1" applyAlignment="1" applyProtection="1">
      <alignment vertical="center"/>
    </xf>
    <xf numFmtId="0" fontId="11" fillId="0" borderId="2" xfId="0" applyFont="1" applyFill="1" applyBorder="1" applyAlignment="1">
      <alignment horizontal="center" vertical="center" wrapText="1"/>
    </xf>
    <xf numFmtId="0" fontId="11" fillId="5" borderId="2" xfId="0" applyFont="1" applyFill="1" applyBorder="1" applyAlignment="1" applyProtection="1">
      <alignment horizontal="center" vertical="center"/>
      <protection locked="0"/>
    </xf>
    <xf numFmtId="0" fontId="11" fillId="0" borderId="2" xfId="0" quotePrefix="1" applyFont="1" applyFill="1" applyBorder="1" applyAlignment="1">
      <alignment horizontal="center" vertical="center"/>
    </xf>
    <xf numFmtId="0" fontId="14" fillId="0" borderId="2" xfId="0" quotePrefix="1" applyFont="1" applyFill="1" applyBorder="1" applyAlignment="1">
      <alignment horizontal="center" vertical="center"/>
    </xf>
    <xf numFmtId="0" fontId="11" fillId="0" borderId="2" xfId="0" applyFont="1" applyFill="1" applyBorder="1" applyAlignment="1" applyProtection="1">
      <alignment horizontal="center" vertical="center"/>
    </xf>
    <xf numFmtId="0" fontId="14" fillId="0" borderId="19" xfId="0" applyFont="1" applyFill="1" applyBorder="1" applyAlignment="1">
      <alignment horizontal="center" vertical="center" wrapText="1"/>
    </xf>
    <xf numFmtId="0" fontId="15" fillId="0" borderId="19" xfId="0" applyFont="1" applyFill="1" applyBorder="1" applyAlignment="1" applyProtection="1">
      <alignment horizontal="center" vertical="center"/>
    </xf>
    <xf numFmtId="0" fontId="14" fillId="0" borderId="21" xfId="0" applyFont="1" applyBorder="1" applyAlignment="1">
      <alignment horizontal="center"/>
    </xf>
    <xf numFmtId="0" fontId="15" fillId="0" borderId="24" xfId="0" applyFont="1" applyFill="1" applyBorder="1" applyAlignment="1" applyProtection="1">
      <alignment horizontal="center" vertical="center"/>
    </xf>
    <xf numFmtId="0" fontId="15" fillId="0" borderId="17" xfId="0" applyFont="1" applyFill="1" applyBorder="1" applyAlignment="1" applyProtection="1">
      <alignment horizontal="center" vertical="center"/>
    </xf>
    <xf numFmtId="0" fontId="15" fillId="0" borderId="18" xfId="0" applyFont="1" applyFill="1" applyBorder="1" applyAlignment="1" applyProtection="1">
      <alignment horizontal="center" vertical="center"/>
    </xf>
  </cellXfs>
  <cellStyles count="2">
    <cellStyle name="Input" xfId="1" builtinId="20"/>
    <cellStyle name="Normal" xfId="0" builtinId="0"/>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5652790846669203E-2"/>
          <c:y val="3.3182503770739065E-2"/>
          <c:w val="0.96869441830666159"/>
          <c:h val="0.93061840120663653"/>
        </c:manualLayout>
      </c:layout>
      <c:scatterChart>
        <c:scatterStyle val="lineMarker"/>
        <c:varyColors val="0"/>
        <c:ser>
          <c:idx val="2"/>
          <c:order val="0"/>
          <c:spPr>
            <a:ln w="19050">
              <a:noFill/>
            </a:ln>
          </c:spPr>
          <c:marker>
            <c:symbol val="circle"/>
            <c:size val="6"/>
            <c:spPr>
              <a:solidFill>
                <a:srgbClr val="FF0000"/>
              </a:solidFill>
              <a:ln>
                <a:noFill/>
              </a:ln>
            </c:spPr>
          </c:marker>
          <c:xVal>
            <c:numRef>
              <c:f>'Warrant 2'!$B$3:$B$26</c:f>
              <c:numCache>
                <c:formatCode>General</c:formatCode>
                <c:ptCount val="24"/>
                <c:pt idx="0">
                  <c:v>557.80047360000015</c:v>
                </c:pt>
                <c:pt idx="1">
                  <c:v>439.4379340800001</c:v>
                </c:pt>
                <c:pt idx="2">
                  <c:v>531.95118336000019</c:v>
                </c:pt>
                <c:pt idx="3">
                  <c:v>503.38091520000012</c:v>
                </c:pt>
                <c:pt idx="4">
                  <c:v>140.13036288000004</c:v>
                </c:pt>
                <c:pt idx="5">
                  <c:v>330.59881728000005</c:v>
                </c:pt>
                <c:pt idx="6">
                  <c:v>357.80859648000006</c:v>
                </c:pt>
                <c:pt idx="7">
                  <c:v>291.14463744000005</c:v>
                </c:pt>
                <c:pt idx="8">
                  <c:v>306.11001600000009</c:v>
                </c:pt>
                <c:pt idx="9">
                  <c:v>300.6680601600001</c:v>
                </c:pt>
                <c:pt idx="10">
                  <c:v>277.53974784000008</c:v>
                </c:pt>
                <c:pt idx="11">
                  <c:v>281.62121472000007</c:v>
                </c:pt>
                <c:pt idx="12">
                  <c:v>0</c:v>
                </c:pt>
                <c:pt idx="13">
                  <c:v>0</c:v>
                </c:pt>
                <c:pt idx="14">
                  <c:v>0</c:v>
                </c:pt>
                <c:pt idx="15">
                  <c:v>0</c:v>
                </c:pt>
                <c:pt idx="16">
                  <c:v>0</c:v>
                </c:pt>
                <c:pt idx="17">
                  <c:v>0</c:v>
                </c:pt>
                <c:pt idx="18">
                  <c:v>0</c:v>
                </c:pt>
                <c:pt idx="19">
                  <c:v>0</c:v>
                </c:pt>
                <c:pt idx="20">
                  <c:v>0</c:v>
                </c:pt>
                <c:pt idx="21">
                  <c:v>0</c:v>
                </c:pt>
                <c:pt idx="22">
                  <c:v>0</c:v>
                </c:pt>
                <c:pt idx="23">
                  <c:v>0</c:v>
                </c:pt>
              </c:numCache>
            </c:numRef>
          </c:xVal>
          <c:yVal>
            <c:numRef>
              <c:f>'Warrant 2'!$C$3:$C$26</c:f>
              <c:numCache>
                <c:formatCode>General</c:formatCode>
                <c:ptCount val="24"/>
                <c:pt idx="0">
                  <c:v>242.16703488000005</c:v>
                </c:pt>
                <c:pt idx="1">
                  <c:v>293.86561536000005</c:v>
                </c:pt>
                <c:pt idx="2">
                  <c:v>185.02649856000005</c:v>
                </c:pt>
                <c:pt idx="3">
                  <c:v>197.2708992</c:v>
                </c:pt>
                <c:pt idx="4">
                  <c:v>457.12429056000008</c:v>
                </c:pt>
                <c:pt idx="5">
                  <c:v>170.06112000000005</c:v>
                </c:pt>
                <c:pt idx="6">
                  <c:v>142.85134080000003</c:v>
                </c:pt>
                <c:pt idx="7">
                  <c:v>175.50307584000006</c:v>
                </c:pt>
                <c:pt idx="8">
                  <c:v>140.13036288000004</c:v>
                </c:pt>
                <c:pt idx="9">
                  <c:v>142.85134080000003</c:v>
                </c:pt>
                <c:pt idx="10">
                  <c:v>151.01427456000005</c:v>
                </c:pt>
                <c:pt idx="11">
                  <c:v>141.49085184000006</c:v>
                </c:pt>
                <c:pt idx="12">
                  <c:v>0</c:v>
                </c:pt>
                <c:pt idx="13">
                  <c:v>0</c:v>
                </c:pt>
                <c:pt idx="14">
                  <c:v>0</c:v>
                </c:pt>
                <c:pt idx="15">
                  <c:v>0</c:v>
                </c:pt>
                <c:pt idx="16">
                  <c:v>0</c:v>
                </c:pt>
                <c:pt idx="17">
                  <c:v>0</c:v>
                </c:pt>
                <c:pt idx="18">
                  <c:v>0</c:v>
                </c:pt>
                <c:pt idx="19">
                  <c:v>0</c:v>
                </c:pt>
                <c:pt idx="20">
                  <c:v>0</c:v>
                </c:pt>
                <c:pt idx="21">
                  <c:v>0</c:v>
                </c:pt>
                <c:pt idx="22">
                  <c:v>0</c:v>
                </c:pt>
                <c:pt idx="23">
                  <c:v>0</c:v>
                </c:pt>
              </c:numCache>
            </c:numRef>
          </c:yVal>
          <c:smooth val="0"/>
          <c:extLst>
            <c:ext xmlns:c16="http://schemas.microsoft.com/office/drawing/2014/chart" uri="{C3380CC4-5D6E-409C-BE32-E72D297353CC}">
              <c16:uniqueId val="{00000006-F9E2-4D9D-AF3E-4AAEF095AA6B}"/>
            </c:ext>
          </c:extLst>
        </c:ser>
        <c:dLbls>
          <c:showLegendKey val="0"/>
          <c:showVal val="0"/>
          <c:showCatName val="0"/>
          <c:showSerName val="0"/>
          <c:showPercent val="0"/>
          <c:showBubbleSize val="0"/>
        </c:dLbls>
        <c:axId val="690544880"/>
        <c:axId val="690545208"/>
      </c:scatterChart>
      <c:valAx>
        <c:axId val="690544880"/>
        <c:scaling>
          <c:orientation val="minMax"/>
          <c:max val="2500"/>
          <c:min val="300"/>
        </c:scaling>
        <c:delete val="1"/>
        <c:axPos val="b"/>
        <c:majorGridlines>
          <c:spPr>
            <a:ln w="9525" cap="flat" cmpd="sng" algn="ctr">
              <a:noFill/>
              <a:round/>
            </a:ln>
            <a:effectLst/>
          </c:spPr>
        </c:majorGridlines>
        <c:numFmt formatCode="General" sourceLinked="1"/>
        <c:majorTickMark val="none"/>
        <c:minorTickMark val="none"/>
        <c:tickLblPos val="nextTo"/>
        <c:crossAx val="690545208"/>
        <c:crosses val="autoZero"/>
        <c:crossBetween val="midCat"/>
        <c:majorUnit val="1100"/>
      </c:valAx>
      <c:valAx>
        <c:axId val="690545208"/>
        <c:scaling>
          <c:orientation val="minMax"/>
          <c:max val="1000"/>
          <c:min val="0"/>
        </c:scaling>
        <c:delete val="1"/>
        <c:axPos val="l"/>
        <c:majorGridlines>
          <c:spPr>
            <a:ln w="9525" cap="flat" cmpd="sng" algn="ctr">
              <a:noFill/>
              <a:round/>
            </a:ln>
            <a:effectLst/>
          </c:spPr>
        </c:majorGridlines>
        <c:numFmt formatCode="General" sourceLinked="1"/>
        <c:majorTickMark val="none"/>
        <c:minorTickMark val="none"/>
        <c:tickLblPos val="nextTo"/>
        <c:crossAx val="690544880"/>
        <c:crosses val="autoZero"/>
        <c:crossBetween val="midCat"/>
        <c:majorUnit val="500"/>
      </c:valAx>
      <c:spPr>
        <a:noFill/>
        <a:ln>
          <a:noFill/>
        </a:ln>
      </c:spPr>
    </c:plotArea>
    <c:plotVisOnly val="1"/>
    <c:dispBlanksAs val="gap"/>
    <c:showDLblsOverMax val="0"/>
  </c:chart>
  <c:spPr>
    <a:noFill/>
    <a:ln>
      <a:noFill/>
    </a:ln>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2"/>
          <c:order val="0"/>
          <c:spPr>
            <a:ln w="19050">
              <a:noFill/>
            </a:ln>
          </c:spPr>
          <c:marker>
            <c:symbol val="circle"/>
            <c:size val="5"/>
            <c:spPr>
              <a:solidFill>
                <a:srgbClr val="FF0000"/>
              </a:solidFill>
              <a:ln>
                <a:noFill/>
              </a:ln>
            </c:spPr>
          </c:marker>
          <c:xVal>
            <c:numRef>
              <c:f>'Warrant 2'!$B$3:$B$26</c:f>
              <c:numCache>
                <c:formatCode>General</c:formatCode>
                <c:ptCount val="24"/>
                <c:pt idx="0">
                  <c:v>557.80047360000015</c:v>
                </c:pt>
                <c:pt idx="1">
                  <c:v>439.4379340800001</c:v>
                </c:pt>
                <c:pt idx="2">
                  <c:v>531.95118336000019</c:v>
                </c:pt>
                <c:pt idx="3">
                  <c:v>503.38091520000012</c:v>
                </c:pt>
                <c:pt idx="4">
                  <c:v>140.13036288000004</c:v>
                </c:pt>
                <c:pt idx="5">
                  <c:v>330.59881728000005</c:v>
                </c:pt>
                <c:pt idx="6">
                  <c:v>357.80859648000006</c:v>
                </c:pt>
                <c:pt idx="7">
                  <c:v>291.14463744000005</c:v>
                </c:pt>
                <c:pt idx="8">
                  <c:v>306.11001600000009</c:v>
                </c:pt>
                <c:pt idx="9">
                  <c:v>300.6680601600001</c:v>
                </c:pt>
                <c:pt idx="10">
                  <c:v>277.53974784000008</c:v>
                </c:pt>
                <c:pt idx="11">
                  <c:v>281.62121472000007</c:v>
                </c:pt>
                <c:pt idx="12">
                  <c:v>0</c:v>
                </c:pt>
                <c:pt idx="13">
                  <c:v>0</c:v>
                </c:pt>
                <c:pt idx="14">
                  <c:v>0</c:v>
                </c:pt>
                <c:pt idx="15">
                  <c:v>0</c:v>
                </c:pt>
                <c:pt idx="16">
                  <c:v>0</c:v>
                </c:pt>
                <c:pt idx="17">
                  <c:v>0</c:v>
                </c:pt>
                <c:pt idx="18">
                  <c:v>0</c:v>
                </c:pt>
                <c:pt idx="19">
                  <c:v>0</c:v>
                </c:pt>
                <c:pt idx="20">
                  <c:v>0</c:v>
                </c:pt>
                <c:pt idx="21">
                  <c:v>0</c:v>
                </c:pt>
                <c:pt idx="22">
                  <c:v>0</c:v>
                </c:pt>
                <c:pt idx="23">
                  <c:v>0</c:v>
                </c:pt>
              </c:numCache>
            </c:numRef>
          </c:xVal>
          <c:yVal>
            <c:numRef>
              <c:f>'Warrant 2'!$C$3:$C$26</c:f>
              <c:numCache>
                <c:formatCode>General</c:formatCode>
                <c:ptCount val="24"/>
                <c:pt idx="0">
                  <c:v>242.16703488000005</c:v>
                </c:pt>
                <c:pt idx="1">
                  <c:v>293.86561536000005</c:v>
                </c:pt>
                <c:pt idx="2">
                  <c:v>185.02649856000005</c:v>
                </c:pt>
                <c:pt idx="3">
                  <c:v>197.2708992</c:v>
                </c:pt>
                <c:pt idx="4">
                  <c:v>457.12429056000008</c:v>
                </c:pt>
                <c:pt idx="5">
                  <c:v>170.06112000000005</c:v>
                </c:pt>
                <c:pt idx="6">
                  <c:v>142.85134080000003</c:v>
                </c:pt>
                <c:pt idx="7">
                  <c:v>175.50307584000006</c:v>
                </c:pt>
                <c:pt idx="8">
                  <c:v>140.13036288000004</c:v>
                </c:pt>
                <c:pt idx="9">
                  <c:v>142.85134080000003</c:v>
                </c:pt>
                <c:pt idx="10">
                  <c:v>151.01427456000005</c:v>
                </c:pt>
                <c:pt idx="11">
                  <c:v>141.49085184000006</c:v>
                </c:pt>
                <c:pt idx="12">
                  <c:v>0</c:v>
                </c:pt>
                <c:pt idx="13">
                  <c:v>0</c:v>
                </c:pt>
                <c:pt idx="14">
                  <c:v>0</c:v>
                </c:pt>
                <c:pt idx="15">
                  <c:v>0</c:v>
                </c:pt>
                <c:pt idx="16">
                  <c:v>0</c:v>
                </c:pt>
                <c:pt idx="17">
                  <c:v>0</c:v>
                </c:pt>
                <c:pt idx="18">
                  <c:v>0</c:v>
                </c:pt>
                <c:pt idx="19">
                  <c:v>0</c:v>
                </c:pt>
                <c:pt idx="20">
                  <c:v>0</c:v>
                </c:pt>
                <c:pt idx="21">
                  <c:v>0</c:v>
                </c:pt>
                <c:pt idx="22">
                  <c:v>0</c:v>
                </c:pt>
                <c:pt idx="23">
                  <c:v>0</c:v>
                </c:pt>
              </c:numCache>
            </c:numRef>
          </c:yVal>
          <c:smooth val="0"/>
          <c:extLst>
            <c:ext xmlns:c16="http://schemas.microsoft.com/office/drawing/2014/chart" uri="{C3380CC4-5D6E-409C-BE32-E72D297353CC}">
              <c16:uniqueId val="{00000000-97CF-4419-B3CD-AD3B0C9CCEF8}"/>
            </c:ext>
          </c:extLst>
        </c:ser>
        <c:dLbls>
          <c:showLegendKey val="0"/>
          <c:showVal val="0"/>
          <c:showCatName val="0"/>
          <c:showSerName val="0"/>
          <c:showPercent val="0"/>
          <c:showBubbleSize val="0"/>
        </c:dLbls>
        <c:axId val="690544880"/>
        <c:axId val="690545208"/>
      </c:scatterChart>
      <c:valAx>
        <c:axId val="690544880"/>
        <c:scaling>
          <c:orientation val="minMax"/>
          <c:max val="1800"/>
          <c:min val="200"/>
        </c:scaling>
        <c:delete val="1"/>
        <c:axPos val="b"/>
        <c:majorGridlines>
          <c:spPr>
            <a:ln w="9525" cap="flat" cmpd="sng" algn="ctr">
              <a:noFill/>
              <a:round/>
            </a:ln>
            <a:effectLst/>
          </c:spPr>
        </c:majorGridlines>
        <c:numFmt formatCode="General" sourceLinked="1"/>
        <c:majorTickMark val="none"/>
        <c:minorTickMark val="none"/>
        <c:tickLblPos val="nextTo"/>
        <c:crossAx val="690545208"/>
        <c:crosses val="autoZero"/>
        <c:crossBetween val="midCat"/>
        <c:majorUnit val="800"/>
      </c:valAx>
      <c:valAx>
        <c:axId val="690545208"/>
        <c:scaling>
          <c:orientation val="minMax"/>
          <c:max val="800"/>
          <c:min val="0"/>
        </c:scaling>
        <c:delete val="1"/>
        <c:axPos val="l"/>
        <c:majorGridlines>
          <c:spPr>
            <a:ln w="9525" cap="flat" cmpd="sng" algn="ctr">
              <a:noFill/>
              <a:round/>
            </a:ln>
            <a:effectLst/>
          </c:spPr>
        </c:majorGridlines>
        <c:numFmt formatCode="General" sourceLinked="1"/>
        <c:majorTickMark val="none"/>
        <c:minorTickMark val="none"/>
        <c:tickLblPos val="nextTo"/>
        <c:crossAx val="690544880"/>
        <c:crosses val="autoZero"/>
        <c:crossBetween val="midCat"/>
        <c:majorUnit val="400"/>
      </c:valAx>
      <c:spPr>
        <a:noFill/>
        <a:ln>
          <a:noFill/>
        </a:ln>
      </c:spPr>
    </c:plotArea>
    <c:plotVisOnly val="1"/>
    <c:dispBlanksAs val="gap"/>
    <c:showDLblsOverMax val="0"/>
  </c:chart>
  <c:spPr>
    <a:noFill/>
    <a:ln>
      <a:noFill/>
    </a:ln>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rgbClr val="FF0000"/>
              </a:solidFill>
              <a:ln w="9525">
                <a:noFill/>
              </a:ln>
              <a:effectLst/>
            </c:spPr>
          </c:marker>
          <c:xVal>
            <c:numRef>
              <c:f>'Warrant 4'!$C$5:$C$28</c:f>
              <c:numCache>
                <c:formatCode>0</c:formatCode>
                <c:ptCount val="24"/>
                <c:pt idx="0">
                  <c:v>140.13036288000004</c:v>
                </c:pt>
                <c:pt idx="1">
                  <c:v>330.59881728000005</c:v>
                </c:pt>
                <c:pt idx="2">
                  <c:v>291.14463744000005</c:v>
                </c:pt>
                <c:pt idx="3">
                  <c:v>357.80859648000006</c:v>
                </c:pt>
                <c:pt idx="4">
                  <c:v>306.11001600000009</c:v>
                </c:pt>
                <c:pt idx="5">
                  <c:v>281.62121472000007</c:v>
                </c:pt>
                <c:pt idx="6">
                  <c:v>300.6680601600001</c:v>
                </c:pt>
                <c:pt idx="7">
                  <c:v>277.53974784000008</c:v>
                </c:pt>
                <c:pt idx="8">
                  <c:v>503.38091520000012</c:v>
                </c:pt>
                <c:pt idx="9">
                  <c:v>531.95118336000019</c:v>
                </c:pt>
                <c:pt idx="10">
                  <c:v>557.80047360000015</c:v>
                </c:pt>
                <c:pt idx="11">
                  <c:v>439.4379340800001</c:v>
                </c:pt>
                <c:pt idx="12">
                  <c:v>0</c:v>
                </c:pt>
                <c:pt idx="13">
                  <c:v>0</c:v>
                </c:pt>
                <c:pt idx="14">
                  <c:v>0</c:v>
                </c:pt>
                <c:pt idx="15">
                  <c:v>0</c:v>
                </c:pt>
                <c:pt idx="16">
                  <c:v>0</c:v>
                </c:pt>
                <c:pt idx="17">
                  <c:v>0</c:v>
                </c:pt>
                <c:pt idx="18">
                  <c:v>0</c:v>
                </c:pt>
                <c:pt idx="19">
                  <c:v>0</c:v>
                </c:pt>
                <c:pt idx="20">
                  <c:v>0</c:v>
                </c:pt>
                <c:pt idx="21">
                  <c:v>0</c:v>
                </c:pt>
                <c:pt idx="22">
                  <c:v>0</c:v>
                </c:pt>
                <c:pt idx="23">
                  <c:v>0</c:v>
                </c:pt>
              </c:numCache>
            </c:numRef>
          </c:xVal>
          <c:yVal>
            <c:numRef>
              <c:f>'Warrant 4'!$D$5:$D$28</c:f>
              <c:numCache>
                <c:formatCode>0</c:formatCode>
                <c:ptCount val="24"/>
                <c:pt idx="0">
                  <c:v>4.0814668800000007</c:v>
                </c:pt>
                <c:pt idx="1">
                  <c:v>4.0814668800000007</c:v>
                </c:pt>
                <c:pt idx="2">
                  <c:v>4.0814668800000007</c:v>
                </c:pt>
                <c:pt idx="3">
                  <c:v>4.0814668800000007</c:v>
                </c:pt>
                <c:pt idx="4">
                  <c:v>4.0814668800000007</c:v>
                </c:pt>
                <c:pt idx="5">
                  <c:v>4.0814668800000007</c:v>
                </c:pt>
                <c:pt idx="6">
                  <c:v>4.0814668800000007</c:v>
                </c:pt>
                <c:pt idx="7">
                  <c:v>4.0814668800000007</c:v>
                </c:pt>
                <c:pt idx="8">
                  <c:v>4.0814668800000007</c:v>
                </c:pt>
                <c:pt idx="9">
                  <c:v>4.0814668800000007</c:v>
                </c:pt>
                <c:pt idx="10">
                  <c:v>4.0814668800000007</c:v>
                </c:pt>
                <c:pt idx="11">
                  <c:v>4.0814668800000007</c:v>
                </c:pt>
                <c:pt idx="12">
                  <c:v>4.0814668800000007</c:v>
                </c:pt>
                <c:pt idx="13">
                  <c:v>4.0814668800000007</c:v>
                </c:pt>
                <c:pt idx="14">
                  <c:v>4.0814668800000007</c:v>
                </c:pt>
                <c:pt idx="15">
                  <c:v>4.0814668800000007</c:v>
                </c:pt>
                <c:pt idx="16">
                  <c:v>4.0814668800000007</c:v>
                </c:pt>
                <c:pt idx="17">
                  <c:v>4.0814668800000007</c:v>
                </c:pt>
                <c:pt idx="18">
                  <c:v>4.0814668800000007</c:v>
                </c:pt>
                <c:pt idx="19">
                  <c:v>4.0814668800000007</c:v>
                </c:pt>
                <c:pt idx="20">
                  <c:v>4.0814668800000007</c:v>
                </c:pt>
                <c:pt idx="21">
                  <c:v>4.0814668800000007</c:v>
                </c:pt>
                <c:pt idx="22">
                  <c:v>4.0814668800000007</c:v>
                </c:pt>
                <c:pt idx="23">
                  <c:v>2.7209779200000006</c:v>
                </c:pt>
              </c:numCache>
            </c:numRef>
          </c:yVal>
          <c:smooth val="0"/>
          <c:extLst>
            <c:ext xmlns:c16="http://schemas.microsoft.com/office/drawing/2014/chart" uri="{C3380CC4-5D6E-409C-BE32-E72D297353CC}">
              <c16:uniqueId val="{00000000-7A2C-4FF5-A52D-4849C1467C82}"/>
            </c:ext>
          </c:extLst>
        </c:ser>
        <c:dLbls>
          <c:showLegendKey val="0"/>
          <c:showVal val="0"/>
          <c:showCatName val="0"/>
          <c:showSerName val="0"/>
          <c:showPercent val="0"/>
          <c:showBubbleSize val="0"/>
        </c:dLbls>
        <c:axId val="590642296"/>
        <c:axId val="590642952"/>
      </c:scatterChart>
      <c:valAx>
        <c:axId val="590642296"/>
        <c:scaling>
          <c:orientation val="minMax"/>
          <c:max val="2500"/>
          <c:min val="300"/>
        </c:scaling>
        <c:delete val="1"/>
        <c:axPos val="b"/>
        <c:majorGridlines>
          <c:spPr>
            <a:ln w="9525" cap="flat" cmpd="sng" algn="ctr">
              <a:noFill/>
              <a:round/>
            </a:ln>
            <a:effectLst/>
          </c:spPr>
        </c:majorGridlines>
        <c:numFmt formatCode="0" sourceLinked="1"/>
        <c:majorTickMark val="none"/>
        <c:minorTickMark val="none"/>
        <c:tickLblPos val="nextTo"/>
        <c:crossAx val="590642952"/>
        <c:crosses val="autoZero"/>
        <c:crossBetween val="midCat"/>
        <c:majorUnit val="1100"/>
      </c:valAx>
      <c:valAx>
        <c:axId val="590642952"/>
        <c:scaling>
          <c:orientation val="minMax"/>
          <c:max val="1000"/>
          <c:min val="0"/>
        </c:scaling>
        <c:delete val="1"/>
        <c:axPos val="l"/>
        <c:majorGridlines>
          <c:spPr>
            <a:ln w="9525" cap="flat" cmpd="sng" algn="ctr">
              <a:noFill/>
              <a:round/>
            </a:ln>
            <a:effectLst/>
          </c:spPr>
        </c:majorGridlines>
        <c:numFmt formatCode="0" sourceLinked="1"/>
        <c:majorTickMark val="none"/>
        <c:minorTickMark val="none"/>
        <c:tickLblPos val="nextTo"/>
        <c:crossAx val="590642296"/>
        <c:crosses val="autoZero"/>
        <c:crossBetween val="midCat"/>
        <c:majorUnit val="500"/>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rgbClr val="FF0000"/>
              </a:solidFill>
              <a:ln w="9525">
                <a:noFill/>
              </a:ln>
              <a:effectLst/>
            </c:spPr>
          </c:marker>
          <c:xVal>
            <c:numRef>
              <c:f>'Warrant 4'!$C$5:$C$28</c:f>
              <c:numCache>
                <c:formatCode>0</c:formatCode>
                <c:ptCount val="24"/>
                <c:pt idx="0">
                  <c:v>140.13036288000004</c:v>
                </c:pt>
                <c:pt idx="1">
                  <c:v>330.59881728000005</c:v>
                </c:pt>
                <c:pt idx="2">
                  <c:v>291.14463744000005</c:v>
                </c:pt>
                <c:pt idx="3">
                  <c:v>357.80859648000006</c:v>
                </c:pt>
                <c:pt idx="4">
                  <c:v>306.11001600000009</c:v>
                </c:pt>
                <c:pt idx="5">
                  <c:v>281.62121472000007</c:v>
                </c:pt>
                <c:pt idx="6">
                  <c:v>300.6680601600001</c:v>
                </c:pt>
                <c:pt idx="7">
                  <c:v>277.53974784000008</c:v>
                </c:pt>
                <c:pt idx="8">
                  <c:v>503.38091520000012</c:v>
                </c:pt>
                <c:pt idx="9">
                  <c:v>531.95118336000019</c:v>
                </c:pt>
                <c:pt idx="10">
                  <c:v>557.80047360000015</c:v>
                </c:pt>
                <c:pt idx="11">
                  <c:v>439.4379340800001</c:v>
                </c:pt>
                <c:pt idx="12">
                  <c:v>0</c:v>
                </c:pt>
                <c:pt idx="13">
                  <c:v>0</c:v>
                </c:pt>
                <c:pt idx="14">
                  <c:v>0</c:v>
                </c:pt>
                <c:pt idx="15">
                  <c:v>0</c:v>
                </c:pt>
                <c:pt idx="16">
                  <c:v>0</c:v>
                </c:pt>
                <c:pt idx="17">
                  <c:v>0</c:v>
                </c:pt>
                <c:pt idx="18">
                  <c:v>0</c:v>
                </c:pt>
                <c:pt idx="19">
                  <c:v>0</c:v>
                </c:pt>
                <c:pt idx="20">
                  <c:v>0</c:v>
                </c:pt>
                <c:pt idx="21">
                  <c:v>0</c:v>
                </c:pt>
                <c:pt idx="22">
                  <c:v>0</c:v>
                </c:pt>
                <c:pt idx="23">
                  <c:v>0</c:v>
                </c:pt>
              </c:numCache>
            </c:numRef>
          </c:xVal>
          <c:yVal>
            <c:numRef>
              <c:f>'Warrant 4'!$D$5:$D$28</c:f>
              <c:numCache>
                <c:formatCode>0</c:formatCode>
                <c:ptCount val="24"/>
                <c:pt idx="0">
                  <c:v>4.0814668800000007</c:v>
                </c:pt>
                <c:pt idx="1">
                  <c:v>4.0814668800000007</c:v>
                </c:pt>
                <c:pt idx="2">
                  <c:v>4.0814668800000007</c:v>
                </c:pt>
                <c:pt idx="3">
                  <c:v>4.0814668800000007</c:v>
                </c:pt>
                <c:pt idx="4">
                  <c:v>4.0814668800000007</c:v>
                </c:pt>
                <c:pt idx="5">
                  <c:v>4.0814668800000007</c:v>
                </c:pt>
                <c:pt idx="6">
                  <c:v>4.0814668800000007</c:v>
                </c:pt>
                <c:pt idx="7">
                  <c:v>4.0814668800000007</c:v>
                </c:pt>
                <c:pt idx="8">
                  <c:v>4.0814668800000007</c:v>
                </c:pt>
                <c:pt idx="9">
                  <c:v>4.0814668800000007</c:v>
                </c:pt>
                <c:pt idx="10">
                  <c:v>4.0814668800000007</c:v>
                </c:pt>
                <c:pt idx="11">
                  <c:v>4.0814668800000007</c:v>
                </c:pt>
                <c:pt idx="12">
                  <c:v>4.0814668800000007</c:v>
                </c:pt>
                <c:pt idx="13">
                  <c:v>4.0814668800000007</c:v>
                </c:pt>
                <c:pt idx="14">
                  <c:v>4.0814668800000007</c:v>
                </c:pt>
                <c:pt idx="15">
                  <c:v>4.0814668800000007</c:v>
                </c:pt>
                <c:pt idx="16">
                  <c:v>4.0814668800000007</c:v>
                </c:pt>
                <c:pt idx="17">
                  <c:v>4.0814668800000007</c:v>
                </c:pt>
                <c:pt idx="18">
                  <c:v>4.0814668800000007</c:v>
                </c:pt>
                <c:pt idx="19">
                  <c:v>4.0814668800000007</c:v>
                </c:pt>
                <c:pt idx="20">
                  <c:v>4.0814668800000007</c:v>
                </c:pt>
                <c:pt idx="21">
                  <c:v>4.0814668800000007</c:v>
                </c:pt>
                <c:pt idx="22">
                  <c:v>4.0814668800000007</c:v>
                </c:pt>
                <c:pt idx="23">
                  <c:v>2.7209779200000006</c:v>
                </c:pt>
              </c:numCache>
            </c:numRef>
          </c:yVal>
          <c:smooth val="0"/>
          <c:extLst>
            <c:ext xmlns:c16="http://schemas.microsoft.com/office/drawing/2014/chart" uri="{C3380CC4-5D6E-409C-BE32-E72D297353CC}">
              <c16:uniqueId val="{00000000-501F-4FE2-B27D-9A08FC340521}"/>
            </c:ext>
          </c:extLst>
        </c:ser>
        <c:dLbls>
          <c:showLegendKey val="0"/>
          <c:showVal val="0"/>
          <c:showCatName val="0"/>
          <c:showSerName val="0"/>
          <c:showPercent val="0"/>
          <c:showBubbleSize val="0"/>
        </c:dLbls>
        <c:axId val="590642296"/>
        <c:axId val="590642952"/>
      </c:scatterChart>
      <c:valAx>
        <c:axId val="590642296"/>
        <c:scaling>
          <c:orientation val="minMax"/>
          <c:max val="2300"/>
          <c:min val="300"/>
        </c:scaling>
        <c:delete val="1"/>
        <c:axPos val="b"/>
        <c:majorGridlines>
          <c:spPr>
            <a:ln w="9525" cap="flat" cmpd="sng" algn="ctr">
              <a:noFill/>
              <a:round/>
            </a:ln>
            <a:effectLst/>
          </c:spPr>
        </c:majorGridlines>
        <c:numFmt formatCode="0" sourceLinked="1"/>
        <c:majorTickMark val="none"/>
        <c:minorTickMark val="none"/>
        <c:tickLblPos val="nextTo"/>
        <c:crossAx val="590642952"/>
        <c:crosses val="autoZero"/>
        <c:crossBetween val="midCat"/>
        <c:majorUnit val="1000"/>
      </c:valAx>
      <c:valAx>
        <c:axId val="590642952"/>
        <c:scaling>
          <c:orientation val="minMax"/>
          <c:max val="800"/>
          <c:min val="0"/>
        </c:scaling>
        <c:delete val="1"/>
        <c:axPos val="l"/>
        <c:majorGridlines>
          <c:spPr>
            <a:ln w="9525" cap="flat" cmpd="sng" algn="ctr">
              <a:noFill/>
              <a:round/>
            </a:ln>
            <a:effectLst/>
          </c:spPr>
        </c:majorGridlines>
        <c:numFmt formatCode="0" sourceLinked="1"/>
        <c:majorTickMark val="none"/>
        <c:minorTickMark val="none"/>
        <c:tickLblPos val="nextTo"/>
        <c:crossAx val="590642296"/>
        <c:crosses val="autoZero"/>
        <c:crossBetween val="midCat"/>
        <c:majorUnit val="400"/>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rgbClr val="FF0000"/>
              </a:solidFill>
              <a:ln w="9525">
                <a:noFill/>
              </a:ln>
              <a:effectLst/>
            </c:spPr>
          </c:marker>
          <c:xVal>
            <c:numRef>
              <c:f>'Warrant 4'!$Q$16:$Q$19</c:f>
              <c:numCache>
                <c:formatCode>General</c:formatCode>
                <c:ptCount val="4"/>
                <c:pt idx="0">
                  <c:v>5</c:v>
                </c:pt>
                <c:pt idx="1">
                  <c:v>500</c:v>
                </c:pt>
                <c:pt idx="2">
                  <c:v>200</c:v>
                </c:pt>
                <c:pt idx="3">
                  <c:v>5</c:v>
                </c:pt>
              </c:numCache>
            </c:numRef>
          </c:xVal>
          <c:yVal>
            <c:numRef>
              <c:f>'Warrant 4'!$R$16:$R$19</c:f>
              <c:numCache>
                <c:formatCode>General</c:formatCode>
                <c:ptCount val="4"/>
                <c:pt idx="0">
                  <c:v>4</c:v>
                </c:pt>
                <c:pt idx="1">
                  <c:v>4</c:v>
                </c:pt>
                <c:pt idx="2">
                  <c:v>4</c:v>
                </c:pt>
                <c:pt idx="3">
                  <c:v>4</c:v>
                </c:pt>
              </c:numCache>
            </c:numRef>
          </c:yVal>
          <c:smooth val="0"/>
          <c:extLst>
            <c:ext xmlns:c16="http://schemas.microsoft.com/office/drawing/2014/chart" uri="{C3380CC4-5D6E-409C-BE32-E72D297353CC}">
              <c16:uniqueId val="{00000000-B3E0-4A9B-ABF7-9CFCB1A08BA6}"/>
            </c:ext>
          </c:extLst>
        </c:ser>
        <c:dLbls>
          <c:showLegendKey val="0"/>
          <c:showVal val="0"/>
          <c:showCatName val="0"/>
          <c:showSerName val="0"/>
          <c:showPercent val="0"/>
          <c:showBubbleSize val="0"/>
        </c:dLbls>
        <c:axId val="420917728"/>
        <c:axId val="420918056"/>
      </c:scatterChart>
      <c:valAx>
        <c:axId val="420917728"/>
        <c:scaling>
          <c:orientation val="minMax"/>
          <c:max val="3300"/>
          <c:min val="300"/>
        </c:scaling>
        <c:delete val="1"/>
        <c:axPos val="b"/>
        <c:majorGridlines>
          <c:spPr>
            <a:ln w="9525" cap="flat" cmpd="sng" algn="ctr">
              <a:noFill/>
              <a:round/>
            </a:ln>
            <a:effectLst/>
          </c:spPr>
        </c:majorGridlines>
        <c:numFmt formatCode="General" sourceLinked="1"/>
        <c:majorTickMark val="none"/>
        <c:minorTickMark val="none"/>
        <c:tickLblPos val="nextTo"/>
        <c:crossAx val="420918056"/>
        <c:crosses val="autoZero"/>
        <c:crossBetween val="midCat"/>
        <c:majorUnit val="1500"/>
      </c:valAx>
      <c:valAx>
        <c:axId val="420918056"/>
        <c:scaling>
          <c:orientation val="minMax"/>
          <c:max val="1400"/>
          <c:min val="0"/>
        </c:scaling>
        <c:delete val="1"/>
        <c:axPos val="l"/>
        <c:majorGridlines>
          <c:spPr>
            <a:ln w="9525" cap="flat" cmpd="sng" algn="ctr">
              <a:noFill/>
              <a:round/>
            </a:ln>
            <a:effectLst/>
          </c:spPr>
        </c:majorGridlines>
        <c:numFmt formatCode="General" sourceLinked="1"/>
        <c:majorTickMark val="none"/>
        <c:minorTickMark val="none"/>
        <c:tickLblPos val="nextTo"/>
        <c:crossAx val="420917728"/>
        <c:crosses val="autoZero"/>
        <c:crossBetween val="midCat"/>
        <c:majorUnit val="700"/>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rgbClr val="FF0000"/>
              </a:solidFill>
              <a:ln w="9525">
                <a:noFill/>
              </a:ln>
              <a:effectLst/>
            </c:spPr>
          </c:marker>
          <c:xVal>
            <c:numRef>
              <c:f>'Warrant 4'!$Q$16:$Q$19</c:f>
              <c:numCache>
                <c:formatCode>General</c:formatCode>
                <c:ptCount val="4"/>
                <c:pt idx="0">
                  <c:v>5</c:v>
                </c:pt>
                <c:pt idx="1">
                  <c:v>500</c:v>
                </c:pt>
                <c:pt idx="2">
                  <c:v>200</c:v>
                </c:pt>
                <c:pt idx="3">
                  <c:v>5</c:v>
                </c:pt>
              </c:numCache>
            </c:numRef>
          </c:xVal>
          <c:yVal>
            <c:numRef>
              <c:f>'Warrant 4'!$R$16:$R$19</c:f>
              <c:numCache>
                <c:formatCode>General</c:formatCode>
                <c:ptCount val="4"/>
                <c:pt idx="0">
                  <c:v>4</c:v>
                </c:pt>
                <c:pt idx="1">
                  <c:v>4</c:v>
                </c:pt>
                <c:pt idx="2">
                  <c:v>4</c:v>
                </c:pt>
                <c:pt idx="3">
                  <c:v>4</c:v>
                </c:pt>
              </c:numCache>
            </c:numRef>
          </c:yVal>
          <c:smooth val="0"/>
          <c:extLst>
            <c:ext xmlns:c16="http://schemas.microsoft.com/office/drawing/2014/chart" uri="{C3380CC4-5D6E-409C-BE32-E72D297353CC}">
              <c16:uniqueId val="{00000000-37F8-460F-9F4D-ACB79B359E75}"/>
            </c:ext>
          </c:extLst>
        </c:ser>
        <c:dLbls>
          <c:showLegendKey val="0"/>
          <c:showVal val="0"/>
          <c:showCatName val="0"/>
          <c:showSerName val="0"/>
          <c:showPercent val="0"/>
          <c:showBubbleSize val="0"/>
        </c:dLbls>
        <c:axId val="420917728"/>
        <c:axId val="420918056"/>
      </c:scatterChart>
      <c:valAx>
        <c:axId val="420917728"/>
        <c:scaling>
          <c:orientation val="minMax"/>
          <c:max val="2200"/>
          <c:min val="200"/>
        </c:scaling>
        <c:delete val="1"/>
        <c:axPos val="b"/>
        <c:majorGridlines>
          <c:spPr>
            <a:ln w="9525" cap="flat" cmpd="sng" algn="ctr">
              <a:noFill/>
              <a:round/>
            </a:ln>
            <a:effectLst/>
          </c:spPr>
        </c:majorGridlines>
        <c:numFmt formatCode="General" sourceLinked="1"/>
        <c:majorTickMark val="none"/>
        <c:minorTickMark val="none"/>
        <c:tickLblPos val="nextTo"/>
        <c:crossAx val="420918056"/>
        <c:crosses val="autoZero"/>
        <c:crossBetween val="midCat"/>
        <c:majorUnit val="1000"/>
      </c:valAx>
      <c:valAx>
        <c:axId val="420918056"/>
        <c:scaling>
          <c:orientation val="minMax"/>
          <c:max val="1000"/>
          <c:min val="0"/>
        </c:scaling>
        <c:delete val="1"/>
        <c:axPos val="l"/>
        <c:majorGridlines>
          <c:spPr>
            <a:ln w="9525" cap="flat" cmpd="sng" algn="ctr">
              <a:noFill/>
              <a:round/>
            </a:ln>
            <a:effectLst/>
          </c:spPr>
        </c:majorGridlines>
        <c:numFmt formatCode="General" sourceLinked="1"/>
        <c:majorTickMark val="none"/>
        <c:minorTickMark val="none"/>
        <c:tickLblPos val="nextTo"/>
        <c:crossAx val="420917728"/>
        <c:crosses val="autoZero"/>
        <c:crossBetween val="midCat"/>
        <c:majorUnit val="500"/>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Lines="2" dropStyle="combo" dx="16" fmlaLink="Choice!$A$1" fmlaRange="Choice!$A$2:$A$3" noThreeD="1" sel="1" val="0"/>
</file>

<file path=xl/ctrlProps/ctrlProp10.xml><?xml version="1.0" encoding="utf-8"?>
<formControlPr xmlns="http://schemas.microsoft.com/office/spreadsheetml/2009/9/main" objectType="CheckBox" checked="Checked" fmlaLink="Choice!$A$24" lockText="1" noThreeD="1"/>
</file>

<file path=xl/ctrlProps/ctrlProp11.xml><?xml version="1.0" encoding="utf-8"?>
<formControlPr xmlns="http://schemas.microsoft.com/office/spreadsheetml/2009/9/main" objectType="CheckBox" fmlaLink="Choice!$L$9" lockText="1" noThreeD="1"/>
</file>

<file path=xl/ctrlProps/ctrlProp12.xml><?xml version="1.0" encoding="utf-8"?>
<formControlPr xmlns="http://schemas.microsoft.com/office/spreadsheetml/2009/9/main" objectType="CheckBox" checked="Checked" fmlaLink="Choice!$M$9" lockText="1" noThreeD="1"/>
</file>

<file path=xl/ctrlProps/ctrlProp13.xml><?xml version="1.0" encoding="utf-8"?>
<formControlPr xmlns="http://schemas.microsoft.com/office/spreadsheetml/2009/9/main" objectType="CheckBox" checked="Checked" fmlaLink="Choice!$L$21" lockText="1" noThreeD="1"/>
</file>

<file path=xl/ctrlProps/ctrlProp14.xml><?xml version="1.0" encoding="utf-8"?>
<formControlPr xmlns="http://schemas.microsoft.com/office/spreadsheetml/2009/9/main" objectType="CheckBox" checked="Checked" fmlaLink="Choice!$M$9" lockText="1" noThreeD="1"/>
</file>

<file path=xl/ctrlProps/ctrlProp15.xml><?xml version="1.0" encoding="utf-8"?>
<formControlPr xmlns="http://schemas.microsoft.com/office/spreadsheetml/2009/9/main" objectType="CheckBox" checked="Checked" fmlaLink="Choice!$O$21" lockText="1" noThreeD="1"/>
</file>

<file path=xl/ctrlProps/ctrlProp16.xml><?xml version="1.0" encoding="utf-8"?>
<formControlPr xmlns="http://schemas.microsoft.com/office/spreadsheetml/2009/9/main" objectType="CheckBox" checked="Checked" fmlaLink="Choice!$L$12" lockText="1" noThreeD="1"/>
</file>

<file path=xl/ctrlProps/ctrlProp17.xml><?xml version="1.0" encoding="utf-8"?>
<formControlPr xmlns="http://schemas.microsoft.com/office/spreadsheetml/2009/9/main" objectType="CheckBox" checked="Checked" fmlaLink="Choice!$M$12" lockText="1" noThreeD="1"/>
</file>

<file path=xl/ctrlProps/ctrlProp18.xml><?xml version="1.0" encoding="utf-8"?>
<formControlPr xmlns="http://schemas.microsoft.com/office/spreadsheetml/2009/9/main" objectType="CheckBox" checked="Checked" fmlaLink="Choice!$O$12" lockText="1" noThreeD="1"/>
</file>

<file path=xl/ctrlProps/ctrlProp19.xml><?xml version="1.0" encoding="utf-8"?>
<formControlPr xmlns="http://schemas.microsoft.com/office/spreadsheetml/2009/9/main" objectType="CheckBox" checked="Checked" fmlaLink="Choice!$N$12" lockText="1" noThreeD="1"/>
</file>

<file path=xl/ctrlProps/ctrlProp2.xml><?xml version="1.0" encoding="utf-8"?>
<formControlPr xmlns="http://schemas.microsoft.com/office/spreadsheetml/2009/9/main" objectType="CheckBox" fmlaLink="Choice!$A$9" lockText="1" noThreeD="1"/>
</file>

<file path=xl/ctrlProps/ctrlProp20.xml><?xml version="1.0" encoding="utf-8"?>
<formControlPr xmlns="http://schemas.microsoft.com/office/spreadsheetml/2009/9/main" objectType="CheckBox" fmlaLink="Choice!$L$15" lockText="1" noThreeD="1"/>
</file>

<file path=xl/ctrlProps/ctrlProp21.xml><?xml version="1.0" encoding="utf-8"?>
<formControlPr xmlns="http://schemas.microsoft.com/office/spreadsheetml/2009/9/main" objectType="CheckBox" checked="Checked" fmlaLink="Choice!$M$15" lockText="1" noThreeD="1"/>
</file>

<file path=xl/ctrlProps/ctrlProp22.xml><?xml version="1.0" encoding="utf-8"?>
<formControlPr xmlns="http://schemas.microsoft.com/office/spreadsheetml/2009/9/main" objectType="CheckBox" fmlaLink="Choice!$N$15" lockText="1" noThreeD="1"/>
</file>

<file path=xl/ctrlProps/ctrlProp23.xml><?xml version="1.0" encoding="utf-8"?>
<formControlPr xmlns="http://schemas.microsoft.com/office/spreadsheetml/2009/9/main" objectType="CheckBox" checked="Checked" fmlaLink="Choice!$L$18" lockText="1" noThreeD="1"/>
</file>

<file path=xl/ctrlProps/ctrlProp24.xml><?xml version="1.0" encoding="utf-8"?>
<formControlPr xmlns="http://schemas.microsoft.com/office/spreadsheetml/2009/9/main" objectType="CheckBox" checked="Checked" fmlaLink="Choice!$M$18" lockText="1" noThreeD="1"/>
</file>

<file path=xl/ctrlProps/ctrlProp25.xml><?xml version="1.0" encoding="utf-8"?>
<formControlPr xmlns="http://schemas.microsoft.com/office/spreadsheetml/2009/9/main" objectType="CheckBox" fmlaLink="Choice!$N$18" lockText="1" noThreeD="1"/>
</file>

<file path=xl/ctrlProps/ctrlProp3.xml><?xml version="1.0" encoding="utf-8"?>
<formControlPr xmlns="http://schemas.microsoft.com/office/spreadsheetml/2009/9/main" objectType="CheckBox" checked="Checked" fmlaLink="Choice!$A$10" lockText="1" noThreeD="1"/>
</file>

<file path=xl/ctrlProps/ctrlProp4.xml><?xml version="1.0" encoding="utf-8"?>
<formControlPr xmlns="http://schemas.microsoft.com/office/spreadsheetml/2009/9/main" objectType="CheckBox" checked="Checked" fmlaLink="Choice!$B$9" lockText="1" noThreeD="1"/>
</file>

<file path=xl/ctrlProps/ctrlProp5.xml><?xml version="1.0" encoding="utf-8"?>
<formControlPr xmlns="http://schemas.microsoft.com/office/spreadsheetml/2009/9/main" objectType="CheckBox" fmlaLink="Choice!$C$9" lockText="1" noThreeD="1"/>
</file>

<file path=xl/ctrlProps/ctrlProp6.xml><?xml version="1.0" encoding="utf-8"?>
<formControlPr xmlns="http://schemas.microsoft.com/office/spreadsheetml/2009/9/main" objectType="CheckBox" fmlaLink="Choice!$D$9" lockText="1" noThreeD="1"/>
</file>

<file path=xl/ctrlProps/ctrlProp7.xml><?xml version="1.0" encoding="utf-8"?>
<formControlPr xmlns="http://schemas.microsoft.com/office/spreadsheetml/2009/9/main" objectType="CheckBox" fmlaLink="Choice!$B$10" lockText="1" noThreeD="1"/>
</file>

<file path=xl/ctrlProps/ctrlProp8.xml><?xml version="1.0" encoding="utf-8"?>
<formControlPr xmlns="http://schemas.microsoft.com/office/spreadsheetml/2009/9/main" objectType="CheckBox" fmlaLink="Choice!$C$10" lockText="1" noThreeD="1"/>
</file>

<file path=xl/ctrlProps/ctrlProp9.xml><?xml version="1.0" encoding="utf-8"?>
<formControlPr xmlns="http://schemas.microsoft.com/office/spreadsheetml/2009/9/main" objectType="CheckBox" fmlaLink="Choice!$D$10" lockText="1" noThreeD="1"/>
</file>

<file path=xl/drawings/_rels/drawing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chart" Target="../charts/chart1.xml"/><Relationship Id="rId1" Type="http://schemas.openxmlformats.org/officeDocument/2006/relationships/image" Target="../media/image1.gif"/><Relationship Id="rId4" Type="http://schemas.openxmlformats.org/officeDocument/2006/relationships/chart" Target="../charts/chart2.xml"/></Relationships>
</file>

<file path=xl/drawings/_rels/drawing6.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image" Target="../media/image5.png"/><Relationship Id="rId7" Type="http://schemas.openxmlformats.org/officeDocument/2006/relationships/chart" Target="../charts/chart5.xml"/><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9525</xdr:colOff>
          <xdr:row>2</xdr:row>
          <xdr:rowOff>66675</xdr:rowOff>
        </xdr:from>
        <xdr:to>
          <xdr:col>3</xdr:col>
          <xdr:colOff>57150</xdr:colOff>
          <xdr:row>3</xdr:row>
          <xdr:rowOff>152400</xdr:rowOff>
        </xdr:to>
        <xdr:sp macro="" textlink="">
          <xdr:nvSpPr>
            <xdr:cNvPr id="1028" name="Drop Dow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twoCellAnchor>
    <xdr:from>
      <xdr:col>0</xdr:col>
      <xdr:colOff>1419225</xdr:colOff>
      <xdr:row>2</xdr:row>
      <xdr:rowOff>76200</xdr:rowOff>
    </xdr:from>
    <xdr:to>
      <xdr:col>0</xdr:col>
      <xdr:colOff>3667125</xdr:colOff>
      <xdr:row>3</xdr:row>
      <xdr:rowOff>114300</xdr:rowOff>
    </xdr:to>
    <xdr:sp macro="" textlink="">
      <xdr:nvSpPr>
        <xdr:cNvPr id="2" name="Arrow: Pentagon 1">
          <a:extLst>
            <a:ext uri="{FF2B5EF4-FFF2-40B4-BE49-F238E27FC236}">
              <a16:creationId xmlns:a16="http://schemas.microsoft.com/office/drawing/2014/main" id="{00000000-0008-0000-0000-000002000000}"/>
            </a:ext>
          </a:extLst>
        </xdr:cNvPr>
        <xdr:cNvSpPr/>
      </xdr:nvSpPr>
      <xdr:spPr>
        <a:xfrm>
          <a:off x="1419225" y="76200"/>
          <a:ext cx="2247900" cy="228600"/>
        </a:xfrm>
        <a:prstGeom prst="homePlat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t>Choose</a:t>
          </a:r>
          <a:r>
            <a:rPr lang="en-US" sz="1200" baseline="0"/>
            <a:t> Major Street Direction</a:t>
          </a:r>
        </a:p>
        <a:p>
          <a:pPr algn="ctr"/>
          <a:endParaRPr lang="en-US" sz="1200"/>
        </a:p>
      </xdr:txBody>
    </xdr:sp>
    <xdr:clientData/>
  </xdr:twoCellAnchor>
  <xdr:twoCellAnchor>
    <xdr:from>
      <xdr:col>5</xdr:col>
      <xdr:colOff>66674</xdr:colOff>
      <xdr:row>9</xdr:row>
      <xdr:rowOff>9526</xdr:rowOff>
    </xdr:from>
    <xdr:to>
      <xdr:col>9</xdr:col>
      <xdr:colOff>552449</xdr:colOff>
      <xdr:row>11</xdr:row>
      <xdr:rowOff>161926</xdr:rowOff>
    </xdr:to>
    <xdr:sp macro="" textlink="">
      <xdr:nvSpPr>
        <xdr:cNvPr id="7" name="Arrow: Pentagon 6">
          <a:extLst>
            <a:ext uri="{FF2B5EF4-FFF2-40B4-BE49-F238E27FC236}">
              <a16:creationId xmlns:a16="http://schemas.microsoft.com/office/drawing/2014/main" id="{00000000-0008-0000-0000-000007000000}"/>
            </a:ext>
          </a:extLst>
        </xdr:cNvPr>
        <xdr:cNvSpPr/>
      </xdr:nvSpPr>
      <xdr:spPr>
        <a:xfrm flipH="1">
          <a:off x="7419974" y="1343026"/>
          <a:ext cx="2924175" cy="533400"/>
        </a:xfrm>
        <a:prstGeom prst="homePlat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t>Enter Number of Exclusive Lanes</a:t>
          </a:r>
          <a:endParaRPr lang="en-US" sz="1200"/>
        </a:p>
      </xdr:txBody>
    </xdr:sp>
    <xdr:clientData/>
  </xdr:twoCellAnchor>
  <mc:AlternateContent xmlns:mc="http://schemas.openxmlformats.org/markup-compatibility/2006">
    <mc:Choice xmlns:a14="http://schemas.microsoft.com/office/drawing/2010/main" Requires="a14">
      <xdr:twoCellAnchor editAs="oneCell">
        <xdr:from>
          <xdr:col>1</xdr:col>
          <xdr:colOff>238125</xdr:colOff>
          <xdr:row>11</xdr:row>
          <xdr:rowOff>171450</xdr:rowOff>
        </xdr:from>
        <xdr:to>
          <xdr:col>1</xdr:col>
          <xdr:colOff>542925</xdr:colOff>
          <xdr:row>13</xdr:row>
          <xdr:rowOff>28575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238125</xdr:colOff>
          <xdr:row>13</xdr:row>
          <xdr:rowOff>0</xdr:rowOff>
        </xdr:from>
        <xdr:to>
          <xdr:col>1</xdr:col>
          <xdr:colOff>542925</xdr:colOff>
          <xdr:row>14</xdr:row>
          <xdr:rowOff>19050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xdr:row>
          <xdr:rowOff>171450</xdr:rowOff>
        </xdr:from>
        <xdr:to>
          <xdr:col>2</xdr:col>
          <xdr:colOff>495300</xdr:colOff>
          <xdr:row>13</xdr:row>
          <xdr:rowOff>28575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247650</xdr:colOff>
          <xdr:row>11</xdr:row>
          <xdr:rowOff>171450</xdr:rowOff>
        </xdr:from>
        <xdr:to>
          <xdr:col>3</xdr:col>
          <xdr:colOff>552450</xdr:colOff>
          <xdr:row>13</xdr:row>
          <xdr:rowOff>28575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247650</xdr:colOff>
          <xdr:row>11</xdr:row>
          <xdr:rowOff>171450</xdr:rowOff>
        </xdr:from>
        <xdr:to>
          <xdr:col>4</xdr:col>
          <xdr:colOff>552450</xdr:colOff>
          <xdr:row>13</xdr:row>
          <xdr:rowOff>28575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12</xdr:row>
          <xdr:rowOff>180975</xdr:rowOff>
        </xdr:from>
        <xdr:to>
          <xdr:col>2</xdr:col>
          <xdr:colOff>495300</xdr:colOff>
          <xdr:row>14</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238125</xdr:colOff>
          <xdr:row>12</xdr:row>
          <xdr:rowOff>180975</xdr:rowOff>
        </xdr:from>
        <xdr:to>
          <xdr:col>3</xdr:col>
          <xdr:colOff>542925</xdr:colOff>
          <xdr:row>14</xdr:row>
          <xdr:rowOff>19050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247650</xdr:colOff>
          <xdr:row>12</xdr:row>
          <xdr:rowOff>180975</xdr:rowOff>
        </xdr:from>
        <xdr:to>
          <xdr:col>4</xdr:col>
          <xdr:colOff>552450</xdr:colOff>
          <xdr:row>14</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fLocksWithSheet="0"/>
      </xdr:twoCellAnchor>
    </mc:Choice>
    <mc:Fallback/>
  </mc:AlternateContent>
  <xdr:twoCellAnchor>
    <xdr:from>
      <xdr:col>5</xdr:col>
      <xdr:colOff>47621</xdr:colOff>
      <xdr:row>18</xdr:row>
      <xdr:rowOff>1</xdr:rowOff>
    </xdr:from>
    <xdr:to>
      <xdr:col>19</xdr:col>
      <xdr:colOff>257172</xdr:colOff>
      <xdr:row>19</xdr:row>
      <xdr:rowOff>19051</xdr:rowOff>
    </xdr:to>
    <xdr:sp macro="" textlink="">
      <xdr:nvSpPr>
        <xdr:cNvPr id="22" name="Arrow: Pentagon 21">
          <a:extLst>
            <a:ext uri="{FF2B5EF4-FFF2-40B4-BE49-F238E27FC236}">
              <a16:creationId xmlns:a16="http://schemas.microsoft.com/office/drawing/2014/main" id="{00000000-0008-0000-0000-000016000000}"/>
            </a:ext>
          </a:extLst>
        </xdr:cNvPr>
        <xdr:cNvSpPr/>
      </xdr:nvSpPr>
      <xdr:spPr>
        <a:xfrm flipH="1">
          <a:off x="7400921" y="3038476"/>
          <a:ext cx="8743951" cy="209550"/>
        </a:xfrm>
        <a:prstGeom prst="homePlat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t>Type in the number of lanes if you think the calculation is wrong based on the engineering judement. </a:t>
          </a:r>
          <a:r>
            <a:rPr lang="en-US" sz="1200" b="1" baseline="0"/>
            <a:t>Otherwise, put 0.</a:t>
          </a:r>
        </a:p>
      </xdr:txBody>
    </xdr:sp>
    <xdr:clientData/>
  </xdr:twoCellAnchor>
  <xdr:twoCellAnchor>
    <xdr:from>
      <xdr:col>5</xdr:col>
      <xdr:colOff>76196</xdr:colOff>
      <xdr:row>11</xdr:row>
      <xdr:rowOff>180975</xdr:rowOff>
    </xdr:from>
    <xdr:to>
      <xdr:col>9</xdr:col>
      <xdr:colOff>561971</xdr:colOff>
      <xdr:row>14</xdr:row>
      <xdr:rowOff>9525</xdr:rowOff>
    </xdr:to>
    <xdr:sp macro="" textlink="">
      <xdr:nvSpPr>
        <xdr:cNvPr id="23" name="Arrow: Pentagon 22">
          <a:extLst>
            <a:ext uri="{FF2B5EF4-FFF2-40B4-BE49-F238E27FC236}">
              <a16:creationId xmlns:a16="http://schemas.microsoft.com/office/drawing/2014/main" id="{00000000-0008-0000-0000-000017000000}"/>
            </a:ext>
          </a:extLst>
        </xdr:cNvPr>
        <xdr:cNvSpPr/>
      </xdr:nvSpPr>
      <xdr:spPr>
        <a:xfrm flipH="1">
          <a:off x="7429496" y="1895475"/>
          <a:ext cx="2924175" cy="390525"/>
        </a:xfrm>
        <a:prstGeom prst="homePlat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t>Enginnering Judgement</a:t>
          </a:r>
          <a:endParaRPr lang="en-US" sz="1200"/>
        </a:p>
      </xdr:txBody>
    </xdr:sp>
    <xdr:clientData/>
  </xdr:twoCellAnchor>
  <xdr:twoCellAnchor>
    <xdr:from>
      <xdr:col>5</xdr:col>
      <xdr:colOff>57149</xdr:colOff>
      <xdr:row>14</xdr:row>
      <xdr:rowOff>28576</xdr:rowOff>
    </xdr:from>
    <xdr:to>
      <xdr:col>9</xdr:col>
      <xdr:colOff>542924</xdr:colOff>
      <xdr:row>17</xdr:row>
      <xdr:rowOff>9526</xdr:rowOff>
    </xdr:to>
    <xdr:sp macro="" textlink="">
      <xdr:nvSpPr>
        <xdr:cNvPr id="24" name="Arrow: Pentagon 23">
          <a:extLst>
            <a:ext uri="{FF2B5EF4-FFF2-40B4-BE49-F238E27FC236}">
              <a16:creationId xmlns:a16="http://schemas.microsoft.com/office/drawing/2014/main" id="{00000000-0008-0000-0000-000018000000}"/>
            </a:ext>
          </a:extLst>
        </xdr:cNvPr>
        <xdr:cNvSpPr/>
      </xdr:nvSpPr>
      <xdr:spPr>
        <a:xfrm flipH="1">
          <a:off x="7410449" y="2305051"/>
          <a:ext cx="2924175" cy="552450"/>
        </a:xfrm>
        <a:prstGeom prst="homePlat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t>Enter Number of </a:t>
          </a:r>
          <a:r>
            <a:rPr lang="en-US" sz="1100" baseline="0">
              <a:solidFill>
                <a:schemeClr val="lt1"/>
              </a:solidFill>
              <a:effectLst/>
              <a:latin typeface="+mn-lt"/>
              <a:ea typeface="+mn-ea"/>
              <a:cs typeface="+mn-cs"/>
            </a:rPr>
            <a:t>Shared Lanes</a:t>
          </a:r>
          <a:endParaRPr lang="en-US" sz="1200"/>
        </a:p>
      </xdr:txBody>
    </xdr:sp>
    <xdr:clientData/>
  </xdr:twoCellAnchor>
  <xdr:twoCellAnchor>
    <xdr:from>
      <xdr:col>5</xdr:col>
      <xdr:colOff>76197</xdr:colOff>
      <xdr:row>6</xdr:row>
      <xdr:rowOff>180974</xdr:rowOff>
    </xdr:from>
    <xdr:to>
      <xdr:col>9</xdr:col>
      <xdr:colOff>561972</xdr:colOff>
      <xdr:row>8</xdr:row>
      <xdr:rowOff>9525</xdr:rowOff>
    </xdr:to>
    <xdr:sp macro="" textlink="">
      <xdr:nvSpPr>
        <xdr:cNvPr id="25" name="Arrow: Pentagon 24">
          <a:extLst>
            <a:ext uri="{FF2B5EF4-FFF2-40B4-BE49-F238E27FC236}">
              <a16:creationId xmlns:a16="http://schemas.microsoft.com/office/drawing/2014/main" id="{00000000-0008-0000-0000-000019000000}"/>
            </a:ext>
          </a:extLst>
        </xdr:cNvPr>
        <xdr:cNvSpPr/>
      </xdr:nvSpPr>
      <xdr:spPr>
        <a:xfrm flipH="1">
          <a:off x="7429497" y="942974"/>
          <a:ext cx="2924175" cy="209551"/>
        </a:xfrm>
        <a:prstGeom prst="homePlat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t>Enter Street Name</a:t>
          </a:r>
          <a:endParaRPr lang="en-US" sz="1200"/>
        </a:p>
      </xdr:txBody>
    </xdr:sp>
    <xdr:clientData/>
  </xdr:twoCellAnchor>
  <xdr:twoCellAnchor>
    <xdr:from>
      <xdr:col>10</xdr:col>
      <xdr:colOff>228601</xdr:colOff>
      <xdr:row>12</xdr:row>
      <xdr:rowOff>171449</xdr:rowOff>
    </xdr:from>
    <xdr:to>
      <xdr:col>14</xdr:col>
      <xdr:colOff>28578</xdr:colOff>
      <xdr:row>16</xdr:row>
      <xdr:rowOff>38097</xdr:rowOff>
    </xdr:to>
    <xdr:sp macro="" textlink="">
      <xdr:nvSpPr>
        <xdr:cNvPr id="17" name="Speech Bubble: Rectangle 16">
          <a:extLst>
            <a:ext uri="{FF2B5EF4-FFF2-40B4-BE49-F238E27FC236}">
              <a16:creationId xmlns:a16="http://schemas.microsoft.com/office/drawing/2014/main" id="{00000000-0008-0000-0000-000011000000}"/>
            </a:ext>
          </a:extLst>
        </xdr:cNvPr>
        <xdr:cNvSpPr/>
      </xdr:nvSpPr>
      <xdr:spPr>
        <a:xfrm rot="16200000">
          <a:off x="11439528" y="1266822"/>
          <a:ext cx="619123" cy="2238377"/>
        </a:xfrm>
        <a:prstGeom prst="wedgeRectCallout">
          <a:avLst>
            <a:gd name="adj1" fmla="val 59473"/>
            <a:gd name="adj2" fmla="val -63568"/>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lstStyle/>
        <a:p>
          <a:pPr algn="ctr"/>
          <a:r>
            <a:rPr lang="en-US" sz="1100" b="1">
              <a:solidFill>
                <a:schemeClr val="lt1"/>
              </a:solidFill>
              <a:effectLst/>
              <a:latin typeface="+mn-lt"/>
              <a:ea typeface="+mn-ea"/>
              <a:cs typeface="+mn-cs"/>
            </a:rPr>
            <a:t>Check the box</a:t>
          </a:r>
          <a:r>
            <a:rPr lang="en-US" sz="1100" b="1" baseline="0">
              <a:solidFill>
                <a:schemeClr val="lt1"/>
              </a:solidFill>
              <a:effectLst/>
              <a:latin typeface="+mn-lt"/>
              <a:ea typeface="+mn-ea"/>
              <a:cs typeface="+mn-cs"/>
            </a:rPr>
            <a:t> if the coresspoding exclusive lane does not exist.</a:t>
          </a:r>
          <a:endParaRPr lang="en-US" sz="12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200024</xdr:colOff>
      <xdr:row>5</xdr:row>
      <xdr:rowOff>95250</xdr:rowOff>
    </xdr:from>
    <xdr:to>
      <xdr:col>23</xdr:col>
      <xdr:colOff>552450</xdr:colOff>
      <xdr:row>29</xdr:row>
      <xdr:rowOff>0</xdr:rowOff>
    </xdr:to>
    <xdr:sp macro="" textlink="">
      <xdr:nvSpPr>
        <xdr:cNvPr id="2" name="Arrow: Pentagon 1">
          <a:extLst>
            <a:ext uri="{FF2B5EF4-FFF2-40B4-BE49-F238E27FC236}">
              <a16:creationId xmlns:a16="http://schemas.microsoft.com/office/drawing/2014/main" id="{00000000-0008-0000-0100-000002000000}"/>
            </a:ext>
          </a:extLst>
        </xdr:cNvPr>
        <xdr:cNvSpPr/>
      </xdr:nvSpPr>
      <xdr:spPr>
        <a:xfrm flipH="1">
          <a:off x="14392274" y="1047750"/>
          <a:ext cx="1895476" cy="4476750"/>
        </a:xfrm>
        <a:prstGeom prst="homePlat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t>Enter Hourly Volumes</a:t>
          </a:r>
          <a:endParaRPr lang="en-US" sz="1200"/>
        </a:p>
      </xdr:txBody>
    </xdr:sp>
    <xdr:clientData/>
  </xdr:twoCellAnchor>
  <xdr:twoCellAnchor>
    <xdr:from>
      <xdr:col>0</xdr:col>
      <xdr:colOff>95248</xdr:colOff>
      <xdr:row>29</xdr:row>
      <xdr:rowOff>66674</xdr:rowOff>
    </xdr:from>
    <xdr:to>
      <xdr:col>7</xdr:col>
      <xdr:colOff>600075</xdr:colOff>
      <xdr:row>31</xdr:row>
      <xdr:rowOff>171450</xdr:rowOff>
    </xdr:to>
    <xdr:sp macro="" textlink="">
      <xdr:nvSpPr>
        <xdr:cNvPr id="5" name="Arrow: Pentagon 4">
          <a:extLst>
            <a:ext uri="{FF2B5EF4-FFF2-40B4-BE49-F238E27FC236}">
              <a16:creationId xmlns:a16="http://schemas.microsoft.com/office/drawing/2014/main" id="{00000000-0008-0000-0100-000005000000}"/>
            </a:ext>
          </a:extLst>
        </xdr:cNvPr>
        <xdr:cNvSpPr/>
      </xdr:nvSpPr>
      <xdr:spPr>
        <a:xfrm>
          <a:off x="95248" y="4638674"/>
          <a:ext cx="4943477" cy="495301"/>
        </a:xfrm>
        <a:prstGeom prst="homePlat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t>Enter the Desired Year and Anual Growth Factor (Check Box)</a:t>
          </a:r>
        </a:p>
        <a:p>
          <a:pPr algn="ctr"/>
          <a:r>
            <a:rPr lang="en-US" sz="1200" baseline="0"/>
            <a:t> Or Uncheck Box and Simple Enter the Multiplier</a:t>
          </a:r>
          <a:endParaRPr lang="en-US" sz="1200"/>
        </a:p>
      </xdr:txBody>
    </xdr:sp>
    <xdr:clientData/>
  </xdr:twoCellAnchor>
  <mc:AlternateContent xmlns:mc="http://schemas.openxmlformats.org/markup-compatibility/2006">
    <mc:Choice xmlns:a14="http://schemas.microsoft.com/office/drawing/2010/main" Requires="a14">
      <xdr:twoCellAnchor editAs="oneCell">
        <xdr:from>
          <xdr:col>8</xdr:col>
          <xdr:colOff>142875</xdr:colOff>
          <xdr:row>29</xdr:row>
          <xdr:rowOff>180975</xdr:rowOff>
        </xdr:from>
        <xdr:to>
          <xdr:col>11</xdr:col>
          <xdr:colOff>9525</xdr:colOff>
          <xdr:row>30</xdr:row>
          <xdr:rowOff>180975</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1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Use Anual Growth Factor</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28575</xdr:colOff>
      <xdr:row>2</xdr:row>
      <xdr:rowOff>171450</xdr:rowOff>
    </xdr:from>
    <xdr:to>
      <xdr:col>4</xdr:col>
      <xdr:colOff>514350</xdr:colOff>
      <xdr:row>4</xdr:row>
      <xdr:rowOff>1</xdr:rowOff>
    </xdr:to>
    <xdr:sp macro="" textlink="">
      <xdr:nvSpPr>
        <xdr:cNvPr id="2" name="Arrow: Pentagon 1">
          <a:extLst>
            <a:ext uri="{FF2B5EF4-FFF2-40B4-BE49-F238E27FC236}">
              <a16:creationId xmlns:a16="http://schemas.microsoft.com/office/drawing/2014/main" id="{00000000-0008-0000-0200-000002000000}"/>
            </a:ext>
          </a:extLst>
        </xdr:cNvPr>
        <xdr:cNvSpPr/>
      </xdr:nvSpPr>
      <xdr:spPr>
        <a:xfrm>
          <a:off x="28575" y="552450"/>
          <a:ext cx="2924175" cy="209551"/>
        </a:xfrm>
        <a:prstGeom prst="homePlat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Major-street speed exceeds 40 mph </a:t>
          </a:r>
          <a:endParaRPr lang="en-US" sz="1200"/>
        </a:p>
      </xdr:txBody>
    </xdr:sp>
    <xdr:clientData/>
  </xdr:twoCellAnchor>
  <mc:AlternateContent xmlns:mc="http://schemas.openxmlformats.org/markup-compatibility/2006">
    <mc:Choice xmlns:a14="http://schemas.microsoft.com/office/drawing/2010/main" Requires="a14">
      <xdr:twoCellAnchor editAs="oneCell">
        <xdr:from>
          <xdr:col>5</xdr:col>
          <xdr:colOff>38100</xdr:colOff>
          <xdr:row>2</xdr:row>
          <xdr:rowOff>180975</xdr:rowOff>
        </xdr:from>
        <xdr:to>
          <xdr:col>5</xdr:col>
          <xdr:colOff>523875</xdr:colOff>
          <xdr:row>4</xdr:row>
          <xdr:rowOff>9525</xdr:rowOff>
        </xdr:to>
        <xdr:sp macro="" textlink="">
          <xdr:nvSpPr>
            <xdr:cNvPr id="4097" name="Check Box 1" hidden="1">
              <a:extLst>
                <a:ext uri="{63B3BB69-23CF-44E3-9099-C40C66FF867C}">
                  <a14:compatExt spid="_x0000_s4097"/>
                </a:ext>
                <a:ext uri="{FF2B5EF4-FFF2-40B4-BE49-F238E27FC236}">
                  <a16:creationId xmlns:a16="http://schemas.microsoft.com/office/drawing/2014/main" id="{00000000-0008-0000-0200-00000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xdr:twoCellAnchor>
    <xdr:from>
      <xdr:col>0</xdr:col>
      <xdr:colOff>19050</xdr:colOff>
      <xdr:row>5</xdr:row>
      <xdr:rowOff>1</xdr:rowOff>
    </xdr:from>
    <xdr:to>
      <xdr:col>4</xdr:col>
      <xdr:colOff>504825</xdr:colOff>
      <xdr:row>6</xdr:row>
      <xdr:rowOff>19051</xdr:rowOff>
    </xdr:to>
    <xdr:sp macro="" textlink="">
      <xdr:nvSpPr>
        <xdr:cNvPr id="4" name="Arrow: Pentagon 3">
          <a:extLst>
            <a:ext uri="{FF2B5EF4-FFF2-40B4-BE49-F238E27FC236}">
              <a16:creationId xmlns:a16="http://schemas.microsoft.com/office/drawing/2014/main" id="{00000000-0008-0000-0200-000004000000}"/>
            </a:ext>
          </a:extLst>
        </xdr:cNvPr>
        <xdr:cNvSpPr/>
      </xdr:nvSpPr>
      <xdr:spPr>
        <a:xfrm>
          <a:off x="19050" y="952501"/>
          <a:ext cx="2924175" cy="209550"/>
        </a:xfrm>
        <a:prstGeom prst="homePlat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Population less than 10,000</a:t>
          </a:r>
          <a:endParaRPr lang="en-US" sz="1200"/>
        </a:p>
      </xdr:txBody>
    </xdr:sp>
    <xdr:clientData/>
  </xdr:twoCellAnchor>
  <mc:AlternateContent xmlns:mc="http://schemas.openxmlformats.org/markup-compatibility/2006">
    <mc:Choice xmlns:a14="http://schemas.microsoft.com/office/drawing/2010/main" Requires="a14">
      <xdr:twoCellAnchor editAs="oneCell">
        <xdr:from>
          <xdr:col>5</xdr:col>
          <xdr:colOff>47625</xdr:colOff>
          <xdr:row>4</xdr:row>
          <xdr:rowOff>180975</xdr:rowOff>
        </xdr:from>
        <xdr:to>
          <xdr:col>5</xdr:col>
          <xdr:colOff>533400</xdr:colOff>
          <xdr:row>6</xdr:row>
          <xdr:rowOff>9525</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2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xdr:twoCellAnchor>
    <xdr:from>
      <xdr:col>19</xdr:col>
      <xdr:colOff>123829</xdr:colOff>
      <xdr:row>14</xdr:row>
      <xdr:rowOff>14281</xdr:rowOff>
    </xdr:from>
    <xdr:to>
      <xdr:col>23</xdr:col>
      <xdr:colOff>114300</xdr:colOff>
      <xdr:row>17</xdr:row>
      <xdr:rowOff>152399</xdr:rowOff>
    </xdr:to>
    <xdr:sp macro="" textlink="">
      <xdr:nvSpPr>
        <xdr:cNvPr id="6" name="Speech Bubble: Rectangle 5">
          <a:extLst>
            <a:ext uri="{FF2B5EF4-FFF2-40B4-BE49-F238E27FC236}">
              <a16:creationId xmlns:a16="http://schemas.microsoft.com/office/drawing/2014/main" id="{00000000-0008-0000-0200-000006000000}"/>
            </a:ext>
          </a:extLst>
        </xdr:cNvPr>
        <xdr:cNvSpPr/>
      </xdr:nvSpPr>
      <xdr:spPr>
        <a:xfrm rot="16200000">
          <a:off x="13808868" y="1893092"/>
          <a:ext cx="795343" cy="2428871"/>
        </a:xfrm>
        <a:prstGeom prst="wedgeRectCallout">
          <a:avLst>
            <a:gd name="adj1" fmla="val 59473"/>
            <a:gd name="adj2" fmla="val -63568"/>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lstStyle/>
        <a:p>
          <a:pPr algn="ctr"/>
          <a:r>
            <a:rPr lang="en-US" sz="1100">
              <a:solidFill>
                <a:schemeClr val="lt1"/>
              </a:solidFill>
              <a:effectLst/>
              <a:latin typeface="+mn-lt"/>
              <a:ea typeface="+mn-ea"/>
              <a:cs typeface="+mn-cs"/>
            </a:rPr>
            <a:t>Only</a:t>
          </a:r>
          <a:r>
            <a:rPr lang="en-US" sz="1100" baseline="0">
              <a:solidFill>
                <a:schemeClr val="lt1"/>
              </a:solidFill>
              <a:effectLst/>
              <a:latin typeface="+mn-lt"/>
              <a:ea typeface="+mn-ea"/>
              <a:cs typeface="+mn-cs"/>
            </a:rPr>
            <a:t> applied where neither A or B is satfisifed and should only after an adequate trial of other alternatives </a:t>
          </a:r>
          <a:endParaRPr lang="en-US" sz="12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161924</xdr:colOff>
      <xdr:row>17</xdr:row>
      <xdr:rowOff>57150</xdr:rowOff>
    </xdr:from>
    <xdr:to>
      <xdr:col>13</xdr:col>
      <xdr:colOff>156603</xdr:colOff>
      <xdr:row>36</xdr:row>
      <xdr:rowOff>133350</xdr:rowOff>
    </xdr:to>
    <xdr:pic>
      <xdr:nvPicPr>
        <xdr:cNvPr id="2" name="Picture 1" descr="Full-size image of Figure 4C-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14749" y="3324225"/>
          <a:ext cx="6090679" cy="369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152399</xdr:colOff>
      <xdr:row>8</xdr:row>
      <xdr:rowOff>133350</xdr:rowOff>
    </xdr:from>
    <xdr:to>
      <xdr:col>20</xdr:col>
      <xdr:colOff>161925</xdr:colOff>
      <xdr:row>30</xdr:row>
      <xdr:rowOff>171450</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514350</xdr:colOff>
      <xdr:row>17</xdr:row>
      <xdr:rowOff>38100</xdr:rowOff>
    </xdr:from>
    <xdr:to>
      <xdr:col>30</xdr:col>
      <xdr:colOff>38100</xdr:colOff>
      <xdr:row>36</xdr:row>
      <xdr:rowOff>180975</xdr:rowOff>
    </xdr:to>
    <xdr:pic>
      <xdr:nvPicPr>
        <xdr:cNvPr id="5" name="Picture 4" descr="Full-size image of Figure 4C-2">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430375" y="3305175"/>
          <a:ext cx="5619750" cy="3762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22</xdr:col>
      <xdr:colOff>447673</xdr:colOff>
      <xdr:row>9</xdr:row>
      <xdr:rowOff>38099</xdr:rowOff>
    </xdr:from>
    <xdr:to>
      <xdr:col>36</xdr:col>
      <xdr:colOff>123824</xdr:colOff>
      <xdr:row>31</xdr:row>
      <xdr:rowOff>123825</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485772</xdr:colOff>
      <xdr:row>4</xdr:row>
      <xdr:rowOff>123824</xdr:rowOff>
    </xdr:from>
    <xdr:to>
      <xdr:col>12</xdr:col>
      <xdr:colOff>361947</xdr:colOff>
      <xdr:row>7</xdr:row>
      <xdr:rowOff>171450</xdr:rowOff>
    </xdr:to>
    <xdr:sp macro="" textlink="">
      <xdr:nvSpPr>
        <xdr:cNvPr id="8" name="Speech Bubble: Rectangle 7">
          <a:extLst>
            <a:ext uri="{FF2B5EF4-FFF2-40B4-BE49-F238E27FC236}">
              <a16:creationId xmlns:a16="http://schemas.microsoft.com/office/drawing/2014/main" id="{00000000-0008-0000-0300-000008000000}"/>
            </a:ext>
          </a:extLst>
        </xdr:cNvPr>
        <xdr:cNvSpPr/>
      </xdr:nvSpPr>
      <xdr:spPr>
        <a:xfrm flipH="1">
          <a:off x="4038597" y="904874"/>
          <a:ext cx="5362575" cy="628651"/>
        </a:xfrm>
        <a:prstGeom prst="wedgeRectCallout">
          <a:avLst>
            <a:gd name="adj1" fmla="val 60926"/>
            <a:gd name="adj2" fmla="val -48214"/>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t>If Major Total &gt; 2500 or High Minor &gt; 1000, the point will be out of graph 4C - 1</a:t>
          </a:r>
        </a:p>
        <a:p>
          <a:pPr algn="ctr"/>
          <a:r>
            <a:rPr lang="en-US" sz="1200" baseline="0"/>
            <a:t>If Major Total &gt; 1800 or High Minor &gt; 800, the point will be out of graph 4C - 2</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161925</xdr:colOff>
      <xdr:row>1</xdr:row>
      <xdr:rowOff>28574</xdr:rowOff>
    </xdr:from>
    <xdr:to>
      <xdr:col>15</xdr:col>
      <xdr:colOff>219075</xdr:colOff>
      <xdr:row>6</xdr:row>
      <xdr:rowOff>57149</xdr:rowOff>
    </xdr:to>
    <xdr:sp macro="" textlink="">
      <xdr:nvSpPr>
        <xdr:cNvPr id="2" name="Speech Bubble: Rectangle 1">
          <a:extLst>
            <a:ext uri="{FF2B5EF4-FFF2-40B4-BE49-F238E27FC236}">
              <a16:creationId xmlns:a16="http://schemas.microsoft.com/office/drawing/2014/main" id="{00000000-0008-0000-0400-000002000000}"/>
            </a:ext>
          </a:extLst>
        </xdr:cNvPr>
        <xdr:cNvSpPr/>
      </xdr:nvSpPr>
      <xdr:spPr>
        <a:xfrm rot="16200000">
          <a:off x="6710362" y="-1452563"/>
          <a:ext cx="981075" cy="4324350"/>
        </a:xfrm>
        <a:prstGeom prst="wedgeRectCallout">
          <a:avLst>
            <a:gd name="adj1" fmla="val 59473"/>
            <a:gd name="adj2" fmla="val -63568"/>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lstStyle/>
        <a:p>
          <a:pPr algn="ctr"/>
          <a:r>
            <a:rPr lang="en-US" sz="1100">
              <a:solidFill>
                <a:schemeClr val="lt1"/>
              </a:solidFill>
              <a:effectLst/>
              <a:latin typeface="+mn-lt"/>
              <a:ea typeface="+mn-ea"/>
              <a:cs typeface="+mn-cs"/>
            </a:rPr>
            <a:t>Only</a:t>
          </a:r>
          <a:r>
            <a:rPr lang="en-US" sz="1100" baseline="0">
              <a:solidFill>
                <a:schemeClr val="lt1"/>
              </a:solidFill>
              <a:effectLst/>
              <a:latin typeface="+mn-lt"/>
              <a:ea typeface="+mn-ea"/>
              <a:cs typeface="+mn-cs"/>
            </a:rPr>
            <a:t> applied in unusual case, such as office complexes, manufacturing plants, industrial complexes, or high-occupancy vehciles facilities that attract or discharge large number of vehicles over a short time.</a:t>
          </a:r>
          <a:endParaRPr lang="en-US" sz="12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457198</xdr:colOff>
      <xdr:row>0</xdr:row>
      <xdr:rowOff>76201</xdr:rowOff>
    </xdr:from>
    <xdr:to>
      <xdr:col>11</xdr:col>
      <xdr:colOff>514348</xdr:colOff>
      <xdr:row>6</xdr:row>
      <xdr:rowOff>104775</xdr:rowOff>
    </xdr:to>
    <xdr:sp macro="" textlink="">
      <xdr:nvSpPr>
        <xdr:cNvPr id="4" name="Speech Bubble: Rectangle 3">
          <a:extLst>
            <a:ext uri="{FF2B5EF4-FFF2-40B4-BE49-F238E27FC236}">
              <a16:creationId xmlns:a16="http://schemas.microsoft.com/office/drawing/2014/main" id="{00000000-0008-0000-0500-000004000000}"/>
            </a:ext>
          </a:extLst>
        </xdr:cNvPr>
        <xdr:cNvSpPr/>
      </xdr:nvSpPr>
      <xdr:spPr>
        <a:xfrm rot="16200000">
          <a:off x="4833936" y="-1500187"/>
          <a:ext cx="1171574" cy="4324350"/>
        </a:xfrm>
        <a:prstGeom prst="wedgeRectCallout">
          <a:avLst>
            <a:gd name="adj1" fmla="val 48904"/>
            <a:gd name="adj2" fmla="val -64669"/>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lstStyle/>
        <a:p>
          <a:pPr algn="l"/>
          <a:r>
            <a:rPr lang="en-US" sz="1100">
              <a:solidFill>
                <a:schemeClr val="lt1"/>
              </a:solidFill>
              <a:effectLst/>
              <a:latin typeface="+mn-lt"/>
              <a:ea typeface="+mn-ea"/>
              <a:cs typeface="+mn-cs"/>
            </a:rPr>
            <a:t>Not</a:t>
          </a:r>
          <a:r>
            <a:rPr lang="en-US" sz="1100" baseline="0">
              <a:solidFill>
                <a:schemeClr val="lt1"/>
              </a:solidFill>
              <a:effectLst/>
              <a:latin typeface="+mn-lt"/>
              <a:ea typeface="+mn-ea"/>
              <a:cs typeface="+mn-cs"/>
            </a:rPr>
            <a:t> applied where:</a:t>
          </a:r>
        </a:p>
        <a:p>
          <a:pPr algn="l"/>
          <a:r>
            <a:rPr lang="en-US" sz="1100" baseline="0">
              <a:solidFill>
                <a:schemeClr val="lt1"/>
              </a:solidFill>
              <a:effectLst/>
              <a:latin typeface="+mn-lt"/>
              <a:ea typeface="+mn-ea"/>
              <a:cs typeface="+mn-cs"/>
            </a:rPr>
            <a:t>--The distance to the nearest traffic control signal or STOP sign controlling the street that ped desire to cross is less than 300 feet</a:t>
          </a:r>
        </a:p>
        <a:p>
          <a:pPr algn="l"/>
          <a:r>
            <a:rPr lang="en-US" sz="1100" baseline="0">
              <a:solidFill>
                <a:schemeClr val="lt1"/>
              </a:solidFill>
              <a:effectLst/>
              <a:latin typeface="+mn-lt"/>
              <a:ea typeface="+mn-ea"/>
              <a:cs typeface="+mn-cs"/>
            </a:rPr>
            <a:t>--Adjacent coordinated traffic control signals consistently provide gaps of adequate length for ped to cross the street.</a:t>
          </a:r>
          <a:endParaRPr lang="en-US" sz="1200"/>
        </a:p>
      </xdr:txBody>
    </xdr:sp>
    <xdr:clientData/>
  </xdr:twoCellAnchor>
  <xdr:twoCellAnchor>
    <xdr:from>
      <xdr:col>5</xdr:col>
      <xdr:colOff>9525</xdr:colOff>
      <xdr:row>14</xdr:row>
      <xdr:rowOff>0</xdr:rowOff>
    </xdr:from>
    <xdr:to>
      <xdr:col>8</xdr:col>
      <xdr:colOff>0</xdr:colOff>
      <xdr:row>15</xdr:row>
      <xdr:rowOff>47626</xdr:rowOff>
    </xdr:to>
    <xdr:sp macro="" textlink="">
      <xdr:nvSpPr>
        <xdr:cNvPr id="5" name="Arrow: Pentagon 4">
          <a:extLst>
            <a:ext uri="{FF2B5EF4-FFF2-40B4-BE49-F238E27FC236}">
              <a16:creationId xmlns:a16="http://schemas.microsoft.com/office/drawing/2014/main" id="{00000000-0008-0000-0500-000005000000}"/>
            </a:ext>
          </a:extLst>
        </xdr:cNvPr>
        <xdr:cNvSpPr/>
      </xdr:nvSpPr>
      <xdr:spPr>
        <a:xfrm>
          <a:off x="3705225" y="2686050"/>
          <a:ext cx="3028950" cy="238126"/>
        </a:xfrm>
        <a:prstGeom prst="homePlat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Major-street speed exceeds 35 mph </a:t>
          </a:r>
          <a:endParaRPr lang="en-US" sz="1200"/>
        </a:p>
      </xdr:txBody>
    </xdr:sp>
    <xdr:clientData/>
  </xdr:twoCellAnchor>
  <mc:AlternateContent xmlns:mc="http://schemas.openxmlformats.org/markup-compatibility/2006">
    <mc:Choice xmlns:a14="http://schemas.microsoft.com/office/drawing/2010/main" Requires="a14">
      <xdr:twoCellAnchor editAs="oneCell">
        <xdr:from>
          <xdr:col>8</xdr:col>
          <xdr:colOff>104775</xdr:colOff>
          <xdr:row>14</xdr:row>
          <xdr:rowOff>0</xdr:rowOff>
        </xdr:from>
        <xdr:to>
          <xdr:col>8</xdr:col>
          <xdr:colOff>590550</xdr:colOff>
          <xdr:row>15</xdr:row>
          <xdr:rowOff>19050</xdr:rowOff>
        </xdr:to>
        <xdr:sp macro="" textlink="">
          <xdr:nvSpPr>
            <xdr:cNvPr id="9217" name="Check Box 1" hidden="1">
              <a:extLst>
                <a:ext uri="{63B3BB69-23CF-44E3-9099-C40C66FF867C}">
                  <a14:compatExt spid="_x0000_s9217"/>
                </a:ext>
                <a:ext uri="{FF2B5EF4-FFF2-40B4-BE49-F238E27FC236}">
                  <a16:creationId xmlns:a16="http://schemas.microsoft.com/office/drawing/2014/main" id="{00000000-0008-0000-0500-000001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xdr:twoCellAnchor>
    <xdr:from>
      <xdr:col>5</xdr:col>
      <xdr:colOff>0</xdr:colOff>
      <xdr:row>16</xdr:row>
      <xdr:rowOff>9526</xdr:rowOff>
    </xdr:from>
    <xdr:to>
      <xdr:col>8</xdr:col>
      <xdr:colOff>0</xdr:colOff>
      <xdr:row>17</xdr:row>
      <xdr:rowOff>19050</xdr:rowOff>
    </xdr:to>
    <xdr:sp macro="" textlink="">
      <xdr:nvSpPr>
        <xdr:cNvPr id="7" name="Arrow: Pentagon 6">
          <a:extLst>
            <a:ext uri="{FF2B5EF4-FFF2-40B4-BE49-F238E27FC236}">
              <a16:creationId xmlns:a16="http://schemas.microsoft.com/office/drawing/2014/main" id="{00000000-0008-0000-0500-000007000000}"/>
            </a:ext>
          </a:extLst>
        </xdr:cNvPr>
        <xdr:cNvSpPr/>
      </xdr:nvSpPr>
      <xdr:spPr>
        <a:xfrm>
          <a:off x="3695700" y="3076576"/>
          <a:ext cx="3038475" cy="200024"/>
        </a:xfrm>
        <a:prstGeom prst="homePlat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Population less than 10,000</a:t>
          </a:r>
          <a:endParaRPr lang="en-US" sz="1200"/>
        </a:p>
      </xdr:txBody>
    </xdr:sp>
    <xdr:clientData/>
  </xdr:twoCellAnchor>
  <mc:AlternateContent xmlns:mc="http://schemas.openxmlformats.org/markup-compatibility/2006">
    <mc:Choice xmlns:a14="http://schemas.microsoft.com/office/drawing/2010/main" Requires="a14">
      <xdr:twoCellAnchor editAs="oneCell">
        <xdr:from>
          <xdr:col>8</xdr:col>
          <xdr:colOff>76200</xdr:colOff>
          <xdr:row>15</xdr:row>
          <xdr:rowOff>180975</xdr:rowOff>
        </xdr:from>
        <xdr:to>
          <xdr:col>8</xdr:col>
          <xdr:colOff>561975</xdr:colOff>
          <xdr:row>17</xdr:row>
          <xdr:rowOff>9525</xdr:rowOff>
        </xdr:to>
        <xdr:sp macro="" textlink="">
          <xdr:nvSpPr>
            <xdr:cNvPr id="9218" name="Check Box 2" hidden="1">
              <a:extLst>
                <a:ext uri="{63B3BB69-23CF-44E3-9099-C40C66FF867C}">
                  <a14:compatExt spid="_x0000_s9218"/>
                </a:ext>
                <a:ext uri="{FF2B5EF4-FFF2-40B4-BE49-F238E27FC236}">
                  <a16:creationId xmlns:a16="http://schemas.microsoft.com/office/drawing/2014/main" id="{00000000-0008-0000-0500-000002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xdr:twoCellAnchor editAs="oneCell">
    <xdr:from>
      <xdr:col>5</xdr:col>
      <xdr:colOff>190500</xdr:colOff>
      <xdr:row>29</xdr:row>
      <xdr:rowOff>18243</xdr:rowOff>
    </xdr:from>
    <xdr:to>
      <xdr:col>13</xdr:col>
      <xdr:colOff>219075</xdr:colOff>
      <xdr:row>46</xdr:row>
      <xdr:rowOff>46911</xdr:rowOff>
    </xdr:to>
    <xdr:pic>
      <xdr:nvPicPr>
        <xdr:cNvPr id="6" name="Picture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1"/>
        <a:stretch>
          <a:fillRect/>
        </a:stretch>
      </xdr:blipFill>
      <xdr:spPr>
        <a:xfrm>
          <a:off x="3886200" y="5580843"/>
          <a:ext cx="6115050" cy="3267168"/>
        </a:xfrm>
        <a:prstGeom prst="rect">
          <a:avLst/>
        </a:prstGeom>
      </xdr:spPr>
    </xdr:pic>
    <xdr:clientData/>
  </xdr:twoCellAnchor>
  <xdr:twoCellAnchor editAs="oneCell">
    <xdr:from>
      <xdr:col>5</xdr:col>
      <xdr:colOff>285750</xdr:colOff>
      <xdr:row>57</xdr:row>
      <xdr:rowOff>137778</xdr:rowOff>
    </xdr:from>
    <xdr:to>
      <xdr:col>13</xdr:col>
      <xdr:colOff>257175</xdr:colOff>
      <xdr:row>74</xdr:row>
      <xdr:rowOff>144195</xdr:rowOff>
    </xdr:to>
    <xdr:pic>
      <xdr:nvPicPr>
        <xdr:cNvPr id="8" name="Picture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2"/>
        <a:stretch>
          <a:fillRect/>
        </a:stretch>
      </xdr:blipFill>
      <xdr:spPr>
        <a:xfrm>
          <a:off x="3981450" y="11034378"/>
          <a:ext cx="6057900" cy="3244917"/>
        </a:xfrm>
        <a:prstGeom prst="rect">
          <a:avLst/>
        </a:prstGeom>
      </xdr:spPr>
    </xdr:pic>
    <xdr:clientData/>
  </xdr:twoCellAnchor>
  <xdr:twoCellAnchor editAs="oneCell">
    <xdr:from>
      <xdr:col>20</xdr:col>
      <xdr:colOff>238126</xdr:colOff>
      <xdr:row>29</xdr:row>
      <xdr:rowOff>19050</xdr:rowOff>
    </xdr:from>
    <xdr:to>
      <xdr:col>30</xdr:col>
      <xdr:colOff>109098</xdr:colOff>
      <xdr:row>45</xdr:row>
      <xdr:rowOff>161207</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3"/>
        <a:stretch>
          <a:fillRect/>
        </a:stretch>
      </xdr:blipFill>
      <xdr:spPr>
        <a:xfrm>
          <a:off x="14287501" y="5581650"/>
          <a:ext cx="5966972" cy="3190157"/>
        </a:xfrm>
        <a:prstGeom prst="rect">
          <a:avLst/>
        </a:prstGeom>
      </xdr:spPr>
    </xdr:pic>
    <xdr:clientData/>
  </xdr:twoCellAnchor>
  <xdr:twoCellAnchor editAs="oneCell">
    <xdr:from>
      <xdr:col>20</xdr:col>
      <xdr:colOff>200025</xdr:colOff>
      <xdr:row>54</xdr:row>
      <xdr:rowOff>9525</xdr:rowOff>
    </xdr:from>
    <xdr:to>
      <xdr:col>30</xdr:col>
      <xdr:colOff>101230</xdr:colOff>
      <xdr:row>71</xdr:row>
      <xdr:rowOff>65954</xdr:rowOff>
    </xdr:to>
    <xdr:pic>
      <xdr:nvPicPr>
        <xdr:cNvPr id="10" name="Picture 9">
          <a:extLst>
            <a:ext uri="{FF2B5EF4-FFF2-40B4-BE49-F238E27FC236}">
              <a16:creationId xmlns:a16="http://schemas.microsoft.com/office/drawing/2014/main" id="{00000000-0008-0000-0500-00000A000000}"/>
            </a:ext>
          </a:extLst>
        </xdr:cNvPr>
        <xdr:cNvPicPr>
          <a:picLocks noChangeAspect="1"/>
        </xdr:cNvPicPr>
      </xdr:nvPicPr>
      <xdr:blipFill>
        <a:blip xmlns:r="http://schemas.openxmlformats.org/officeDocument/2006/relationships" r:embed="rId4"/>
        <a:stretch>
          <a:fillRect/>
        </a:stretch>
      </xdr:blipFill>
      <xdr:spPr>
        <a:xfrm>
          <a:off x="14249400" y="10334625"/>
          <a:ext cx="5997205" cy="3294929"/>
        </a:xfrm>
        <a:prstGeom prst="rect">
          <a:avLst/>
        </a:prstGeom>
      </xdr:spPr>
    </xdr:pic>
    <xdr:clientData/>
  </xdr:twoCellAnchor>
  <xdr:twoCellAnchor>
    <xdr:from>
      <xdr:col>5</xdr:col>
      <xdr:colOff>57147</xdr:colOff>
      <xdr:row>21</xdr:row>
      <xdr:rowOff>133351</xdr:rowOff>
    </xdr:from>
    <xdr:to>
      <xdr:col>11</xdr:col>
      <xdr:colOff>552447</xdr:colOff>
      <xdr:row>26</xdr:row>
      <xdr:rowOff>19050</xdr:rowOff>
    </xdr:to>
    <xdr:sp macro="" textlink="">
      <xdr:nvSpPr>
        <xdr:cNvPr id="13" name="Speech Bubble: Rectangle 12">
          <a:extLst>
            <a:ext uri="{FF2B5EF4-FFF2-40B4-BE49-F238E27FC236}">
              <a16:creationId xmlns:a16="http://schemas.microsoft.com/office/drawing/2014/main" id="{00000000-0008-0000-0500-00000D000000}"/>
            </a:ext>
          </a:extLst>
        </xdr:cNvPr>
        <xdr:cNvSpPr/>
      </xdr:nvSpPr>
      <xdr:spPr>
        <a:xfrm flipH="1">
          <a:off x="3933822" y="4181476"/>
          <a:ext cx="5362575" cy="838199"/>
        </a:xfrm>
        <a:prstGeom prst="wedgeRectCallout">
          <a:avLst>
            <a:gd name="adj1" fmla="val -6392"/>
            <a:gd name="adj2" fmla="val 96104"/>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aseline="0">
              <a:solidFill>
                <a:schemeClr val="lt1"/>
              </a:solidFill>
              <a:latin typeface="+mn-lt"/>
              <a:ea typeface="+mn-ea"/>
              <a:cs typeface="+mn-cs"/>
            </a:rPr>
            <a:t>If Major Total &gt; 2500 or Total Ped &gt; 1000, the point will be out of graph 4C -5</a:t>
          </a:r>
        </a:p>
        <a:p>
          <a:pPr algn="ctr"/>
          <a:r>
            <a:rPr lang="en-US" sz="1200" baseline="0">
              <a:solidFill>
                <a:schemeClr val="lt1"/>
              </a:solidFill>
              <a:latin typeface="+mn-lt"/>
              <a:ea typeface="+mn-ea"/>
              <a:cs typeface="+mn-cs"/>
            </a:rPr>
            <a:t>If Major Total &gt; 1800 or Total Ped &gt; 0800, the point will be out of graph 4C -6</a:t>
          </a:r>
        </a:p>
        <a:p>
          <a:pPr marL="0" marR="0" lvl="0" indent="0" algn="ctr" defTabSz="914400" eaLnBrk="1" fontAlgn="auto" latinLnBrk="0" hangingPunct="1">
            <a:lnSpc>
              <a:spcPct val="100000"/>
            </a:lnSpc>
            <a:spcBef>
              <a:spcPts val="0"/>
            </a:spcBef>
            <a:spcAft>
              <a:spcPts val="0"/>
            </a:spcAft>
            <a:buClrTx/>
            <a:buSzTx/>
            <a:buFontTx/>
            <a:buNone/>
            <a:tabLst/>
            <a:defRPr/>
          </a:pPr>
          <a:r>
            <a:rPr lang="en-US" sz="1200" baseline="0">
              <a:solidFill>
                <a:schemeClr val="lt1"/>
              </a:solidFill>
              <a:latin typeface="+mn-lt"/>
              <a:ea typeface="+mn-ea"/>
              <a:cs typeface="+mn-cs"/>
            </a:rPr>
            <a:t>If Major Total &gt; 3300 or Total Ped &gt; 1400, the point will be out of graph 4C -7</a:t>
          </a:r>
        </a:p>
        <a:p>
          <a:pPr marL="0" marR="0" lvl="0" indent="0" algn="ctr" defTabSz="914400" eaLnBrk="1" fontAlgn="auto" latinLnBrk="0" hangingPunct="1">
            <a:lnSpc>
              <a:spcPct val="100000"/>
            </a:lnSpc>
            <a:spcBef>
              <a:spcPts val="0"/>
            </a:spcBef>
            <a:spcAft>
              <a:spcPts val="0"/>
            </a:spcAft>
            <a:buClrTx/>
            <a:buSzTx/>
            <a:buFontTx/>
            <a:buNone/>
            <a:tabLst/>
            <a:defRPr/>
          </a:pPr>
          <a:r>
            <a:rPr lang="en-US" sz="1200" baseline="0">
              <a:solidFill>
                <a:schemeClr val="lt1"/>
              </a:solidFill>
              <a:latin typeface="+mn-lt"/>
              <a:ea typeface="+mn-ea"/>
              <a:cs typeface="+mn-cs"/>
            </a:rPr>
            <a:t>If Major Total &gt; 2200 or Total Ped &gt; 1000, the point will be out of graph 4C -8</a:t>
          </a:r>
          <a:endParaRPr lang="en-US" sz="1200">
            <a:effectLst/>
          </a:endParaRPr>
        </a:p>
      </xdr:txBody>
    </xdr:sp>
    <xdr:clientData/>
  </xdr:twoCellAnchor>
  <xdr:twoCellAnchor>
    <xdr:from>
      <xdr:col>7</xdr:col>
      <xdr:colOff>104775</xdr:colOff>
      <xdr:row>20</xdr:row>
      <xdr:rowOff>114300</xdr:rowOff>
    </xdr:from>
    <xdr:to>
      <xdr:col>19</xdr:col>
      <xdr:colOff>285750</xdr:colOff>
      <xdr:row>42</xdr:row>
      <xdr:rowOff>85727</xdr:rowOff>
    </xdr:to>
    <xdr:graphicFrame macro="">
      <xdr:nvGraphicFramePr>
        <xdr:cNvPr id="11" name="Chart 10">
          <a:extLst>
            <a:ext uri="{FF2B5EF4-FFF2-40B4-BE49-F238E27FC236}">
              <a16:creationId xmlns:a16="http://schemas.microsoft.com/office/drawing/2014/main" id="{00000000-0008-0000-05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8</xdr:row>
      <xdr:rowOff>0</xdr:rowOff>
    </xdr:from>
    <xdr:to>
      <xdr:col>9</xdr:col>
      <xdr:colOff>381000</xdr:colOff>
      <xdr:row>9</xdr:row>
      <xdr:rowOff>19050</xdr:rowOff>
    </xdr:to>
    <xdr:sp macro="" textlink="">
      <xdr:nvSpPr>
        <xdr:cNvPr id="15" name="Arrow: Pentagon 14">
          <a:extLst>
            <a:ext uri="{FF2B5EF4-FFF2-40B4-BE49-F238E27FC236}">
              <a16:creationId xmlns:a16="http://schemas.microsoft.com/office/drawing/2014/main" id="{00000000-0008-0000-0500-00000F000000}"/>
            </a:ext>
          </a:extLst>
        </xdr:cNvPr>
        <xdr:cNvSpPr/>
      </xdr:nvSpPr>
      <xdr:spPr>
        <a:xfrm>
          <a:off x="3876675" y="1533525"/>
          <a:ext cx="4029075" cy="209550"/>
        </a:xfrm>
        <a:prstGeom prst="homePlat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Any consecutive 15-min periods have higher volumes?</a:t>
          </a:r>
          <a:endParaRPr lang="en-US" sz="1200"/>
        </a:p>
      </xdr:txBody>
    </xdr:sp>
    <xdr:clientData/>
  </xdr:twoCellAnchor>
  <xdr:twoCellAnchor>
    <xdr:from>
      <xdr:col>7</xdr:col>
      <xdr:colOff>247651</xdr:colOff>
      <xdr:row>49</xdr:row>
      <xdr:rowOff>38099</xdr:rowOff>
    </xdr:from>
    <xdr:to>
      <xdr:col>19</xdr:col>
      <xdr:colOff>361950</xdr:colOff>
      <xdr:row>70</xdr:row>
      <xdr:rowOff>133350</xdr:rowOff>
    </xdr:to>
    <xdr:graphicFrame macro="">
      <xdr:nvGraphicFramePr>
        <xdr:cNvPr id="16" name="Chart 15">
          <a:extLst>
            <a:ext uri="{FF2B5EF4-FFF2-40B4-BE49-F238E27FC236}">
              <a16:creationId xmlns:a16="http://schemas.microsoft.com/office/drawing/2014/main" id="{00000000-0008-0000-05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66675</xdr:colOff>
          <xdr:row>8</xdr:row>
          <xdr:rowOff>19050</xdr:rowOff>
        </xdr:from>
        <xdr:to>
          <xdr:col>11</xdr:col>
          <xdr:colOff>95250</xdr:colOff>
          <xdr:row>9</xdr:row>
          <xdr:rowOff>19050</xdr:rowOff>
        </xdr:to>
        <xdr:sp macro="" textlink="">
          <xdr:nvSpPr>
            <xdr:cNvPr id="9219" name="Check Box 3" hidden="1">
              <a:extLst>
                <a:ext uri="{63B3BB69-23CF-44E3-9099-C40C66FF867C}">
                  <a14:compatExt spid="_x0000_s9219"/>
                </a:ext>
                <a:ext uri="{FF2B5EF4-FFF2-40B4-BE49-F238E27FC236}">
                  <a16:creationId xmlns:a16="http://schemas.microsoft.com/office/drawing/2014/main" id="{00000000-0008-0000-0500-000003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xdr:twoCellAnchor>
    <xdr:from>
      <xdr:col>11</xdr:col>
      <xdr:colOff>142875</xdr:colOff>
      <xdr:row>8</xdr:row>
      <xdr:rowOff>0</xdr:rowOff>
    </xdr:from>
    <xdr:to>
      <xdr:col>14</xdr:col>
      <xdr:colOff>447675</xdr:colOff>
      <xdr:row>9</xdr:row>
      <xdr:rowOff>9525</xdr:rowOff>
    </xdr:to>
    <xdr:sp macro="" textlink="">
      <xdr:nvSpPr>
        <xdr:cNvPr id="18" name="Arrow: Pentagon 17">
          <a:extLst>
            <a:ext uri="{FF2B5EF4-FFF2-40B4-BE49-F238E27FC236}">
              <a16:creationId xmlns:a16="http://schemas.microsoft.com/office/drawing/2014/main" id="{00000000-0008-0000-0500-000012000000}"/>
            </a:ext>
          </a:extLst>
        </xdr:cNvPr>
        <xdr:cNvSpPr/>
      </xdr:nvSpPr>
      <xdr:spPr>
        <a:xfrm>
          <a:off x="8886825" y="1533525"/>
          <a:ext cx="2133600" cy="200025"/>
        </a:xfrm>
        <a:prstGeom prst="homePlat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If  yes, type</a:t>
          </a:r>
          <a:r>
            <a:rPr lang="en-US" sz="1100" baseline="0">
              <a:solidFill>
                <a:schemeClr val="lt1"/>
              </a:solidFill>
              <a:effectLst/>
              <a:latin typeface="+mn-lt"/>
              <a:ea typeface="+mn-ea"/>
              <a:cs typeface="+mn-cs"/>
            </a:rPr>
            <a:t> in the volumes :</a:t>
          </a:r>
          <a:endParaRPr lang="en-US" sz="1200"/>
        </a:p>
      </xdr:txBody>
    </xdr:sp>
    <xdr:clientData/>
  </xdr:twoCellAnchor>
  <xdr:twoCellAnchor>
    <xdr:from>
      <xdr:col>22</xdr:col>
      <xdr:colOff>342901</xdr:colOff>
      <xdr:row>20</xdr:row>
      <xdr:rowOff>171451</xdr:rowOff>
    </xdr:from>
    <xdr:to>
      <xdr:col>36</xdr:col>
      <xdr:colOff>361950</xdr:colOff>
      <xdr:row>42</xdr:row>
      <xdr:rowOff>28575</xdr:rowOff>
    </xdr:to>
    <xdr:graphicFrame macro="">
      <xdr:nvGraphicFramePr>
        <xdr:cNvPr id="12" name="Chart 11">
          <a:extLst>
            <a:ext uri="{FF2B5EF4-FFF2-40B4-BE49-F238E27FC236}">
              <a16:creationId xmlns:a16="http://schemas.microsoft.com/office/drawing/2014/main" id="{00000000-0008-0000-05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257175</xdr:colOff>
      <xdr:row>45</xdr:row>
      <xdr:rowOff>57150</xdr:rowOff>
    </xdr:from>
    <xdr:to>
      <xdr:col>36</xdr:col>
      <xdr:colOff>533401</xdr:colOff>
      <xdr:row>67</xdr:row>
      <xdr:rowOff>57150</xdr:rowOff>
    </xdr:to>
    <xdr:graphicFrame macro="">
      <xdr:nvGraphicFramePr>
        <xdr:cNvPr id="20" name="Chart 19">
          <a:extLst>
            <a:ext uri="{FF2B5EF4-FFF2-40B4-BE49-F238E27FC236}">
              <a16:creationId xmlns:a16="http://schemas.microsoft.com/office/drawing/2014/main" id="{00000000-0008-0000-05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47623</xdr:colOff>
      <xdr:row>1</xdr:row>
      <xdr:rowOff>0</xdr:rowOff>
    </xdr:from>
    <xdr:to>
      <xdr:col>17</xdr:col>
      <xdr:colOff>552450</xdr:colOff>
      <xdr:row>2</xdr:row>
      <xdr:rowOff>19051</xdr:rowOff>
    </xdr:to>
    <xdr:sp macro="" textlink="">
      <xdr:nvSpPr>
        <xdr:cNvPr id="2" name="Arrow: Pentagon 1">
          <a:extLst>
            <a:ext uri="{FF2B5EF4-FFF2-40B4-BE49-F238E27FC236}">
              <a16:creationId xmlns:a16="http://schemas.microsoft.com/office/drawing/2014/main" id="{00000000-0008-0000-0600-000002000000}"/>
            </a:ext>
          </a:extLst>
        </xdr:cNvPr>
        <xdr:cNvSpPr/>
      </xdr:nvSpPr>
      <xdr:spPr>
        <a:xfrm flipH="1">
          <a:off x="657223" y="190500"/>
          <a:ext cx="10258427" cy="209551"/>
        </a:xfrm>
        <a:prstGeom prst="homePlat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0" i="0" u="none" strike="noStrike" baseline="0">
              <a:solidFill>
                <a:schemeClr val="lt1"/>
              </a:solidFill>
              <a:latin typeface="+mn-lt"/>
              <a:ea typeface="+mn-ea"/>
              <a:cs typeface="+mn-cs"/>
            </a:rPr>
            <a:t>The number of adequate gaps in the traffic stream during the period when the school children are using the crossing is less than the number of minutes in the same period?</a:t>
          </a:r>
          <a:endParaRPr lang="en-US" sz="1200" b="0"/>
        </a:p>
      </xdr:txBody>
    </xdr:sp>
    <xdr:clientData/>
  </xdr:twoCellAnchor>
  <xdr:twoCellAnchor>
    <xdr:from>
      <xdr:col>1</xdr:col>
      <xdr:colOff>38096</xdr:colOff>
      <xdr:row>2</xdr:row>
      <xdr:rowOff>19050</xdr:rowOff>
    </xdr:from>
    <xdr:to>
      <xdr:col>8</xdr:col>
      <xdr:colOff>542924</xdr:colOff>
      <xdr:row>3</xdr:row>
      <xdr:rowOff>38100</xdr:rowOff>
    </xdr:to>
    <xdr:sp macro="" textlink="">
      <xdr:nvSpPr>
        <xdr:cNvPr id="3" name="Arrow: Pentagon 2">
          <a:extLst>
            <a:ext uri="{FF2B5EF4-FFF2-40B4-BE49-F238E27FC236}">
              <a16:creationId xmlns:a16="http://schemas.microsoft.com/office/drawing/2014/main" id="{00000000-0008-0000-0600-000003000000}"/>
            </a:ext>
          </a:extLst>
        </xdr:cNvPr>
        <xdr:cNvSpPr/>
      </xdr:nvSpPr>
      <xdr:spPr>
        <a:xfrm flipH="1">
          <a:off x="647696" y="400050"/>
          <a:ext cx="4772028" cy="209550"/>
        </a:xfrm>
        <a:prstGeom prst="homePlat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0" i="0" u="none" strike="noStrike" baseline="0">
              <a:solidFill>
                <a:schemeClr val="lt1"/>
              </a:solidFill>
              <a:latin typeface="+mn-lt"/>
              <a:ea typeface="+mn-ea"/>
              <a:cs typeface="+mn-cs"/>
            </a:rPr>
            <a:t>There are a minimum of 20 school children during the highest crossing hour?</a:t>
          </a:r>
          <a:endParaRPr lang="en-US" sz="1200" b="0"/>
        </a:p>
      </xdr:txBody>
    </xdr:sp>
    <xdr:clientData/>
  </xdr:twoCellAnchor>
  <mc:AlternateContent xmlns:mc="http://schemas.openxmlformats.org/markup-compatibility/2006">
    <mc:Choice xmlns:a14="http://schemas.microsoft.com/office/drawing/2010/main" Requires="a14">
      <xdr:twoCellAnchor editAs="oneCell">
        <xdr:from>
          <xdr:col>0</xdr:col>
          <xdr:colOff>95250</xdr:colOff>
          <xdr:row>1</xdr:row>
          <xdr:rowOff>9525</xdr:rowOff>
        </xdr:from>
        <xdr:to>
          <xdr:col>0</xdr:col>
          <xdr:colOff>581025</xdr:colOff>
          <xdr:row>2</xdr:row>
          <xdr:rowOff>28575</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6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2</xdr:row>
          <xdr:rowOff>28575</xdr:rowOff>
        </xdr:from>
        <xdr:to>
          <xdr:col>0</xdr:col>
          <xdr:colOff>581025</xdr:colOff>
          <xdr:row>3</xdr:row>
          <xdr:rowOff>47625</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600-00000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xdr:twoCellAnchor>
    <xdr:from>
      <xdr:col>1</xdr:col>
      <xdr:colOff>19046</xdr:colOff>
      <xdr:row>3</xdr:row>
      <xdr:rowOff>19050</xdr:rowOff>
    </xdr:from>
    <xdr:to>
      <xdr:col>17</xdr:col>
      <xdr:colOff>428624</xdr:colOff>
      <xdr:row>4</xdr:row>
      <xdr:rowOff>38100</xdr:rowOff>
    </xdr:to>
    <xdr:sp macro="" textlink="">
      <xdr:nvSpPr>
        <xdr:cNvPr id="6" name="Arrow: Pentagon 5">
          <a:extLst>
            <a:ext uri="{FF2B5EF4-FFF2-40B4-BE49-F238E27FC236}">
              <a16:creationId xmlns:a16="http://schemas.microsoft.com/office/drawing/2014/main" id="{00000000-0008-0000-0600-000006000000}"/>
            </a:ext>
          </a:extLst>
        </xdr:cNvPr>
        <xdr:cNvSpPr/>
      </xdr:nvSpPr>
      <xdr:spPr>
        <a:xfrm flipH="1">
          <a:off x="628646" y="590550"/>
          <a:ext cx="10163178" cy="209550"/>
        </a:xfrm>
        <a:prstGeom prst="homePlat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0" i="0" u="none" strike="noStrike" baseline="0">
              <a:solidFill>
                <a:schemeClr val="lt1"/>
              </a:solidFill>
              <a:latin typeface="+mn-lt"/>
              <a:ea typeface="+mn-ea"/>
              <a:cs typeface="+mn-cs"/>
            </a:rPr>
            <a:t>Not workable if implementing other remedial measures, such as warning signs and flashers, school speed zones, school crossing guards, or a grade-separated crossing?</a:t>
          </a:r>
          <a:endParaRPr lang="en-US" sz="1200" b="0"/>
        </a:p>
      </xdr:txBody>
    </xdr:sp>
    <xdr:clientData/>
  </xdr:twoCellAnchor>
  <xdr:twoCellAnchor>
    <xdr:from>
      <xdr:col>1</xdr:col>
      <xdr:colOff>9520</xdr:colOff>
      <xdr:row>4</xdr:row>
      <xdr:rowOff>38100</xdr:rowOff>
    </xdr:from>
    <xdr:to>
      <xdr:col>18</xdr:col>
      <xdr:colOff>133349</xdr:colOff>
      <xdr:row>5</xdr:row>
      <xdr:rowOff>28575</xdr:rowOff>
    </xdr:to>
    <xdr:sp macro="" textlink="">
      <xdr:nvSpPr>
        <xdr:cNvPr id="8" name="Arrow: Pentagon 7">
          <a:extLst>
            <a:ext uri="{FF2B5EF4-FFF2-40B4-BE49-F238E27FC236}">
              <a16:creationId xmlns:a16="http://schemas.microsoft.com/office/drawing/2014/main" id="{00000000-0008-0000-0600-000008000000}"/>
            </a:ext>
          </a:extLst>
        </xdr:cNvPr>
        <xdr:cNvSpPr/>
      </xdr:nvSpPr>
      <xdr:spPr>
        <a:xfrm flipH="1">
          <a:off x="619120" y="800100"/>
          <a:ext cx="10487029" cy="180975"/>
        </a:xfrm>
        <a:prstGeom prst="homePlat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0" i="0" u="none" strike="noStrike" baseline="0">
              <a:solidFill>
                <a:schemeClr val="lt1"/>
              </a:solidFill>
              <a:latin typeface="+mn-lt"/>
              <a:ea typeface="+mn-ea"/>
              <a:cs typeface="+mn-cs"/>
            </a:rPr>
            <a:t>The distance to the nearest traffic control signal along the major street is &gt;= 300 feet, or the proposed traffic control signal will not restrict the progressive movement of traffic?</a:t>
          </a:r>
          <a:endParaRPr lang="en-US" sz="1200" b="0" i="0"/>
        </a:p>
      </xdr:txBody>
    </xdr:sp>
    <xdr:clientData/>
  </xdr:twoCellAnchor>
  <mc:AlternateContent xmlns:mc="http://schemas.openxmlformats.org/markup-compatibility/2006">
    <mc:Choice xmlns:a14="http://schemas.microsoft.com/office/drawing/2010/main" Requires="a14">
      <xdr:twoCellAnchor editAs="oneCell">
        <xdr:from>
          <xdr:col>0</xdr:col>
          <xdr:colOff>95250</xdr:colOff>
          <xdr:row>4</xdr:row>
          <xdr:rowOff>19050</xdr:rowOff>
        </xdr:from>
        <xdr:to>
          <xdr:col>0</xdr:col>
          <xdr:colOff>581025</xdr:colOff>
          <xdr:row>5</xdr:row>
          <xdr:rowOff>38100</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600-00000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3</xdr:row>
          <xdr:rowOff>19050</xdr:rowOff>
        </xdr:from>
        <xdr:to>
          <xdr:col>0</xdr:col>
          <xdr:colOff>581025</xdr:colOff>
          <xdr:row>4</xdr:row>
          <xdr:rowOff>38100</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600-00000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xdr:twoCellAnchor>
    <xdr:from>
      <xdr:col>20</xdr:col>
      <xdr:colOff>504825</xdr:colOff>
      <xdr:row>6</xdr:row>
      <xdr:rowOff>0</xdr:rowOff>
    </xdr:from>
    <xdr:to>
      <xdr:col>22</xdr:col>
      <xdr:colOff>361950</xdr:colOff>
      <xdr:row>9</xdr:row>
      <xdr:rowOff>114300</xdr:rowOff>
    </xdr:to>
    <xdr:sp macro="" textlink="">
      <xdr:nvSpPr>
        <xdr:cNvPr id="4" name="Arrow: Right 3">
          <a:extLst>
            <a:ext uri="{FF2B5EF4-FFF2-40B4-BE49-F238E27FC236}">
              <a16:creationId xmlns:a16="http://schemas.microsoft.com/office/drawing/2014/main" id="{00000000-0008-0000-0600-000004000000}"/>
            </a:ext>
          </a:extLst>
        </xdr:cNvPr>
        <xdr:cNvSpPr/>
      </xdr:nvSpPr>
      <xdr:spPr>
        <a:xfrm>
          <a:off x="12696825" y="1143000"/>
          <a:ext cx="1076325" cy="685800"/>
        </a:xfrm>
        <a:prstGeom prst="rightArrow">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609594</xdr:colOff>
      <xdr:row>8</xdr:row>
      <xdr:rowOff>19050</xdr:rowOff>
    </xdr:from>
    <xdr:to>
      <xdr:col>20</xdr:col>
      <xdr:colOff>171450</xdr:colOff>
      <xdr:row>9</xdr:row>
      <xdr:rowOff>28575</xdr:rowOff>
    </xdr:to>
    <xdr:sp macro="" textlink="">
      <xdr:nvSpPr>
        <xdr:cNvPr id="12" name="Arrow: Pentagon 11">
          <a:extLst>
            <a:ext uri="{FF2B5EF4-FFF2-40B4-BE49-F238E27FC236}">
              <a16:creationId xmlns:a16="http://schemas.microsoft.com/office/drawing/2014/main" id="{00000000-0008-0000-0600-00000C000000}"/>
            </a:ext>
          </a:extLst>
        </xdr:cNvPr>
        <xdr:cNvSpPr/>
      </xdr:nvSpPr>
      <xdr:spPr>
        <a:xfrm flipH="1">
          <a:off x="609594" y="1543050"/>
          <a:ext cx="11753856" cy="200025"/>
        </a:xfrm>
        <a:prstGeom prst="homePlat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0" i="0" u="none" strike="noStrike" baseline="0">
              <a:solidFill>
                <a:schemeClr val="lt1"/>
              </a:solidFill>
              <a:latin typeface="+mn-lt"/>
              <a:ea typeface="+mn-ea"/>
              <a:cs typeface="+mn-cs"/>
            </a:rPr>
            <a:t>On a one-way street or a street that has traffic predominantly in one direction, the adjacent traffic control signals are so far apart that they do not provide the necessary degree of vehicular platooning?</a:t>
          </a:r>
          <a:endParaRPr lang="en-US" sz="1200" b="0"/>
        </a:p>
      </xdr:txBody>
    </xdr:sp>
    <xdr:clientData/>
  </xdr:twoCellAnchor>
  <xdr:twoCellAnchor>
    <xdr:from>
      <xdr:col>1</xdr:col>
      <xdr:colOff>9521</xdr:colOff>
      <xdr:row>9</xdr:row>
      <xdr:rowOff>38100</xdr:rowOff>
    </xdr:from>
    <xdr:to>
      <xdr:col>21</xdr:col>
      <xdr:colOff>323850</xdr:colOff>
      <xdr:row>10</xdr:row>
      <xdr:rowOff>66675</xdr:rowOff>
    </xdr:to>
    <xdr:sp macro="" textlink="">
      <xdr:nvSpPr>
        <xdr:cNvPr id="13" name="Arrow: Pentagon 12">
          <a:extLst>
            <a:ext uri="{FF2B5EF4-FFF2-40B4-BE49-F238E27FC236}">
              <a16:creationId xmlns:a16="http://schemas.microsoft.com/office/drawing/2014/main" id="{00000000-0008-0000-0600-00000D000000}"/>
            </a:ext>
          </a:extLst>
        </xdr:cNvPr>
        <xdr:cNvSpPr/>
      </xdr:nvSpPr>
      <xdr:spPr>
        <a:xfrm flipH="1">
          <a:off x="619121" y="1752600"/>
          <a:ext cx="12506329" cy="219075"/>
        </a:xfrm>
        <a:prstGeom prst="homePlat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0" i="0" u="none" strike="noStrike" baseline="0">
              <a:solidFill>
                <a:schemeClr val="lt1"/>
              </a:solidFill>
              <a:latin typeface="+mn-lt"/>
              <a:ea typeface="+mn-ea"/>
              <a:cs typeface="+mn-cs"/>
            </a:rPr>
            <a:t>On a two-way street, adjacent traffic control signals do not provide the necessary degree of platooning and the proposed and adjacent traffic control signals will collectively provide a progressive operation?</a:t>
          </a:r>
          <a:endParaRPr lang="en-US" sz="1200" b="0"/>
        </a:p>
      </xdr:txBody>
    </xdr:sp>
    <xdr:clientData/>
  </xdr:twoCellAnchor>
  <xdr:twoCellAnchor>
    <xdr:from>
      <xdr:col>1</xdr:col>
      <xdr:colOff>19046</xdr:colOff>
      <xdr:row>7</xdr:row>
      <xdr:rowOff>9525</xdr:rowOff>
    </xdr:from>
    <xdr:to>
      <xdr:col>9</xdr:col>
      <xdr:colOff>285750</xdr:colOff>
      <xdr:row>8</xdr:row>
      <xdr:rowOff>19050</xdr:rowOff>
    </xdr:to>
    <xdr:sp macro="" textlink="">
      <xdr:nvSpPr>
        <xdr:cNvPr id="14" name="Arrow: Pentagon 13">
          <a:extLst>
            <a:ext uri="{FF2B5EF4-FFF2-40B4-BE49-F238E27FC236}">
              <a16:creationId xmlns:a16="http://schemas.microsoft.com/office/drawing/2014/main" id="{00000000-0008-0000-0600-00000E000000}"/>
            </a:ext>
          </a:extLst>
        </xdr:cNvPr>
        <xdr:cNvSpPr/>
      </xdr:nvSpPr>
      <xdr:spPr>
        <a:xfrm flipH="1">
          <a:off x="628646" y="1343025"/>
          <a:ext cx="5143504" cy="200025"/>
        </a:xfrm>
        <a:prstGeom prst="homePlat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t>The resultant spacing of traffic control signals would be less than 1,000 feet?</a:t>
          </a:r>
        </a:p>
      </xdr:txBody>
    </xdr:sp>
    <xdr:clientData/>
  </xdr:twoCellAnchor>
  <mc:AlternateContent xmlns:mc="http://schemas.openxmlformats.org/markup-compatibility/2006">
    <mc:Choice xmlns:a14="http://schemas.microsoft.com/office/drawing/2010/main" Requires="a14">
      <xdr:twoCellAnchor editAs="oneCell">
        <xdr:from>
          <xdr:col>0</xdr:col>
          <xdr:colOff>95250</xdr:colOff>
          <xdr:row>7</xdr:row>
          <xdr:rowOff>19050</xdr:rowOff>
        </xdr:from>
        <xdr:to>
          <xdr:col>0</xdr:col>
          <xdr:colOff>581025</xdr:colOff>
          <xdr:row>8</xdr:row>
          <xdr:rowOff>38100</xdr:rowOff>
        </xdr:to>
        <xdr:sp macro="" textlink="">
          <xdr:nvSpPr>
            <xdr:cNvPr id="8198" name="Check Box 6" hidden="1">
              <a:extLst>
                <a:ext uri="{63B3BB69-23CF-44E3-9099-C40C66FF867C}">
                  <a14:compatExt spid="_x0000_s8198"/>
                </a:ext>
                <a:ext uri="{FF2B5EF4-FFF2-40B4-BE49-F238E27FC236}">
                  <a16:creationId xmlns:a16="http://schemas.microsoft.com/office/drawing/2014/main" id="{00000000-0008-0000-0600-00000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8</xdr:row>
          <xdr:rowOff>19050</xdr:rowOff>
        </xdr:from>
        <xdr:to>
          <xdr:col>0</xdr:col>
          <xdr:colOff>581025</xdr:colOff>
          <xdr:row>9</xdr:row>
          <xdr:rowOff>38100</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00000000-0008-0000-0600-00000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9</xdr:row>
          <xdr:rowOff>19050</xdr:rowOff>
        </xdr:from>
        <xdr:to>
          <xdr:col>0</xdr:col>
          <xdr:colOff>581025</xdr:colOff>
          <xdr:row>10</xdr:row>
          <xdr:rowOff>38100</xdr:rowOff>
        </xdr:to>
        <xdr:sp macro="" textlink="">
          <xdr:nvSpPr>
            <xdr:cNvPr id="8200" name="Check Box 8" hidden="1">
              <a:extLst>
                <a:ext uri="{63B3BB69-23CF-44E3-9099-C40C66FF867C}">
                  <a14:compatExt spid="_x0000_s8200"/>
                </a:ext>
                <a:ext uri="{FF2B5EF4-FFF2-40B4-BE49-F238E27FC236}">
                  <a16:creationId xmlns:a16="http://schemas.microsoft.com/office/drawing/2014/main" id="{00000000-0008-0000-0600-00000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xdr:twoCellAnchor>
    <xdr:from>
      <xdr:col>19</xdr:col>
      <xdr:colOff>9525</xdr:colOff>
      <xdr:row>0</xdr:row>
      <xdr:rowOff>152400</xdr:rowOff>
    </xdr:from>
    <xdr:to>
      <xdr:col>20</xdr:col>
      <xdr:colOff>476250</xdr:colOff>
      <xdr:row>4</xdr:row>
      <xdr:rowOff>76200</xdr:rowOff>
    </xdr:to>
    <xdr:sp macro="" textlink="">
      <xdr:nvSpPr>
        <xdr:cNvPr id="18" name="Arrow: Right 17">
          <a:extLst>
            <a:ext uri="{FF2B5EF4-FFF2-40B4-BE49-F238E27FC236}">
              <a16:creationId xmlns:a16="http://schemas.microsoft.com/office/drawing/2014/main" id="{00000000-0008-0000-0600-000012000000}"/>
            </a:ext>
          </a:extLst>
        </xdr:cNvPr>
        <xdr:cNvSpPr/>
      </xdr:nvSpPr>
      <xdr:spPr>
        <a:xfrm>
          <a:off x="11591925" y="152400"/>
          <a:ext cx="1076325" cy="685800"/>
        </a:xfrm>
        <a:prstGeom prst="rightArrow">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66668</xdr:colOff>
      <xdr:row>13</xdr:row>
      <xdr:rowOff>9525</xdr:rowOff>
    </xdr:from>
    <xdr:to>
      <xdr:col>14</xdr:col>
      <xdr:colOff>123823</xdr:colOff>
      <xdr:row>14</xdr:row>
      <xdr:rowOff>47625</xdr:rowOff>
    </xdr:to>
    <xdr:sp macro="" textlink="">
      <xdr:nvSpPr>
        <xdr:cNvPr id="19" name="Arrow: Pentagon 18">
          <a:extLst>
            <a:ext uri="{FF2B5EF4-FFF2-40B4-BE49-F238E27FC236}">
              <a16:creationId xmlns:a16="http://schemas.microsoft.com/office/drawing/2014/main" id="{00000000-0008-0000-0600-000013000000}"/>
            </a:ext>
          </a:extLst>
        </xdr:cNvPr>
        <xdr:cNvSpPr/>
      </xdr:nvSpPr>
      <xdr:spPr>
        <a:xfrm flipH="1">
          <a:off x="676268" y="2486025"/>
          <a:ext cx="7981955" cy="228600"/>
        </a:xfrm>
        <a:prstGeom prst="homePlat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0" i="0" u="none" strike="noStrike" baseline="0">
              <a:solidFill>
                <a:schemeClr val="lt1"/>
              </a:solidFill>
              <a:latin typeface="+mn-lt"/>
              <a:ea typeface="+mn-ea"/>
              <a:cs typeface="+mn-cs"/>
            </a:rPr>
            <a:t>Adequate trial of alternatives with satisfactory observance and enforcement has failed to reduce the </a:t>
          </a:r>
          <a:r>
            <a:rPr lang="en-US" sz="1100" b="1" i="0" u="none" strike="noStrike" baseline="0">
              <a:solidFill>
                <a:schemeClr val="lt1"/>
              </a:solidFill>
              <a:latin typeface="+mn-lt"/>
              <a:ea typeface="+mn-ea"/>
              <a:cs typeface="+mn-cs"/>
            </a:rPr>
            <a:t>crash frequency?</a:t>
          </a:r>
          <a:endParaRPr lang="en-US" sz="1200" b="0"/>
        </a:p>
      </xdr:txBody>
    </xdr:sp>
    <xdr:clientData/>
  </xdr:twoCellAnchor>
  <xdr:twoCellAnchor>
    <xdr:from>
      <xdr:col>1</xdr:col>
      <xdr:colOff>28567</xdr:colOff>
      <xdr:row>14</xdr:row>
      <xdr:rowOff>57150</xdr:rowOff>
    </xdr:from>
    <xdr:to>
      <xdr:col>13</xdr:col>
      <xdr:colOff>409575</xdr:colOff>
      <xdr:row>16</xdr:row>
      <xdr:rowOff>171451</xdr:rowOff>
    </xdr:to>
    <xdr:sp macro="" textlink="">
      <xdr:nvSpPr>
        <xdr:cNvPr id="20" name="Arrow: Pentagon 19">
          <a:extLst>
            <a:ext uri="{FF2B5EF4-FFF2-40B4-BE49-F238E27FC236}">
              <a16:creationId xmlns:a16="http://schemas.microsoft.com/office/drawing/2014/main" id="{00000000-0008-0000-0600-000014000000}"/>
            </a:ext>
          </a:extLst>
        </xdr:cNvPr>
        <xdr:cNvSpPr/>
      </xdr:nvSpPr>
      <xdr:spPr>
        <a:xfrm flipH="1">
          <a:off x="638167" y="2724150"/>
          <a:ext cx="7696208" cy="495301"/>
        </a:xfrm>
        <a:prstGeom prst="homePlat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t>5 or more reported crashes related to traffic control signal have occurred within a year, each crash involving personal injury or property damage apparently exceeding the applicable requirements for a reportable crash?</a:t>
          </a:r>
        </a:p>
      </xdr:txBody>
    </xdr:sp>
    <xdr:clientData/>
  </xdr:twoCellAnchor>
  <mc:AlternateContent xmlns:mc="http://schemas.openxmlformats.org/markup-compatibility/2006">
    <mc:Choice xmlns:a14="http://schemas.microsoft.com/office/drawing/2010/main" Requires="a14">
      <xdr:twoCellAnchor editAs="oneCell">
        <xdr:from>
          <xdr:col>0</xdr:col>
          <xdr:colOff>95250</xdr:colOff>
          <xdr:row>13</xdr:row>
          <xdr:rowOff>19050</xdr:rowOff>
        </xdr:from>
        <xdr:to>
          <xdr:col>0</xdr:col>
          <xdr:colOff>581025</xdr:colOff>
          <xdr:row>14</xdr:row>
          <xdr:rowOff>38100</xdr:rowOff>
        </xdr:to>
        <xdr:sp macro="" textlink="">
          <xdr:nvSpPr>
            <xdr:cNvPr id="8202" name="Check Box 10" hidden="1">
              <a:extLst>
                <a:ext uri="{63B3BB69-23CF-44E3-9099-C40C66FF867C}">
                  <a14:compatExt spid="_x0000_s8202"/>
                </a:ext>
                <a:ext uri="{FF2B5EF4-FFF2-40B4-BE49-F238E27FC236}">
                  <a16:creationId xmlns:a16="http://schemas.microsoft.com/office/drawing/2014/main" id="{00000000-0008-0000-0600-00000A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15</xdr:row>
          <xdr:rowOff>19050</xdr:rowOff>
        </xdr:from>
        <xdr:to>
          <xdr:col>0</xdr:col>
          <xdr:colOff>581025</xdr:colOff>
          <xdr:row>16</xdr:row>
          <xdr:rowOff>38100</xdr:rowOff>
        </xdr:to>
        <xdr:sp macro="" textlink="">
          <xdr:nvSpPr>
            <xdr:cNvPr id="8204" name="Check Box 12" hidden="1">
              <a:extLst>
                <a:ext uri="{63B3BB69-23CF-44E3-9099-C40C66FF867C}">
                  <a14:compatExt spid="_x0000_s8204"/>
                </a:ext>
                <a:ext uri="{FF2B5EF4-FFF2-40B4-BE49-F238E27FC236}">
                  <a16:creationId xmlns:a16="http://schemas.microsoft.com/office/drawing/2014/main" id="{00000000-0008-0000-0600-00000C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xdr:twoCellAnchor>
    <xdr:from>
      <xdr:col>1</xdr:col>
      <xdr:colOff>66664</xdr:colOff>
      <xdr:row>16</xdr:row>
      <xdr:rowOff>190499</xdr:rowOff>
    </xdr:from>
    <xdr:to>
      <xdr:col>14</xdr:col>
      <xdr:colOff>209550</xdr:colOff>
      <xdr:row>18</xdr:row>
      <xdr:rowOff>0</xdr:rowOff>
    </xdr:to>
    <xdr:sp macro="" textlink="">
      <xdr:nvSpPr>
        <xdr:cNvPr id="26" name="Arrow: Pentagon 25">
          <a:extLst>
            <a:ext uri="{FF2B5EF4-FFF2-40B4-BE49-F238E27FC236}">
              <a16:creationId xmlns:a16="http://schemas.microsoft.com/office/drawing/2014/main" id="{00000000-0008-0000-0600-00001A000000}"/>
            </a:ext>
          </a:extLst>
        </xdr:cNvPr>
        <xdr:cNvSpPr/>
      </xdr:nvSpPr>
      <xdr:spPr>
        <a:xfrm flipH="1">
          <a:off x="676264" y="3238499"/>
          <a:ext cx="8067686" cy="190501"/>
        </a:xfrm>
        <a:prstGeom prst="homePlat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1100" b="0">
              <a:solidFill>
                <a:schemeClr val="lt1"/>
              </a:solidFill>
              <a:effectLst/>
              <a:latin typeface="+mn-lt"/>
              <a:ea typeface="+mn-ea"/>
              <a:cs typeface="+mn-cs"/>
            </a:rPr>
            <a:t>For each of any 8 hours of an average day, traffic is not less than 80 percent of the requirements specified in the Volume warrant 1 or 4?</a:t>
          </a:r>
          <a:endParaRPr lang="en-US" sz="1200" b="0"/>
        </a:p>
      </xdr:txBody>
    </xdr:sp>
    <xdr:clientData/>
  </xdr:twoCellAnchor>
  <mc:AlternateContent xmlns:mc="http://schemas.openxmlformats.org/markup-compatibility/2006">
    <mc:Choice xmlns:a14="http://schemas.microsoft.com/office/drawing/2010/main" Requires="a14">
      <xdr:twoCellAnchor editAs="oneCell">
        <xdr:from>
          <xdr:col>0</xdr:col>
          <xdr:colOff>95250</xdr:colOff>
          <xdr:row>17</xdr:row>
          <xdr:rowOff>19050</xdr:rowOff>
        </xdr:from>
        <xdr:to>
          <xdr:col>0</xdr:col>
          <xdr:colOff>581025</xdr:colOff>
          <xdr:row>18</xdr:row>
          <xdr:rowOff>38100</xdr:rowOff>
        </xdr:to>
        <xdr:sp macro="" textlink="">
          <xdr:nvSpPr>
            <xdr:cNvPr id="8205" name="Check Box 13" hidden="1">
              <a:extLst>
                <a:ext uri="{63B3BB69-23CF-44E3-9099-C40C66FF867C}">
                  <a14:compatExt spid="_x0000_s8205"/>
                </a:ext>
                <a:ext uri="{FF2B5EF4-FFF2-40B4-BE49-F238E27FC236}">
                  <a16:creationId xmlns:a16="http://schemas.microsoft.com/office/drawing/2014/main" id="{00000000-0008-0000-0600-00000D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xdr:twoCellAnchor>
    <xdr:from>
      <xdr:col>17</xdr:col>
      <xdr:colOff>514350</xdr:colOff>
      <xdr:row>13</xdr:row>
      <xdr:rowOff>114300</xdr:rowOff>
    </xdr:from>
    <xdr:to>
      <xdr:col>19</xdr:col>
      <xdr:colOff>371475</xdr:colOff>
      <xdr:row>17</xdr:row>
      <xdr:rowOff>38100</xdr:rowOff>
    </xdr:to>
    <xdr:sp macro="" textlink="">
      <xdr:nvSpPr>
        <xdr:cNvPr id="28" name="Arrow: Right 27">
          <a:extLst>
            <a:ext uri="{FF2B5EF4-FFF2-40B4-BE49-F238E27FC236}">
              <a16:creationId xmlns:a16="http://schemas.microsoft.com/office/drawing/2014/main" id="{00000000-0008-0000-0600-00001C000000}"/>
            </a:ext>
          </a:extLst>
        </xdr:cNvPr>
        <xdr:cNvSpPr/>
      </xdr:nvSpPr>
      <xdr:spPr>
        <a:xfrm>
          <a:off x="10877550" y="2590800"/>
          <a:ext cx="1076325" cy="685800"/>
        </a:xfrm>
        <a:prstGeom prst="rightArrow">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457200</xdr:colOff>
      <xdr:row>18</xdr:row>
      <xdr:rowOff>171449</xdr:rowOff>
    </xdr:from>
    <xdr:to>
      <xdr:col>23</xdr:col>
      <xdr:colOff>3</xdr:colOff>
      <xdr:row>24</xdr:row>
      <xdr:rowOff>66674</xdr:rowOff>
    </xdr:to>
    <xdr:sp macro="" textlink="">
      <xdr:nvSpPr>
        <xdr:cNvPr id="25" name="Speech Bubble: Rectangle 24">
          <a:extLst>
            <a:ext uri="{FF2B5EF4-FFF2-40B4-BE49-F238E27FC236}">
              <a16:creationId xmlns:a16="http://schemas.microsoft.com/office/drawing/2014/main" id="{00000000-0008-0000-0600-000019000000}"/>
            </a:ext>
          </a:extLst>
        </xdr:cNvPr>
        <xdr:cNvSpPr/>
      </xdr:nvSpPr>
      <xdr:spPr>
        <a:xfrm rot="16200000">
          <a:off x="10987089" y="1604960"/>
          <a:ext cx="1038225" cy="5029203"/>
        </a:xfrm>
        <a:prstGeom prst="wedgeRectCallout">
          <a:avLst>
            <a:gd name="adj1" fmla="val 114880"/>
            <a:gd name="adj2" fmla="val -59365"/>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lstStyle/>
        <a:p>
          <a:r>
            <a:rPr lang="en-US">
              <a:effectLst/>
            </a:rPr>
            <a:t>Only those crashes that have occurred during the most  recent 12-month period (in which data are available) should be used in analyzing the Crash  Experience Warrant.</a:t>
          </a:r>
          <a:endParaRPr lang="en-US"/>
        </a:p>
        <a:p>
          <a:r>
            <a:rPr lang="en-US">
              <a:effectLst/>
            </a:rPr>
            <a:t>Only those crashes that are susceptible to correction by a traffic control signal are used in the Crash Experience Warrant. (exclude rear-end crashes)</a:t>
          </a: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0.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11.xml"/><Relationship Id="rId2" Type="http://schemas.openxmlformats.org/officeDocument/2006/relationships/vmlDrawing" Target="../drawings/vmlDrawing3.vml"/><Relationship Id="rId1" Type="http://schemas.openxmlformats.org/officeDocument/2006/relationships/drawing" Target="../drawings/drawing3.xml"/><Relationship Id="rId4" Type="http://schemas.openxmlformats.org/officeDocument/2006/relationships/ctrlProp" Target="../ctrlProps/ctrlProp1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trlProp" Target="../ctrlProps/ctrlProp13.xml"/><Relationship Id="rId2" Type="http://schemas.openxmlformats.org/officeDocument/2006/relationships/vmlDrawing" Target="../drawings/vmlDrawing4.vml"/><Relationship Id="rId1" Type="http://schemas.openxmlformats.org/officeDocument/2006/relationships/drawing" Target="../drawings/drawing6.xml"/><Relationship Id="rId5" Type="http://schemas.openxmlformats.org/officeDocument/2006/relationships/ctrlProp" Target="../ctrlProps/ctrlProp15.xml"/><Relationship Id="rId4" Type="http://schemas.openxmlformats.org/officeDocument/2006/relationships/ctrlProp" Target="../ctrlProps/ctrlProp14.xml"/></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21.xml"/><Relationship Id="rId3" Type="http://schemas.openxmlformats.org/officeDocument/2006/relationships/ctrlProp" Target="../ctrlProps/ctrlProp16.xml"/><Relationship Id="rId7" Type="http://schemas.openxmlformats.org/officeDocument/2006/relationships/ctrlProp" Target="../ctrlProps/ctrlProp20.xml"/><Relationship Id="rId12" Type="http://schemas.openxmlformats.org/officeDocument/2006/relationships/ctrlProp" Target="../ctrlProps/ctrlProp25.xml"/><Relationship Id="rId2" Type="http://schemas.openxmlformats.org/officeDocument/2006/relationships/vmlDrawing" Target="../drawings/vmlDrawing5.vml"/><Relationship Id="rId1" Type="http://schemas.openxmlformats.org/officeDocument/2006/relationships/drawing" Target="../drawings/drawing7.xml"/><Relationship Id="rId6" Type="http://schemas.openxmlformats.org/officeDocument/2006/relationships/ctrlProp" Target="../ctrlProps/ctrlProp19.xml"/><Relationship Id="rId11" Type="http://schemas.openxmlformats.org/officeDocument/2006/relationships/ctrlProp" Target="../ctrlProps/ctrlProp24.xml"/><Relationship Id="rId5" Type="http://schemas.openxmlformats.org/officeDocument/2006/relationships/ctrlProp" Target="../ctrlProps/ctrlProp18.xml"/><Relationship Id="rId10" Type="http://schemas.openxmlformats.org/officeDocument/2006/relationships/ctrlProp" Target="../ctrlProps/ctrlProp23.xml"/><Relationship Id="rId4" Type="http://schemas.openxmlformats.org/officeDocument/2006/relationships/ctrlProp" Target="../ctrlProps/ctrlProp17.xml"/><Relationship Id="rId9" Type="http://schemas.openxmlformats.org/officeDocument/2006/relationships/ctrlProp" Target="../ctrlProps/ctrlProp2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V21"/>
  <sheetViews>
    <sheetView tabSelected="1" workbookViewId="0">
      <selection activeCell="A32" sqref="A32"/>
    </sheetView>
  </sheetViews>
  <sheetFormatPr defaultRowHeight="15" x14ac:dyDescent="0.25"/>
  <cols>
    <col min="1" max="1" width="56.5703125" style="125" customWidth="1"/>
    <col min="2" max="2" width="13.28515625" style="125" customWidth="1"/>
    <col min="3" max="3" width="12.42578125" style="125" customWidth="1"/>
    <col min="4" max="4" width="13.42578125" style="125" customWidth="1"/>
    <col min="5" max="5" width="14.5703125" style="125" customWidth="1"/>
    <col min="6" max="16384" width="9.140625" style="125"/>
  </cols>
  <sheetData>
    <row r="1" spans="1:22" ht="15" customHeight="1" x14ac:dyDescent="0.25">
      <c r="A1" s="124" t="s">
        <v>124</v>
      </c>
      <c r="B1" s="124"/>
      <c r="C1" s="124"/>
      <c r="D1" s="124"/>
      <c r="E1" s="124"/>
      <c r="F1" s="124"/>
      <c r="G1" s="124"/>
      <c r="H1" s="124"/>
      <c r="I1" s="124"/>
      <c r="J1" s="124"/>
      <c r="K1" s="124"/>
      <c r="L1" s="124"/>
      <c r="M1" s="124"/>
      <c r="N1" s="124"/>
      <c r="O1" s="124"/>
      <c r="P1" s="124"/>
      <c r="Q1" s="124"/>
      <c r="R1" s="124"/>
      <c r="S1" s="124"/>
      <c r="T1" s="124"/>
      <c r="U1" s="124"/>
      <c r="V1" s="124"/>
    </row>
    <row r="2" spans="1:22" ht="15" customHeight="1" x14ac:dyDescent="0.25">
      <c r="A2" s="124"/>
      <c r="B2" s="124"/>
      <c r="C2" s="124"/>
      <c r="D2" s="124"/>
      <c r="E2" s="124"/>
      <c r="F2" s="124"/>
      <c r="G2" s="124"/>
      <c r="H2" s="124"/>
      <c r="I2" s="124"/>
      <c r="J2" s="124"/>
      <c r="K2" s="124"/>
      <c r="L2" s="124"/>
      <c r="M2" s="124"/>
      <c r="N2" s="124"/>
      <c r="O2" s="124"/>
      <c r="P2" s="124"/>
      <c r="Q2" s="124"/>
      <c r="R2" s="124"/>
      <c r="S2" s="124"/>
      <c r="T2" s="124"/>
      <c r="U2" s="124"/>
      <c r="V2" s="124"/>
    </row>
    <row r="5" spans="1:22" x14ac:dyDescent="0.25">
      <c r="A5" s="126" t="s">
        <v>14</v>
      </c>
      <c r="B5" s="126"/>
      <c r="C5" s="126"/>
      <c r="D5" s="126"/>
      <c r="E5" s="126"/>
    </row>
    <row r="6" spans="1:22" ht="15" customHeight="1" x14ac:dyDescent="0.25">
      <c r="A6" s="127" t="s">
        <v>0</v>
      </c>
      <c r="B6" s="128" t="s">
        <v>1</v>
      </c>
      <c r="C6" s="128"/>
      <c r="D6" s="128"/>
      <c r="E6" s="128"/>
    </row>
    <row r="7" spans="1:22" x14ac:dyDescent="0.25">
      <c r="A7" s="127"/>
      <c r="B7" s="128" t="s">
        <v>2</v>
      </c>
      <c r="C7" s="128"/>
      <c r="D7" s="128" t="s">
        <v>3</v>
      </c>
      <c r="E7" s="128"/>
    </row>
    <row r="8" spans="1:22" x14ac:dyDescent="0.25">
      <c r="A8" s="127"/>
      <c r="B8" s="129" t="s">
        <v>92</v>
      </c>
      <c r="C8" s="130"/>
      <c r="D8" s="129" t="s">
        <v>93</v>
      </c>
      <c r="E8" s="130"/>
    </row>
    <row r="9" spans="1:22" x14ac:dyDescent="0.25">
      <c r="A9" s="127"/>
      <c r="B9" s="131" t="str">
        <f>VLOOKUP(Choice!$A$1,Choice!$C$2:$G$3,2,FALSE)</f>
        <v>Northbound</v>
      </c>
      <c r="C9" s="131" t="str">
        <f>VLOOKUP(Choice!$A$1,Choice!$C$2:$G$3,3,FALSE)</f>
        <v>Southbound</v>
      </c>
      <c r="D9" s="131" t="str">
        <f>VLOOKUP(Choice!$A$1,Choice!$C$2:$G$3,4,FALSE)</f>
        <v>Eastbound</v>
      </c>
      <c r="E9" s="131" t="str">
        <f>VLOOKUP(Choice!$A$1,Choice!$C$2:$G$3,5,FALSE)</f>
        <v>Westbound</v>
      </c>
    </row>
    <row r="10" spans="1:22" x14ac:dyDescent="0.25">
      <c r="A10" s="131" t="s">
        <v>8</v>
      </c>
      <c r="B10" s="132">
        <v>1</v>
      </c>
      <c r="C10" s="132">
        <v>1</v>
      </c>
      <c r="D10" s="132">
        <v>0</v>
      </c>
      <c r="E10" s="132">
        <v>0</v>
      </c>
    </row>
    <row r="11" spans="1:22" x14ac:dyDescent="0.25">
      <c r="A11" s="131" t="s">
        <v>9</v>
      </c>
      <c r="B11" s="132">
        <v>1</v>
      </c>
      <c r="C11" s="132">
        <v>1</v>
      </c>
      <c r="D11" s="132">
        <v>0</v>
      </c>
      <c r="E11" s="132">
        <v>0</v>
      </c>
    </row>
    <row r="12" spans="1:22" x14ac:dyDescent="0.25">
      <c r="A12" s="131" t="s">
        <v>10</v>
      </c>
      <c r="B12" s="132">
        <v>1</v>
      </c>
      <c r="C12" s="132">
        <v>1</v>
      </c>
      <c r="D12" s="133">
        <v>1</v>
      </c>
      <c r="E12" s="132">
        <v>1</v>
      </c>
    </row>
    <row r="13" spans="1:22" ht="13.5" customHeight="1" x14ac:dyDescent="0.25">
      <c r="A13" s="134" t="s">
        <v>17</v>
      </c>
      <c r="B13" s="135"/>
      <c r="C13" s="135"/>
      <c r="D13" s="135"/>
      <c r="E13" s="135"/>
    </row>
    <row r="14" spans="1:22" ht="15.75" customHeight="1" x14ac:dyDescent="0.25">
      <c r="A14" s="134" t="s">
        <v>18</v>
      </c>
      <c r="B14" s="135"/>
      <c r="C14" s="135"/>
      <c r="D14" s="135"/>
      <c r="E14" s="135"/>
    </row>
    <row r="15" spans="1:22" x14ac:dyDescent="0.25">
      <c r="A15" s="136" t="s">
        <v>20</v>
      </c>
      <c r="B15" s="137">
        <v>0</v>
      </c>
      <c r="C15" s="137">
        <v>0</v>
      </c>
      <c r="D15" s="137">
        <v>0</v>
      </c>
      <c r="E15" s="137">
        <v>0</v>
      </c>
    </row>
    <row r="16" spans="1:22" x14ac:dyDescent="0.25">
      <c r="A16" s="136" t="s">
        <v>19</v>
      </c>
      <c r="B16" s="137">
        <v>0</v>
      </c>
      <c r="C16" s="137">
        <v>0</v>
      </c>
      <c r="D16" s="137">
        <v>1</v>
      </c>
      <c r="E16" s="137">
        <v>1</v>
      </c>
    </row>
    <row r="17" spans="1:5" x14ac:dyDescent="0.25">
      <c r="A17" s="138" t="s">
        <v>21</v>
      </c>
      <c r="B17" s="137">
        <v>0</v>
      </c>
      <c r="C17" s="137">
        <v>0</v>
      </c>
      <c r="D17" s="137">
        <v>0</v>
      </c>
      <c r="E17" s="137">
        <v>0</v>
      </c>
    </row>
    <row r="18" spans="1:5" x14ac:dyDescent="0.25">
      <c r="A18" s="139" t="s">
        <v>27</v>
      </c>
      <c r="B18" s="140">
        <f>Choice!A16</f>
        <v>2</v>
      </c>
      <c r="C18" s="140">
        <f>Choice!B16</f>
        <v>2</v>
      </c>
      <c r="D18" s="140">
        <f>Choice!C16</f>
        <v>1</v>
      </c>
      <c r="E18" s="140">
        <f>Choice!D16</f>
        <v>1</v>
      </c>
    </row>
    <row r="19" spans="1:5" x14ac:dyDescent="0.25">
      <c r="A19" s="139" t="s">
        <v>28</v>
      </c>
      <c r="B19" s="137">
        <v>0</v>
      </c>
      <c r="C19" s="137">
        <v>0</v>
      </c>
      <c r="D19" s="137">
        <v>0</v>
      </c>
      <c r="E19" s="137">
        <v>0</v>
      </c>
    </row>
    <row r="20" spans="1:5" ht="17.25" customHeight="1" thickBot="1" x14ac:dyDescent="0.3">
      <c r="A20" s="141" t="s">
        <v>11</v>
      </c>
      <c r="B20" s="142" t="str">
        <f>VLOOKUP(Choice!A18,Choice!$A$19:$B$22,2,TRUE)</f>
        <v>2 or more lanes</v>
      </c>
      <c r="C20" s="142"/>
      <c r="D20" s="142" t="str">
        <f>VLOOKUP(Choice!C18,Choice!$A$19:$B$22,2,TRUE)</f>
        <v>1 lane</v>
      </c>
      <c r="E20" s="142"/>
    </row>
    <row r="21" spans="1:5" ht="15.75" thickBot="1" x14ac:dyDescent="0.3">
      <c r="A21" s="143" t="s">
        <v>13</v>
      </c>
      <c r="B21" s="144" t="str">
        <f>B20&amp;" and "&amp;D20</f>
        <v>2 or more lanes and 1 lane</v>
      </c>
      <c r="C21" s="145"/>
      <c r="D21" s="145"/>
      <c r="E21" s="146"/>
    </row>
  </sheetData>
  <sheetProtection sheet="1"/>
  <mergeCells count="11">
    <mergeCell ref="A1:V2"/>
    <mergeCell ref="B21:E21"/>
    <mergeCell ref="B8:C8"/>
    <mergeCell ref="D8:E8"/>
    <mergeCell ref="B20:C20"/>
    <mergeCell ref="D20:E20"/>
    <mergeCell ref="A5:E5"/>
    <mergeCell ref="A6:A9"/>
    <mergeCell ref="B6:E6"/>
    <mergeCell ref="B7:C7"/>
    <mergeCell ref="D7:E7"/>
  </mergeCells>
  <conditionalFormatting sqref="B20:C20">
    <cfRule type="containsText" dxfId="1" priority="2" operator="containsText" text="WRONG">
      <formula>NOT(ISERROR(SEARCH("WRONG",B20)))</formula>
    </cfRule>
  </conditionalFormatting>
  <conditionalFormatting sqref="B21">
    <cfRule type="containsText" dxfId="0" priority="1" operator="containsText" text="WRONG">
      <formula>NOT(ISERROR(SEARCH("WRONG",B21)))</formula>
    </cfRule>
  </conditionalFormatting>
  <pageMargins left="0.7" right="0.7" top="0.75" bottom="0.75" header="0.3" footer="0.3"/>
  <pageSetup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1028" r:id="rId4" name="Drop Down 4">
              <controlPr locked="0" defaultSize="0" autoLine="0" autoPict="0">
                <anchor moveWithCells="1">
                  <from>
                    <xdr:col>1</xdr:col>
                    <xdr:colOff>9525</xdr:colOff>
                    <xdr:row>2</xdr:row>
                    <xdr:rowOff>66675</xdr:rowOff>
                  </from>
                  <to>
                    <xdr:col>3</xdr:col>
                    <xdr:colOff>57150</xdr:colOff>
                    <xdr:row>3</xdr:row>
                    <xdr:rowOff>152400</xdr:rowOff>
                  </to>
                </anchor>
              </controlPr>
            </control>
          </mc:Choice>
        </mc:AlternateContent>
        <mc:AlternateContent xmlns:mc="http://schemas.openxmlformats.org/markup-compatibility/2006">
          <mc:Choice Requires="x14">
            <control shapeId="1032" r:id="rId5" name="Check Box 8">
              <controlPr locked="0" defaultSize="0" autoFill="0" autoLine="0" autoPict="0">
                <anchor moveWithCells="1">
                  <from>
                    <xdr:col>1</xdr:col>
                    <xdr:colOff>238125</xdr:colOff>
                    <xdr:row>11</xdr:row>
                    <xdr:rowOff>171450</xdr:rowOff>
                  </from>
                  <to>
                    <xdr:col>1</xdr:col>
                    <xdr:colOff>542925</xdr:colOff>
                    <xdr:row>13</xdr:row>
                    <xdr:rowOff>28575</xdr:rowOff>
                  </to>
                </anchor>
              </controlPr>
            </control>
          </mc:Choice>
        </mc:AlternateContent>
        <mc:AlternateContent xmlns:mc="http://schemas.openxmlformats.org/markup-compatibility/2006">
          <mc:Choice Requires="x14">
            <control shapeId="1033" r:id="rId6" name="Check Box 9">
              <controlPr locked="0" defaultSize="0" autoFill="0" autoLine="0" autoPict="0">
                <anchor moveWithCells="1">
                  <from>
                    <xdr:col>1</xdr:col>
                    <xdr:colOff>238125</xdr:colOff>
                    <xdr:row>13</xdr:row>
                    <xdr:rowOff>0</xdr:rowOff>
                  </from>
                  <to>
                    <xdr:col>1</xdr:col>
                    <xdr:colOff>542925</xdr:colOff>
                    <xdr:row>14</xdr:row>
                    <xdr:rowOff>19050</xdr:rowOff>
                  </to>
                </anchor>
              </controlPr>
            </control>
          </mc:Choice>
        </mc:AlternateContent>
        <mc:AlternateContent xmlns:mc="http://schemas.openxmlformats.org/markup-compatibility/2006">
          <mc:Choice Requires="x14">
            <control shapeId="1035" r:id="rId7" name="Check Box 11">
              <controlPr locked="0" defaultSize="0" autoFill="0" autoLine="0" autoPict="0">
                <anchor moveWithCells="1">
                  <from>
                    <xdr:col>2</xdr:col>
                    <xdr:colOff>190500</xdr:colOff>
                    <xdr:row>11</xdr:row>
                    <xdr:rowOff>171450</xdr:rowOff>
                  </from>
                  <to>
                    <xdr:col>2</xdr:col>
                    <xdr:colOff>495300</xdr:colOff>
                    <xdr:row>13</xdr:row>
                    <xdr:rowOff>28575</xdr:rowOff>
                  </to>
                </anchor>
              </controlPr>
            </control>
          </mc:Choice>
        </mc:AlternateContent>
        <mc:AlternateContent xmlns:mc="http://schemas.openxmlformats.org/markup-compatibility/2006">
          <mc:Choice Requires="x14">
            <control shapeId="1036" r:id="rId8" name="Check Box 12">
              <controlPr locked="0" defaultSize="0" autoFill="0" autoLine="0" autoPict="0">
                <anchor moveWithCells="1">
                  <from>
                    <xdr:col>3</xdr:col>
                    <xdr:colOff>247650</xdr:colOff>
                    <xdr:row>11</xdr:row>
                    <xdr:rowOff>171450</xdr:rowOff>
                  </from>
                  <to>
                    <xdr:col>3</xdr:col>
                    <xdr:colOff>552450</xdr:colOff>
                    <xdr:row>13</xdr:row>
                    <xdr:rowOff>28575</xdr:rowOff>
                  </to>
                </anchor>
              </controlPr>
            </control>
          </mc:Choice>
        </mc:AlternateContent>
        <mc:AlternateContent xmlns:mc="http://schemas.openxmlformats.org/markup-compatibility/2006">
          <mc:Choice Requires="x14">
            <control shapeId="1037" r:id="rId9" name="Check Box 13">
              <controlPr locked="0" defaultSize="0" autoFill="0" autoLine="0" autoPict="0">
                <anchor moveWithCells="1">
                  <from>
                    <xdr:col>4</xdr:col>
                    <xdr:colOff>247650</xdr:colOff>
                    <xdr:row>11</xdr:row>
                    <xdr:rowOff>171450</xdr:rowOff>
                  </from>
                  <to>
                    <xdr:col>4</xdr:col>
                    <xdr:colOff>552450</xdr:colOff>
                    <xdr:row>13</xdr:row>
                    <xdr:rowOff>28575</xdr:rowOff>
                  </to>
                </anchor>
              </controlPr>
            </control>
          </mc:Choice>
        </mc:AlternateContent>
        <mc:AlternateContent xmlns:mc="http://schemas.openxmlformats.org/markup-compatibility/2006">
          <mc:Choice Requires="x14">
            <control shapeId="1038" r:id="rId10" name="Check Box 14">
              <controlPr locked="0" defaultSize="0" autoFill="0" autoLine="0" autoPict="0">
                <anchor moveWithCells="1">
                  <from>
                    <xdr:col>2</xdr:col>
                    <xdr:colOff>190500</xdr:colOff>
                    <xdr:row>12</xdr:row>
                    <xdr:rowOff>180975</xdr:rowOff>
                  </from>
                  <to>
                    <xdr:col>2</xdr:col>
                    <xdr:colOff>495300</xdr:colOff>
                    <xdr:row>14</xdr:row>
                    <xdr:rowOff>0</xdr:rowOff>
                  </to>
                </anchor>
              </controlPr>
            </control>
          </mc:Choice>
        </mc:AlternateContent>
        <mc:AlternateContent xmlns:mc="http://schemas.openxmlformats.org/markup-compatibility/2006">
          <mc:Choice Requires="x14">
            <control shapeId="1039" r:id="rId11" name="Check Box 15">
              <controlPr locked="0" defaultSize="0" autoFill="0" autoLine="0" autoPict="0">
                <anchor moveWithCells="1">
                  <from>
                    <xdr:col>3</xdr:col>
                    <xdr:colOff>238125</xdr:colOff>
                    <xdr:row>12</xdr:row>
                    <xdr:rowOff>180975</xdr:rowOff>
                  </from>
                  <to>
                    <xdr:col>3</xdr:col>
                    <xdr:colOff>542925</xdr:colOff>
                    <xdr:row>14</xdr:row>
                    <xdr:rowOff>19050</xdr:rowOff>
                  </to>
                </anchor>
              </controlPr>
            </control>
          </mc:Choice>
        </mc:AlternateContent>
        <mc:AlternateContent xmlns:mc="http://schemas.openxmlformats.org/markup-compatibility/2006">
          <mc:Choice Requires="x14">
            <control shapeId="1040" r:id="rId12" name="Check Box 16">
              <controlPr locked="0" defaultSize="0" autoFill="0" autoLine="0" autoPict="0">
                <anchor moveWithCells="1">
                  <from>
                    <xdr:col>4</xdr:col>
                    <xdr:colOff>247650</xdr:colOff>
                    <xdr:row>12</xdr:row>
                    <xdr:rowOff>180975</xdr:rowOff>
                  </from>
                  <to>
                    <xdr:col>4</xdr:col>
                    <xdr:colOff>552450</xdr:colOff>
                    <xdr:row>14</xdr:row>
                    <xdr:rowOff>19050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62"/>
  <sheetViews>
    <sheetView topLeftCell="E31" workbookViewId="0">
      <selection activeCell="S44" sqref="S44"/>
    </sheetView>
  </sheetViews>
  <sheetFormatPr defaultRowHeight="15" x14ac:dyDescent="0.25"/>
  <cols>
    <col min="1" max="1" width="11.7109375" customWidth="1"/>
    <col min="12" max="12" width="9.5703125" customWidth="1"/>
    <col min="18" max="18" width="11.7109375" customWidth="1"/>
    <col min="19" max="19" width="15.85546875" customWidth="1"/>
    <col min="20" max="20" width="15.28515625" customWidth="1"/>
    <col min="21" max="23" width="11.5703125" customWidth="1"/>
    <col min="25" max="25" width="10.7109375" customWidth="1"/>
  </cols>
  <sheetData>
    <row r="1" spans="1:21" x14ac:dyDescent="0.25">
      <c r="A1" s="84" t="s">
        <v>37</v>
      </c>
      <c r="B1" s="85"/>
      <c r="C1" s="85"/>
      <c r="D1" s="85"/>
      <c r="E1" s="85"/>
      <c r="F1" s="85"/>
      <c r="G1" s="85"/>
      <c r="H1" s="85"/>
      <c r="I1" s="85"/>
      <c r="J1" s="85"/>
      <c r="K1" s="85"/>
      <c r="L1" s="85"/>
      <c r="M1" s="85"/>
      <c r="N1" s="85"/>
      <c r="O1" s="85"/>
      <c r="P1" s="85"/>
      <c r="Q1" s="85"/>
      <c r="R1" s="85"/>
      <c r="S1" s="85"/>
      <c r="T1" s="85"/>
      <c r="U1" s="85"/>
    </row>
    <row r="2" spans="1:21" x14ac:dyDescent="0.25">
      <c r="A2" s="88" t="s">
        <v>32</v>
      </c>
      <c r="B2" s="74" t="s">
        <v>2</v>
      </c>
      <c r="C2" s="74"/>
      <c r="D2" s="74"/>
      <c r="E2" s="74"/>
      <c r="F2" s="74"/>
      <c r="G2" s="74"/>
      <c r="H2" s="74"/>
      <c r="I2" s="74"/>
      <c r="J2" s="74" t="s">
        <v>3</v>
      </c>
      <c r="K2" s="74"/>
      <c r="L2" s="74"/>
      <c r="M2" s="74"/>
      <c r="N2" s="74"/>
      <c r="O2" s="74"/>
      <c r="P2" s="74"/>
      <c r="Q2" s="74"/>
      <c r="R2" s="74" t="s">
        <v>38</v>
      </c>
      <c r="S2" s="74" t="s">
        <v>119</v>
      </c>
      <c r="T2" s="74"/>
      <c r="U2" s="74" t="s">
        <v>38</v>
      </c>
    </row>
    <row r="3" spans="1:21" x14ac:dyDescent="0.25">
      <c r="A3" s="88"/>
      <c r="B3" s="74" t="str">
        <f>'Step 1_Lanes'!B8</f>
        <v>SH 136</v>
      </c>
      <c r="C3" s="74"/>
      <c r="D3" s="74"/>
      <c r="E3" s="74"/>
      <c r="F3" s="74"/>
      <c r="G3" s="74"/>
      <c r="H3" s="74"/>
      <c r="I3" s="74"/>
      <c r="J3" s="74" t="str">
        <f>'Step 1_Lanes'!D8</f>
        <v>FM 1912</v>
      </c>
      <c r="K3" s="74"/>
      <c r="L3" s="74"/>
      <c r="M3" s="74"/>
      <c r="N3" s="74"/>
      <c r="O3" s="74"/>
      <c r="P3" s="74"/>
      <c r="Q3" s="74"/>
      <c r="R3" s="74"/>
      <c r="S3" s="51" t="s">
        <v>120</v>
      </c>
      <c r="T3" s="51" t="str">
        <f>B3</f>
        <v>SH 136</v>
      </c>
      <c r="U3" s="74"/>
    </row>
    <row r="4" spans="1:21" x14ac:dyDescent="0.25">
      <c r="A4" s="88"/>
      <c r="B4" s="74" t="str">
        <f>'Step 1_Lanes'!B9</f>
        <v>Northbound</v>
      </c>
      <c r="C4" s="74"/>
      <c r="D4" s="74"/>
      <c r="E4" s="74"/>
      <c r="F4" s="74" t="str">
        <f>'Step 1_Lanes'!C9</f>
        <v>Southbound</v>
      </c>
      <c r="G4" s="74"/>
      <c r="H4" s="74"/>
      <c r="I4" s="74"/>
      <c r="J4" s="74" t="str">
        <f>'Step 1_Lanes'!D9</f>
        <v>Eastbound</v>
      </c>
      <c r="K4" s="74"/>
      <c r="L4" s="74"/>
      <c r="M4" s="74"/>
      <c r="N4" s="74" t="str">
        <f>'Step 1_Lanes'!E9</f>
        <v>Westbound</v>
      </c>
      <c r="O4" s="74"/>
      <c r="P4" s="74"/>
      <c r="Q4" s="74"/>
      <c r="R4" s="74"/>
      <c r="S4" s="74" t="str">
        <f>J4</f>
        <v>Eastbound</v>
      </c>
      <c r="T4" s="74" t="str">
        <f>N4</f>
        <v>Westbound</v>
      </c>
      <c r="U4" s="74"/>
    </row>
    <row r="5" spans="1:21" x14ac:dyDescent="0.25">
      <c r="A5" s="88"/>
      <c r="B5" s="6" t="s">
        <v>36</v>
      </c>
      <c r="C5" s="6" t="s">
        <v>33</v>
      </c>
      <c r="D5" s="6" t="s">
        <v>35</v>
      </c>
      <c r="E5" s="6" t="s">
        <v>34</v>
      </c>
      <c r="F5" s="6" t="s">
        <v>36</v>
      </c>
      <c r="G5" s="6" t="s">
        <v>33</v>
      </c>
      <c r="H5" s="6" t="s">
        <v>35</v>
      </c>
      <c r="I5" s="6" t="s">
        <v>34</v>
      </c>
      <c r="J5" s="6" t="s">
        <v>36</v>
      </c>
      <c r="K5" s="6" t="s">
        <v>33</v>
      </c>
      <c r="L5" s="6" t="s">
        <v>35</v>
      </c>
      <c r="M5" s="6" t="s">
        <v>34</v>
      </c>
      <c r="N5" s="6" t="s">
        <v>36</v>
      </c>
      <c r="O5" s="6" t="s">
        <v>33</v>
      </c>
      <c r="P5" s="6" t="s">
        <v>35</v>
      </c>
      <c r="Q5" s="6" t="s">
        <v>34</v>
      </c>
      <c r="R5" s="74"/>
      <c r="S5" s="74"/>
      <c r="T5" s="74"/>
      <c r="U5" s="74"/>
    </row>
    <row r="6" spans="1:21" x14ac:dyDescent="0.25">
      <c r="A6" s="27" t="s">
        <v>94</v>
      </c>
      <c r="B6" s="9">
        <v>0</v>
      </c>
      <c r="C6" s="9">
        <v>51</v>
      </c>
      <c r="D6" s="9">
        <v>35</v>
      </c>
      <c r="E6" s="9">
        <v>0</v>
      </c>
      <c r="F6" s="9">
        <v>4</v>
      </c>
      <c r="G6" s="9">
        <v>13</v>
      </c>
      <c r="H6" s="9">
        <v>1</v>
      </c>
      <c r="I6" s="9">
        <v>0</v>
      </c>
      <c r="J6" s="9">
        <v>0</v>
      </c>
      <c r="K6" s="9">
        <v>336</v>
      </c>
      <c r="L6" s="9">
        <v>27</v>
      </c>
      <c r="M6" s="9">
        <v>0</v>
      </c>
      <c r="N6" s="9">
        <v>61</v>
      </c>
      <c r="O6" s="9">
        <v>19</v>
      </c>
      <c r="P6" s="9">
        <v>0</v>
      </c>
      <c r="Q6" s="9">
        <v>0</v>
      </c>
      <c r="R6" s="8">
        <f>SUM(B6:Q6)</f>
        <v>547</v>
      </c>
      <c r="S6" s="5">
        <v>1</v>
      </c>
      <c r="T6" s="5">
        <v>2</v>
      </c>
      <c r="U6" s="51">
        <f>S6+T6</f>
        <v>3</v>
      </c>
    </row>
    <row r="7" spans="1:21" x14ac:dyDescent="0.25">
      <c r="A7" s="27" t="s">
        <v>95</v>
      </c>
      <c r="B7" s="9">
        <v>1</v>
      </c>
      <c r="C7" s="9">
        <v>105</v>
      </c>
      <c r="D7" s="9">
        <v>107</v>
      </c>
      <c r="E7" s="9">
        <v>0</v>
      </c>
      <c r="F7" s="9">
        <v>11</v>
      </c>
      <c r="G7" s="9">
        <v>20</v>
      </c>
      <c r="H7" s="9">
        <v>0</v>
      </c>
      <c r="I7" s="9">
        <v>0</v>
      </c>
      <c r="J7" s="9">
        <v>0</v>
      </c>
      <c r="K7" s="9">
        <v>125</v>
      </c>
      <c r="L7" s="9">
        <v>23</v>
      </c>
      <c r="M7" s="9">
        <v>0</v>
      </c>
      <c r="N7" s="9">
        <v>25</v>
      </c>
      <c r="O7" s="9">
        <v>27</v>
      </c>
      <c r="P7" s="9">
        <v>0</v>
      </c>
      <c r="Q7" s="9">
        <v>0</v>
      </c>
      <c r="R7" s="8">
        <f t="shared" ref="R7:R29" si="0">SUM(B7:Q7)</f>
        <v>444</v>
      </c>
      <c r="S7" s="5">
        <v>1</v>
      </c>
      <c r="T7" s="5">
        <v>2</v>
      </c>
      <c r="U7" s="51">
        <f t="shared" ref="U7:U29" si="1">S7+T7</f>
        <v>3</v>
      </c>
    </row>
    <row r="8" spans="1:21" x14ac:dyDescent="0.25">
      <c r="A8" s="27" t="s">
        <v>96</v>
      </c>
      <c r="B8" s="9">
        <v>2</v>
      </c>
      <c r="C8" s="9">
        <v>88</v>
      </c>
      <c r="D8" s="9">
        <v>99</v>
      </c>
      <c r="E8" s="9">
        <v>0</v>
      </c>
      <c r="F8" s="9">
        <v>2</v>
      </c>
      <c r="G8" s="9">
        <v>25</v>
      </c>
      <c r="H8" s="9">
        <v>0</v>
      </c>
      <c r="I8" s="9">
        <v>0</v>
      </c>
      <c r="J8" s="9">
        <v>0</v>
      </c>
      <c r="K8" s="9">
        <v>129</v>
      </c>
      <c r="L8" s="9">
        <v>6</v>
      </c>
      <c r="M8" s="9">
        <v>0</v>
      </c>
      <c r="N8" s="9">
        <v>19</v>
      </c>
      <c r="O8" s="9">
        <v>7</v>
      </c>
      <c r="P8" s="9">
        <v>0</v>
      </c>
      <c r="Q8" s="9">
        <v>0</v>
      </c>
      <c r="R8" s="8">
        <f t="shared" si="0"/>
        <v>377</v>
      </c>
      <c r="S8" s="5">
        <v>1</v>
      </c>
      <c r="T8" s="5">
        <v>2</v>
      </c>
      <c r="U8" s="51">
        <f t="shared" si="1"/>
        <v>3</v>
      </c>
    </row>
    <row r="9" spans="1:21" x14ac:dyDescent="0.25">
      <c r="A9" s="27" t="s">
        <v>97</v>
      </c>
      <c r="B9" s="9">
        <v>0</v>
      </c>
      <c r="C9" s="9">
        <v>103</v>
      </c>
      <c r="D9" s="9">
        <v>130</v>
      </c>
      <c r="E9" s="9">
        <v>0</v>
      </c>
      <c r="F9" s="9">
        <v>8</v>
      </c>
      <c r="G9" s="9">
        <v>22</v>
      </c>
      <c r="H9" s="9">
        <v>0</v>
      </c>
      <c r="I9" s="9">
        <v>0</v>
      </c>
      <c r="J9" s="9">
        <v>0</v>
      </c>
      <c r="K9" s="9">
        <v>105</v>
      </c>
      <c r="L9" s="9">
        <v>11</v>
      </c>
      <c r="M9" s="9">
        <v>0</v>
      </c>
      <c r="N9" s="9">
        <v>26</v>
      </c>
      <c r="O9" s="9">
        <v>7</v>
      </c>
      <c r="P9" s="9">
        <v>0</v>
      </c>
      <c r="Q9" s="9">
        <v>0</v>
      </c>
      <c r="R9" s="8">
        <f t="shared" si="0"/>
        <v>412</v>
      </c>
      <c r="S9" s="5">
        <v>1</v>
      </c>
      <c r="T9" s="5">
        <v>2</v>
      </c>
      <c r="U9" s="51">
        <f t="shared" si="1"/>
        <v>3</v>
      </c>
    </row>
    <row r="10" spans="1:21" x14ac:dyDescent="0.25">
      <c r="A10" s="27" t="s">
        <v>98</v>
      </c>
      <c r="B10" s="9">
        <v>0</v>
      </c>
      <c r="C10" s="9">
        <v>101</v>
      </c>
      <c r="D10" s="9">
        <v>102</v>
      </c>
      <c r="E10" s="9">
        <v>0</v>
      </c>
      <c r="F10" s="9">
        <v>8</v>
      </c>
      <c r="G10" s="9">
        <v>14</v>
      </c>
      <c r="H10" s="9">
        <v>1</v>
      </c>
      <c r="I10" s="9">
        <v>0</v>
      </c>
      <c r="J10" s="9">
        <v>0</v>
      </c>
      <c r="K10" s="9">
        <v>103</v>
      </c>
      <c r="L10" s="9">
        <v>11</v>
      </c>
      <c r="M10" s="9">
        <v>0</v>
      </c>
      <c r="N10" s="9">
        <v>24</v>
      </c>
      <c r="O10" s="9">
        <v>5</v>
      </c>
      <c r="P10" s="9">
        <v>1</v>
      </c>
      <c r="Q10" s="9">
        <v>0</v>
      </c>
      <c r="R10" s="8">
        <f t="shared" si="0"/>
        <v>370</v>
      </c>
      <c r="S10" s="5">
        <v>1</v>
      </c>
      <c r="T10" s="5">
        <v>2</v>
      </c>
      <c r="U10" s="51">
        <f t="shared" si="1"/>
        <v>3</v>
      </c>
    </row>
    <row r="11" spans="1:21" x14ac:dyDescent="0.25">
      <c r="A11" s="27" t="s">
        <v>99</v>
      </c>
      <c r="B11" s="9">
        <v>0</v>
      </c>
      <c r="C11" s="9">
        <v>101</v>
      </c>
      <c r="D11" s="9">
        <v>85</v>
      </c>
      <c r="E11" s="9">
        <v>0</v>
      </c>
      <c r="F11" s="9">
        <v>7</v>
      </c>
      <c r="G11" s="9">
        <v>14</v>
      </c>
      <c r="H11" s="9">
        <v>0</v>
      </c>
      <c r="I11" s="9">
        <v>0</v>
      </c>
      <c r="J11" s="9">
        <v>0</v>
      </c>
      <c r="K11" s="9">
        <v>104</v>
      </c>
      <c r="L11" s="9">
        <v>6</v>
      </c>
      <c r="M11" s="9">
        <v>0</v>
      </c>
      <c r="N11" s="9">
        <v>30</v>
      </c>
      <c r="O11" s="9">
        <v>12</v>
      </c>
      <c r="P11" s="9">
        <v>1</v>
      </c>
      <c r="Q11" s="9">
        <v>0</v>
      </c>
      <c r="R11" s="8">
        <f t="shared" si="0"/>
        <v>360</v>
      </c>
      <c r="S11" s="5">
        <v>1</v>
      </c>
      <c r="T11" s="5">
        <v>2</v>
      </c>
      <c r="U11" s="51">
        <f t="shared" si="1"/>
        <v>3</v>
      </c>
    </row>
    <row r="12" spans="1:21" x14ac:dyDescent="0.25">
      <c r="A12" s="27" t="s">
        <v>100</v>
      </c>
      <c r="B12" s="9">
        <v>0</v>
      </c>
      <c r="C12" s="9">
        <v>113</v>
      </c>
      <c r="D12" s="9">
        <v>88</v>
      </c>
      <c r="E12" s="9">
        <v>0</v>
      </c>
      <c r="F12" s="9">
        <v>11</v>
      </c>
      <c r="G12" s="9">
        <v>9</v>
      </c>
      <c r="H12" s="9">
        <v>0</v>
      </c>
      <c r="I12" s="9">
        <v>0</v>
      </c>
      <c r="J12" s="9">
        <v>0</v>
      </c>
      <c r="K12" s="9">
        <v>105</v>
      </c>
      <c r="L12" s="9">
        <v>19</v>
      </c>
      <c r="M12" s="9">
        <v>0</v>
      </c>
      <c r="N12" s="9">
        <v>30</v>
      </c>
      <c r="O12" s="9">
        <v>10</v>
      </c>
      <c r="P12" s="9">
        <v>1</v>
      </c>
      <c r="Q12" s="9">
        <v>0</v>
      </c>
      <c r="R12" s="8">
        <f t="shared" si="0"/>
        <v>386</v>
      </c>
      <c r="S12" s="5">
        <v>1</v>
      </c>
      <c r="T12" s="5">
        <v>2</v>
      </c>
      <c r="U12" s="51">
        <f t="shared" si="1"/>
        <v>3</v>
      </c>
    </row>
    <row r="13" spans="1:21" x14ac:dyDescent="0.25">
      <c r="A13" s="27" t="s">
        <v>101</v>
      </c>
      <c r="B13" s="9">
        <v>0</v>
      </c>
      <c r="C13" s="9">
        <v>105</v>
      </c>
      <c r="D13" s="9">
        <v>77</v>
      </c>
      <c r="E13" s="9">
        <v>0</v>
      </c>
      <c r="F13" s="9">
        <v>8</v>
      </c>
      <c r="G13" s="9">
        <v>14</v>
      </c>
      <c r="H13" s="9">
        <v>1</v>
      </c>
      <c r="I13" s="9">
        <v>0</v>
      </c>
      <c r="J13" s="9">
        <v>0</v>
      </c>
      <c r="K13" s="9">
        <v>111</v>
      </c>
      <c r="L13" s="9">
        <v>40</v>
      </c>
      <c r="M13" s="9">
        <v>0</v>
      </c>
      <c r="N13" s="9">
        <v>40</v>
      </c>
      <c r="O13" s="9">
        <v>20</v>
      </c>
      <c r="P13" s="9">
        <v>0</v>
      </c>
      <c r="Q13" s="9">
        <v>0</v>
      </c>
      <c r="R13" s="8">
        <f t="shared" si="0"/>
        <v>416</v>
      </c>
      <c r="S13" s="5">
        <v>1</v>
      </c>
      <c r="T13" s="5">
        <v>2</v>
      </c>
      <c r="U13" s="51">
        <f t="shared" si="1"/>
        <v>3</v>
      </c>
    </row>
    <row r="14" spans="1:21" x14ac:dyDescent="0.25">
      <c r="A14" s="27" t="s">
        <v>102</v>
      </c>
      <c r="B14" s="9">
        <v>1</v>
      </c>
      <c r="C14" s="9">
        <v>155</v>
      </c>
      <c r="D14" s="9">
        <v>78</v>
      </c>
      <c r="E14" s="9">
        <v>0</v>
      </c>
      <c r="F14" s="9">
        <v>75</v>
      </c>
      <c r="G14" s="9">
        <v>62</v>
      </c>
      <c r="H14" s="9">
        <v>3</v>
      </c>
      <c r="I14" s="9">
        <v>0</v>
      </c>
      <c r="J14" s="9">
        <v>0</v>
      </c>
      <c r="K14" s="9">
        <v>145</v>
      </c>
      <c r="L14" s="9">
        <v>149</v>
      </c>
      <c r="M14" s="9">
        <v>0</v>
      </c>
      <c r="N14" s="9">
        <v>49</v>
      </c>
      <c r="O14" s="9">
        <v>39</v>
      </c>
      <c r="P14" s="9">
        <v>0</v>
      </c>
      <c r="Q14" s="9">
        <v>0</v>
      </c>
      <c r="R14" s="8">
        <f t="shared" si="0"/>
        <v>756</v>
      </c>
      <c r="S14" s="5">
        <v>1</v>
      </c>
      <c r="T14" s="5">
        <v>2</v>
      </c>
      <c r="U14" s="51">
        <f t="shared" si="1"/>
        <v>3</v>
      </c>
    </row>
    <row r="15" spans="1:21" x14ac:dyDescent="0.25">
      <c r="A15" s="27" t="s">
        <v>103</v>
      </c>
      <c r="B15" s="9">
        <v>1</v>
      </c>
      <c r="C15" s="9">
        <v>190</v>
      </c>
      <c r="D15" s="9">
        <v>86</v>
      </c>
      <c r="E15" s="9">
        <v>0</v>
      </c>
      <c r="F15" s="9">
        <v>47</v>
      </c>
      <c r="G15" s="9">
        <v>68</v>
      </c>
      <c r="H15" s="9">
        <v>1</v>
      </c>
      <c r="I15" s="9">
        <v>0</v>
      </c>
      <c r="J15" s="9">
        <v>3</v>
      </c>
      <c r="K15" s="9">
        <v>136</v>
      </c>
      <c r="L15" s="9">
        <v>36</v>
      </c>
      <c r="M15" s="9">
        <v>0</v>
      </c>
      <c r="N15" s="9">
        <v>55</v>
      </c>
      <c r="O15" s="9">
        <v>30</v>
      </c>
      <c r="P15" s="9">
        <v>0</v>
      </c>
      <c r="Q15" s="9">
        <v>0</v>
      </c>
      <c r="R15" s="8">
        <f t="shared" si="0"/>
        <v>653</v>
      </c>
      <c r="S15" s="5">
        <v>1</v>
      </c>
      <c r="T15" s="5">
        <v>2</v>
      </c>
      <c r="U15" s="51">
        <f t="shared" si="1"/>
        <v>3</v>
      </c>
    </row>
    <row r="16" spans="1:21" x14ac:dyDescent="0.25">
      <c r="A16" s="27" t="s">
        <v>104</v>
      </c>
      <c r="B16" s="9">
        <v>0</v>
      </c>
      <c r="C16" s="9">
        <v>147</v>
      </c>
      <c r="D16" s="9">
        <v>170</v>
      </c>
      <c r="E16" s="9">
        <v>0</v>
      </c>
      <c r="F16" s="9">
        <v>14</v>
      </c>
      <c r="G16" s="9">
        <v>79</v>
      </c>
      <c r="H16" s="9">
        <v>0</v>
      </c>
      <c r="I16" s="9">
        <v>0</v>
      </c>
      <c r="J16" s="9">
        <v>0</v>
      </c>
      <c r="K16" s="9">
        <v>178</v>
      </c>
      <c r="L16" s="9">
        <v>7</v>
      </c>
      <c r="M16" s="9">
        <v>0</v>
      </c>
      <c r="N16" s="9">
        <v>72</v>
      </c>
      <c r="O16" s="9">
        <v>19</v>
      </c>
      <c r="P16" s="9">
        <v>0</v>
      </c>
      <c r="Q16" s="9">
        <v>0</v>
      </c>
      <c r="R16" s="8">
        <f t="shared" si="0"/>
        <v>686</v>
      </c>
      <c r="S16" s="5">
        <v>1</v>
      </c>
      <c r="T16" s="5">
        <v>2</v>
      </c>
      <c r="U16" s="51">
        <f t="shared" si="1"/>
        <v>3</v>
      </c>
    </row>
    <row r="17" spans="1:23" x14ac:dyDescent="0.25">
      <c r="A17" s="27" t="s">
        <v>105</v>
      </c>
      <c r="B17" s="9">
        <v>0</v>
      </c>
      <c r="C17" s="9">
        <v>138</v>
      </c>
      <c r="D17" s="9">
        <v>130</v>
      </c>
      <c r="E17" s="9">
        <v>0</v>
      </c>
      <c r="F17" s="9">
        <v>7</v>
      </c>
      <c r="G17" s="9">
        <v>48</v>
      </c>
      <c r="H17" s="9">
        <v>0</v>
      </c>
      <c r="I17" s="9">
        <v>0</v>
      </c>
      <c r="J17" s="9">
        <v>0</v>
      </c>
      <c r="K17" s="9">
        <v>216</v>
      </c>
      <c r="L17" s="9">
        <v>14</v>
      </c>
      <c r="M17" s="9">
        <v>0</v>
      </c>
      <c r="N17" s="9">
        <v>64</v>
      </c>
      <c r="O17" s="9">
        <v>14</v>
      </c>
      <c r="P17" s="9">
        <v>0</v>
      </c>
      <c r="Q17" s="9">
        <v>0</v>
      </c>
      <c r="R17" s="8">
        <f t="shared" si="0"/>
        <v>631</v>
      </c>
      <c r="S17" s="5">
        <v>1</v>
      </c>
      <c r="T17" s="5">
        <v>2</v>
      </c>
      <c r="U17" s="51">
        <f t="shared" si="1"/>
        <v>3</v>
      </c>
    </row>
    <row r="18" spans="1:23" x14ac:dyDescent="0.25">
      <c r="A18" s="27" t="s">
        <v>106</v>
      </c>
      <c r="B18" s="9"/>
      <c r="C18" s="9"/>
      <c r="D18" s="9"/>
      <c r="E18" s="9"/>
      <c r="F18" s="9"/>
      <c r="G18" s="9"/>
      <c r="H18" s="9"/>
      <c r="I18" s="9"/>
      <c r="J18" s="9"/>
      <c r="K18" s="9"/>
      <c r="L18" s="9"/>
      <c r="M18" s="9"/>
      <c r="N18" s="9"/>
      <c r="O18" s="9"/>
      <c r="P18" s="9"/>
      <c r="Q18" s="9"/>
      <c r="R18" s="8">
        <f t="shared" si="0"/>
        <v>0</v>
      </c>
      <c r="S18" s="5">
        <v>1</v>
      </c>
      <c r="T18" s="5">
        <v>2</v>
      </c>
      <c r="U18" s="51">
        <f t="shared" si="1"/>
        <v>3</v>
      </c>
    </row>
    <row r="19" spans="1:23" x14ac:dyDescent="0.25">
      <c r="A19" s="27" t="s">
        <v>107</v>
      </c>
      <c r="B19" s="10"/>
      <c r="C19" s="10"/>
      <c r="D19" s="10"/>
      <c r="E19" s="10"/>
      <c r="F19" s="10"/>
      <c r="G19" s="10"/>
      <c r="H19" s="10"/>
      <c r="I19" s="10"/>
      <c r="J19" s="10"/>
      <c r="K19" s="10"/>
      <c r="L19" s="10"/>
      <c r="M19" s="10"/>
      <c r="N19" s="10"/>
      <c r="O19" s="10"/>
      <c r="P19" s="10"/>
      <c r="Q19" s="10"/>
      <c r="R19" s="8">
        <f t="shared" si="0"/>
        <v>0</v>
      </c>
      <c r="S19" s="5">
        <v>1</v>
      </c>
      <c r="T19" s="5">
        <v>2</v>
      </c>
      <c r="U19" s="51">
        <f t="shared" si="1"/>
        <v>3</v>
      </c>
    </row>
    <row r="20" spans="1:23" x14ac:dyDescent="0.25">
      <c r="A20" s="27" t="s">
        <v>108</v>
      </c>
      <c r="B20" s="10"/>
      <c r="C20" s="10"/>
      <c r="D20" s="10"/>
      <c r="E20" s="10"/>
      <c r="F20" s="10"/>
      <c r="G20" s="10"/>
      <c r="H20" s="10"/>
      <c r="I20" s="10"/>
      <c r="J20" s="10"/>
      <c r="K20" s="10"/>
      <c r="L20" s="10"/>
      <c r="M20" s="10"/>
      <c r="N20" s="10"/>
      <c r="O20" s="10"/>
      <c r="P20" s="10"/>
      <c r="Q20" s="10"/>
      <c r="R20" s="8">
        <f t="shared" si="0"/>
        <v>0</v>
      </c>
      <c r="S20" s="5">
        <v>1</v>
      </c>
      <c r="T20" s="5">
        <v>2</v>
      </c>
      <c r="U20" s="51">
        <f t="shared" si="1"/>
        <v>3</v>
      </c>
    </row>
    <row r="21" spans="1:23" x14ac:dyDescent="0.25">
      <c r="A21" s="27" t="s">
        <v>109</v>
      </c>
      <c r="B21" s="10"/>
      <c r="C21" s="10"/>
      <c r="D21" s="10"/>
      <c r="E21" s="10"/>
      <c r="F21" s="10"/>
      <c r="G21" s="10"/>
      <c r="H21" s="10"/>
      <c r="I21" s="10"/>
      <c r="J21" s="10"/>
      <c r="K21" s="10"/>
      <c r="L21" s="10"/>
      <c r="M21" s="10"/>
      <c r="N21" s="10"/>
      <c r="O21" s="10"/>
      <c r="P21" s="10"/>
      <c r="Q21" s="10"/>
      <c r="R21" s="8">
        <f t="shared" si="0"/>
        <v>0</v>
      </c>
      <c r="S21" s="5">
        <v>1</v>
      </c>
      <c r="T21" s="5">
        <v>2</v>
      </c>
      <c r="U21" s="51">
        <f t="shared" si="1"/>
        <v>3</v>
      </c>
    </row>
    <row r="22" spans="1:23" x14ac:dyDescent="0.25">
      <c r="A22" s="27" t="s">
        <v>110</v>
      </c>
      <c r="B22" s="10"/>
      <c r="C22" s="10"/>
      <c r="D22" s="10"/>
      <c r="E22" s="10"/>
      <c r="F22" s="10"/>
      <c r="G22" s="10"/>
      <c r="H22" s="10"/>
      <c r="I22" s="10"/>
      <c r="J22" s="10"/>
      <c r="K22" s="10"/>
      <c r="L22" s="10"/>
      <c r="M22" s="10"/>
      <c r="N22" s="10"/>
      <c r="O22" s="10"/>
      <c r="P22" s="10"/>
      <c r="Q22" s="10"/>
      <c r="R22" s="8">
        <f t="shared" si="0"/>
        <v>0</v>
      </c>
      <c r="S22" s="5">
        <v>1</v>
      </c>
      <c r="T22" s="5">
        <v>2</v>
      </c>
      <c r="U22" s="51">
        <f t="shared" si="1"/>
        <v>3</v>
      </c>
    </row>
    <row r="23" spans="1:23" x14ac:dyDescent="0.25">
      <c r="A23" s="27" t="s">
        <v>111</v>
      </c>
      <c r="B23" s="10"/>
      <c r="C23" s="10"/>
      <c r="D23" s="10"/>
      <c r="E23" s="10"/>
      <c r="F23" s="10"/>
      <c r="G23" s="10"/>
      <c r="H23" s="10"/>
      <c r="I23" s="10"/>
      <c r="J23" s="10"/>
      <c r="K23" s="10"/>
      <c r="L23" s="10"/>
      <c r="M23" s="10"/>
      <c r="N23" s="10"/>
      <c r="O23" s="10"/>
      <c r="P23" s="10"/>
      <c r="Q23" s="10"/>
      <c r="R23" s="8">
        <f t="shared" si="0"/>
        <v>0</v>
      </c>
      <c r="S23" s="5">
        <v>1</v>
      </c>
      <c r="T23" s="5">
        <v>2</v>
      </c>
      <c r="U23" s="51">
        <f t="shared" si="1"/>
        <v>3</v>
      </c>
    </row>
    <row r="24" spans="1:23" x14ac:dyDescent="0.25">
      <c r="A24" s="27" t="s">
        <v>112</v>
      </c>
      <c r="B24" s="10"/>
      <c r="C24" s="10"/>
      <c r="D24" s="10"/>
      <c r="E24" s="10"/>
      <c r="F24" s="10"/>
      <c r="G24" s="10"/>
      <c r="H24" s="10"/>
      <c r="I24" s="10"/>
      <c r="J24" s="10"/>
      <c r="K24" s="10"/>
      <c r="L24" s="10"/>
      <c r="M24" s="10"/>
      <c r="N24" s="10"/>
      <c r="O24" s="10"/>
      <c r="P24" s="10"/>
      <c r="Q24" s="10"/>
      <c r="R24" s="8">
        <f t="shared" si="0"/>
        <v>0</v>
      </c>
      <c r="S24" s="5">
        <v>1</v>
      </c>
      <c r="T24" s="5">
        <v>2</v>
      </c>
      <c r="U24" s="51">
        <f t="shared" si="1"/>
        <v>3</v>
      </c>
    </row>
    <row r="25" spans="1:23" x14ac:dyDescent="0.25">
      <c r="A25" s="27" t="s">
        <v>113</v>
      </c>
      <c r="B25" s="10"/>
      <c r="C25" s="10"/>
      <c r="D25" s="10"/>
      <c r="E25" s="10"/>
      <c r="F25" s="10"/>
      <c r="G25" s="10"/>
      <c r="H25" s="10"/>
      <c r="I25" s="10"/>
      <c r="J25" s="10"/>
      <c r="K25" s="10"/>
      <c r="L25" s="10"/>
      <c r="M25" s="10"/>
      <c r="N25" s="10"/>
      <c r="O25" s="10"/>
      <c r="P25" s="10"/>
      <c r="Q25" s="10"/>
      <c r="R25" s="8">
        <f t="shared" si="0"/>
        <v>0</v>
      </c>
      <c r="S25" s="5">
        <v>1</v>
      </c>
      <c r="T25" s="5">
        <v>2</v>
      </c>
      <c r="U25" s="51">
        <f t="shared" si="1"/>
        <v>3</v>
      </c>
    </row>
    <row r="26" spans="1:23" x14ac:dyDescent="0.25">
      <c r="A26" s="27" t="s">
        <v>114</v>
      </c>
      <c r="B26" s="10"/>
      <c r="C26" s="10"/>
      <c r="D26" s="10"/>
      <c r="E26" s="10"/>
      <c r="F26" s="10"/>
      <c r="G26" s="10"/>
      <c r="H26" s="10"/>
      <c r="I26" s="10"/>
      <c r="J26" s="10"/>
      <c r="K26" s="10"/>
      <c r="L26" s="10"/>
      <c r="M26" s="10"/>
      <c r="N26" s="10"/>
      <c r="O26" s="10"/>
      <c r="P26" s="10"/>
      <c r="Q26" s="10"/>
      <c r="R26" s="8">
        <f t="shared" si="0"/>
        <v>0</v>
      </c>
      <c r="S26" s="5">
        <v>1</v>
      </c>
      <c r="T26" s="5">
        <v>2</v>
      </c>
      <c r="U26" s="51">
        <f t="shared" si="1"/>
        <v>3</v>
      </c>
    </row>
    <row r="27" spans="1:23" x14ac:dyDescent="0.25">
      <c r="A27" s="27" t="s">
        <v>115</v>
      </c>
      <c r="B27" s="10"/>
      <c r="C27" s="10"/>
      <c r="D27" s="10"/>
      <c r="E27" s="10"/>
      <c r="F27" s="10"/>
      <c r="G27" s="10"/>
      <c r="H27" s="10"/>
      <c r="I27" s="10"/>
      <c r="J27" s="10"/>
      <c r="K27" s="10"/>
      <c r="L27" s="10"/>
      <c r="M27" s="10"/>
      <c r="N27" s="10"/>
      <c r="O27" s="10"/>
      <c r="P27" s="10"/>
      <c r="Q27" s="10"/>
      <c r="R27" s="8">
        <f t="shared" si="0"/>
        <v>0</v>
      </c>
      <c r="S27" s="5">
        <v>1</v>
      </c>
      <c r="T27" s="5">
        <v>2</v>
      </c>
      <c r="U27" s="51">
        <f t="shared" si="1"/>
        <v>3</v>
      </c>
    </row>
    <row r="28" spans="1:23" x14ac:dyDescent="0.25">
      <c r="A28" s="27" t="s">
        <v>116</v>
      </c>
      <c r="B28" s="10"/>
      <c r="C28" s="10"/>
      <c r="D28" s="10"/>
      <c r="E28" s="10"/>
      <c r="F28" s="10"/>
      <c r="G28" s="10"/>
      <c r="H28" s="10"/>
      <c r="I28" s="10"/>
      <c r="J28" s="10"/>
      <c r="K28" s="10"/>
      <c r="L28" s="10"/>
      <c r="M28" s="10"/>
      <c r="N28" s="10"/>
      <c r="O28" s="10"/>
      <c r="P28" s="10"/>
      <c r="Q28" s="10"/>
      <c r="R28" s="8">
        <f t="shared" si="0"/>
        <v>0</v>
      </c>
      <c r="S28" s="5">
        <v>1</v>
      </c>
      <c r="T28" s="5">
        <v>2</v>
      </c>
      <c r="U28" s="51">
        <f t="shared" si="1"/>
        <v>3</v>
      </c>
    </row>
    <row r="29" spans="1:23" x14ac:dyDescent="0.25">
      <c r="A29" s="27" t="s">
        <v>117</v>
      </c>
      <c r="B29" s="10"/>
      <c r="C29" s="10"/>
      <c r="D29" s="10"/>
      <c r="E29" s="10"/>
      <c r="F29" s="10"/>
      <c r="G29" s="10"/>
      <c r="H29" s="10"/>
      <c r="I29" s="10"/>
      <c r="J29" s="10"/>
      <c r="K29" s="10"/>
      <c r="L29" s="10"/>
      <c r="M29" s="10"/>
      <c r="N29" s="10"/>
      <c r="O29" s="10"/>
      <c r="P29" s="10"/>
      <c r="Q29" s="10"/>
      <c r="R29" s="8">
        <f t="shared" si="0"/>
        <v>0</v>
      </c>
      <c r="S29" s="5"/>
      <c r="T29" s="5">
        <v>2</v>
      </c>
      <c r="U29" s="51">
        <f t="shared" si="1"/>
        <v>2</v>
      </c>
    </row>
    <row r="31" spans="1:23" ht="15.75" thickBot="1" x14ac:dyDescent="0.3">
      <c r="I31" s="76"/>
      <c r="J31" s="76"/>
      <c r="K31" s="76"/>
      <c r="L31" s="22" t="s">
        <v>42</v>
      </c>
      <c r="M31" s="12">
        <v>2016</v>
      </c>
      <c r="N31" s="83" t="s">
        <v>44</v>
      </c>
      <c r="O31" s="83"/>
      <c r="P31" s="12">
        <v>2020</v>
      </c>
      <c r="Q31" s="83" t="s">
        <v>43</v>
      </c>
      <c r="R31" s="83"/>
      <c r="S31" s="14">
        <v>0.08</v>
      </c>
      <c r="T31" s="13" t="s">
        <v>40</v>
      </c>
      <c r="U31" s="83" t="s">
        <v>41</v>
      </c>
      <c r="V31" s="83"/>
      <c r="W31" s="12">
        <v>1</v>
      </c>
    </row>
    <row r="32" spans="1:23" ht="15.75" thickBot="1" x14ac:dyDescent="0.3">
      <c r="I32" s="77" t="s">
        <v>45</v>
      </c>
      <c r="J32" s="78"/>
      <c r="K32" s="23">
        <f>Choice!D24</f>
        <v>1.3604889600000003</v>
      </c>
    </row>
    <row r="33" spans="1:26" x14ac:dyDescent="0.25">
      <c r="I33" s="11"/>
    </row>
    <row r="34" spans="1:26" x14ac:dyDescent="0.25">
      <c r="A34" s="84" t="s">
        <v>39</v>
      </c>
      <c r="B34" s="85"/>
      <c r="C34" s="85"/>
      <c r="D34" s="85"/>
      <c r="E34" s="85"/>
      <c r="F34" s="85"/>
      <c r="G34" s="85"/>
      <c r="H34" s="85"/>
      <c r="I34" s="85"/>
      <c r="J34" s="85"/>
      <c r="K34" s="85"/>
      <c r="L34" s="85"/>
      <c r="M34" s="85"/>
      <c r="N34" s="85"/>
      <c r="O34" s="85"/>
      <c r="P34" s="85"/>
      <c r="Q34" s="85"/>
      <c r="R34" s="85"/>
    </row>
    <row r="35" spans="1:26" x14ac:dyDescent="0.25">
      <c r="A35" s="86" t="s">
        <v>32</v>
      </c>
      <c r="B35" s="75" t="s">
        <v>2</v>
      </c>
      <c r="C35" s="75"/>
      <c r="D35" s="75"/>
      <c r="E35" s="75"/>
      <c r="F35" s="75"/>
      <c r="G35" s="75"/>
      <c r="H35" s="75"/>
      <c r="I35" s="75"/>
      <c r="J35" s="75" t="s">
        <v>3</v>
      </c>
      <c r="K35" s="75"/>
      <c r="L35" s="75"/>
      <c r="M35" s="75"/>
      <c r="N35" s="75"/>
      <c r="O35" s="75"/>
      <c r="P35" s="75"/>
      <c r="Q35" s="75"/>
      <c r="R35" s="75" t="s">
        <v>38</v>
      </c>
      <c r="S35" s="35"/>
      <c r="T35" s="35"/>
      <c r="U35" s="35"/>
      <c r="V35" s="35"/>
      <c r="W35" s="35"/>
      <c r="X35" s="35"/>
      <c r="Y35" s="35"/>
      <c r="Z35" s="35"/>
    </row>
    <row r="36" spans="1:26" ht="15.75" thickBot="1" x14ac:dyDescent="0.3">
      <c r="A36" s="86"/>
      <c r="B36" s="75" t="str">
        <f>B3</f>
        <v>SH 136</v>
      </c>
      <c r="C36" s="75"/>
      <c r="D36" s="75"/>
      <c r="E36" s="75"/>
      <c r="F36" s="75"/>
      <c r="G36" s="75"/>
      <c r="H36" s="75"/>
      <c r="I36" s="75"/>
      <c r="J36" s="75" t="str">
        <f>J3</f>
        <v>FM 1912</v>
      </c>
      <c r="K36" s="75"/>
      <c r="L36" s="75"/>
      <c r="M36" s="75"/>
      <c r="N36" s="75"/>
      <c r="O36" s="75"/>
      <c r="P36" s="75"/>
      <c r="Q36" s="75"/>
      <c r="R36" s="75"/>
      <c r="S36" s="35"/>
      <c r="T36" s="35"/>
      <c r="U36" s="35"/>
      <c r="V36" s="35"/>
      <c r="W36" s="35"/>
      <c r="X36" s="35"/>
      <c r="Y36" s="35"/>
      <c r="Z36" s="35"/>
    </row>
    <row r="37" spans="1:26" x14ac:dyDescent="0.25">
      <c r="A37" s="86"/>
      <c r="B37" s="75" t="str">
        <f>B4</f>
        <v>Northbound</v>
      </c>
      <c r="C37" s="75"/>
      <c r="D37" s="75"/>
      <c r="E37" s="75"/>
      <c r="F37" s="75" t="str">
        <f t="shared" ref="F37" si="2">F4</f>
        <v>Southbound</v>
      </c>
      <c r="G37" s="75"/>
      <c r="H37" s="75"/>
      <c r="I37" s="75"/>
      <c r="J37" s="75" t="str">
        <f t="shared" ref="J37" si="3">J4</f>
        <v>Eastbound</v>
      </c>
      <c r="K37" s="75"/>
      <c r="L37" s="75"/>
      <c r="M37" s="75"/>
      <c r="N37" s="75" t="str">
        <f t="shared" ref="N37" si="4">N4</f>
        <v>Westbound</v>
      </c>
      <c r="O37" s="75"/>
      <c r="P37" s="75"/>
      <c r="Q37" s="75"/>
      <c r="R37" s="87"/>
      <c r="S37" s="81" t="s">
        <v>48</v>
      </c>
      <c r="T37" s="36" t="str">
        <f>B37</f>
        <v>Northbound</v>
      </c>
      <c r="U37" s="36" t="str">
        <f>F37</f>
        <v>Southbound</v>
      </c>
      <c r="V37" s="36" t="str">
        <f>J37</f>
        <v>Eastbound</v>
      </c>
      <c r="W37" s="36" t="str">
        <f>N37</f>
        <v>Westbound</v>
      </c>
      <c r="X37" s="36" t="s">
        <v>46</v>
      </c>
      <c r="Y37" s="36" t="s">
        <v>47</v>
      </c>
      <c r="Z37" s="79" t="s">
        <v>38</v>
      </c>
    </row>
    <row r="38" spans="1:26" x14ac:dyDescent="0.25">
      <c r="A38" s="86"/>
      <c r="B38" s="37" t="s">
        <v>36</v>
      </c>
      <c r="C38" s="37" t="s">
        <v>33</v>
      </c>
      <c r="D38" s="37" t="s">
        <v>35</v>
      </c>
      <c r="E38" s="37" t="s">
        <v>34</v>
      </c>
      <c r="F38" s="37" t="s">
        <v>36</v>
      </c>
      <c r="G38" s="37" t="s">
        <v>33</v>
      </c>
      <c r="H38" s="37" t="s">
        <v>35</v>
      </c>
      <c r="I38" s="37" t="s">
        <v>34</v>
      </c>
      <c r="J38" s="37" t="s">
        <v>36</v>
      </c>
      <c r="K38" s="37" t="s">
        <v>33</v>
      </c>
      <c r="L38" s="37" t="s">
        <v>35</v>
      </c>
      <c r="M38" s="37" t="s">
        <v>34</v>
      </c>
      <c r="N38" s="37" t="s">
        <v>36</v>
      </c>
      <c r="O38" s="37" t="s">
        <v>33</v>
      </c>
      <c r="P38" s="37" t="s">
        <v>35</v>
      </c>
      <c r="Q38" s="37" t="s">
        <v>34</v>
      </c>
      <c r="R38" s="87"/>
      <c r="S38" s="82"/>
      <c r="T38" s="38" t="s">
        <v>46</v>
      </c>
      <c r="U38" s="38" t="s">
        <v>46</v>
      </c>
      <c r="V38" s="38" t="s">
        <v>49</v>
      </c>
      <c r="W38" s="38" t="s">
        <v>49</v>
      </c>
      <c r="X38" s="38" t="s">
        <v>38</v>
      </c>
      <c r="Y38" s="38" t="s">
        <v>50</v>
      </c>
      <c r="Z38" s="80"/>
    </row>
    <row r="39" spans="1:26" x14ac:dyDescent="0.25">
      <c r="A39" s="39" t="s">
        <v>94</v>
      </c>
      <c r="B39" s="40">
        <f t="shared" ref="B39:B56" si="5">B6*$K$32</f>
        <v>0</v>
      </c>
      <c r="C39" s="40">
        <f t="shared" ref="C39:Q39" si="6">C6*$K$32</f>
        <v>69.384936960000019</v>
      </c>
      <c r="D39" s="40">
        <f t="shared" si="6"/>
        <v>47.61711360000001</v>
      </c>
      <c r="E39" s="40">
        <f t="shared" si="6"/>
        <v>0</v>
      </c>
      <c r="F39" s="40">
        <f t="shared" si="6"/>
        <v>5.4419558400000012</v>
      </c>
      <c r="G39" s="40">
        <f t="shared" si="6"/>
        <v>17.686356480000004</v>
      </c>
      <c r="H39" s="40">
        <f t="shared" si="6"/>
        <v>1.3604889600000003</v>
      </c>
      <c r="I39" s="40">
        <f t="shared" si="6"/>
        <v>0</v>
      </c>
      <c r="J39" s="40">
        <f t="shared" si="6"/>
        <v>0</v>
      </c>
      <c r="K39" s="40">
        <f t="shared" si="6"/>
        <v>457.12429056000008</v>
      </c>
      <c r="L39" s="40">
        <f t="shared" si="6"/>
        <v>36.733201920000006</v>
      </c>
      <c r="M39" s="40">
        <f t="shared" si="6"/>
        <v>0</v>
      </c>
      <c r="N39" s="40">
        <f t="shared" si="6"/>
        <v>82.989826560000012</v>
      </c>
      <c r="O39" s="40">
        <f t="shared" si="6"/>
        <v>25.849290240000006</v>
      </c>
      <c r="P39" s="40">
        <f t="shared" si="6"/>
        <v>0</v>
      </c>
      <c r="Q39" s="40">
        <f t="shared" si="6"/>
        <v>0</v>
      </c>
      <c r="R39" s="41">
        <f>SUM(B39:Q39)</f>
        <v>744.18746112000008</v>
      </c>
      <c r="S39" s="42">
        <f>RANK(Z39,$Z$39:$Z$62)+COUNTIF($Z$39:$Z39,Z39)-1</f>
        <v>5</v>
      </c>
      <c r="T39" s="43">
        <f>SUM(B39:E39)-IF(Choice!$A$9,0,'Step 2_Volumes'!B39+'Step 2_Volumes'!E39)-IF(Choice!$A$10,0,'Step 2_Volumes'!D39)</f>
        <v>117.00205056000003</v>
      </c>
      <c r="U39" s="43">
        <f>SUM(F39:I39)-IF(Choice!$B$9,0,'Step 2_Volumes'!F39+'Step 2_Volumes'!I39)-IF(Choice!$B$10,0,'Step 2_Volumes'!H39)</f>
        <v>23.128312320000006</v>
      </c>
      <c r="V39" s="43">
        <f>SUM(J39:M39)-IF(Choice!$C$9,0,'Step 2_Volumes'!J39+'Step 2_Volumes'!M39)-IF(Choice!$C$10,0,'Step 2_Volumes'!L39)</f>
        <v>457.12429056000008</v>
      </c>
      <c r="W39" s="43">
        <f>SUM(N39:Q39)-IF(Choice!$D$9,0,'Step 2_Volumes'!N39+'Step 2_Volumes'!Q39)-IF(Choice!$D$10,0,'Step 2_Volumes'!P39)</f>
        <v>25.849290240000002</v>
      </c>
      <c r="X39" s="43">
        <f>SUM(T39:U39)</f>
        <v>140.13036288000004</v>
      </c>
      <c r="Y39" s="43">
        <f>IF(V39&gt;W39,V39,W39)</f>
        <v>457.12429056000008</v>
      </c>
      <c r="Z39" s="44">
        <f>SUM(X39:Y39)</f>
        <v>597.25465344000008</v>
      </c>
    </row>
    <row r="40" spans="1:26" x14ac:dyDescent="0.25">
      <c r="A40" s="39" t="s">
        <v>95</v>
      </c>
      <c r="B40" s="40">
        <f t="shared" si="5"/>
        <v>1.3604889600000003</v>
      </c>
      <c r="C40" s="40">
        <f t="shared" ref="C40:Q40" si="7">C7*$K$32</f>
        <v>142.85134080000003</v>
      </c>
      <c r="D40" s="40">
        <f t="shared" si="7"/>
        <v>145.57231872000003</v>
      </c>
      <c r="E40" s="40">
        <f t="shared" si="7"/>
        <v>0</v>
      </c>
      <c r="F40" s="40">
        <f t="shared" si="7"/>
        <v>14.965378560000003</v>
      </c>
      <c r="G40" s="40">
        <f t="shared" si="7"/>
        <v>27.209779200000007</v>
      </c>
      <c r="H40" s="40">
        <f t="shared" si="7"/>
        <v>0</v>
      </c>
      <c r="I40" s="40">
        <f t="shared" si="7"/>
        <v>0</v>
      </c>
      <c r="J40" s="40">
        <f t="shared" si="7"/>
        <v>0</v>
      </c>
      <c r="K40" s="40">
        <f t="shared" si="7"/>
        <v>170.06112000000005</v>
      </c>
      <c r="L40" s="40">
        <f t="shared" si="7"/>
        <v>31.291246080000008</v>
      </c>
      <c r="M40" s="40">
        <f t="shared" si="7"/>
        <v>0</v>
      </c>
      <c r="N40" s="40">
        <f t="shared" si="7"/>
        <v>34.01222400000001</v>
      </c>
      <c r="O40" s="40">
        <f t="shared" si="7"/>
        <v>36.733201920000006</v>
      </c>
      <c r="P40" s="40">
        <f t="shared" si="7"/>
        <v>0</v>
      </c>
      <c r="Q40" s="40">
        <f t="shared" si="7"/>
        <v>0</v>
      </c>
      <c r="R40" s="41">
        <f t="shared" ref="R40:R62" si="8">SUM(B40:Q40)</f>
        <v>604.05709824000019</v>
      </c>
      <c r="S40" s="42">
        <f>RANK(Z40,$Z$39:$Z$62)+COUNTIF($Z$39:$Z40,Z40)-1</f>
        <v>6</v>
      </c>
      <c r="T40" s="43">
        <f>SUM(B40:E40)-IF(Choice!$A$9,0,'Step 2_Volumes'!B40+'Step 2_Volumes'!E40)-IF(Choice!$A$10,0,'Step 2_Volumes'!D40)</f>
        <v>288.42365952000006</v>
      </c>
      <c r="U40" s="43">
        <f>SUM(F40:I40)-IF(Choice!$B$9,0,'Step 2_Volumes'!F40+'Step 2_Volumes'!I40)-IF(Choice!$B$10,0,'Step 2_Volumes'!H40)</f>
        <v>42.175157760000012</v>
      </c>
      <c r="V40" s="43">
        <f>SUM(J40:M40)-IF(Choice!$C$9,0,'Step 2_Volumes'!J40+'Step 2_Volumes'!M40)-IF(Choice!$C$10,0,'Step 2_Volumes'!L40)</f>
        <v>170.06112000000005</v>
      </c>
      <c r="W40" s="43">
        <f>SUM(N40:Q40)-IF(Choice!$D$9,0,'Step 2_Volumes'!N40+'Step 2_Volumes'!Q40)-IF(Choice!$D$10,0,'Step 2_Volumes'!P40)</f>
        <v>36.733201920000006</v>
      </c>
      <c r="X40" s="40">
        <f>SUM(T40:U40)</f>
        <v>330.59881728000005</v>
      </c>
      <c r="Y40" s="40">
        <f t="shared" ref="Y40:Y50" si="9">IF(V40&gt;W40,V40,W40)</f>
        <v>170.06112000000005</v>
      </c>
      <c r="Z40" s="44">
        <f t="shared" ref="Z40:Z50" si="10">SUM(X40:Y40)</f>
        <v>500.65993728000012</v>
      </c>
    </row>
    <row r="41" spans="1:26" x14ac:dyDescent="0.25">
      <c r="A41" s="39" t="s">
        <v>96</v>
      </c>
      <c r="B41" s="40">
        <f t="shared" si="5"/>
        <v>2.7209779200000006</v>
      </c>
      <c r="C41" s="40">
        <f t="shared" ref="C41:Q41" si="11">C8*$K$32</f>
        <v>119.72302848000002</v>
      </c>
      <c r="D41" s="40">
        <f t="shared" si="11"/>
        <v>134.68840704000004</v>
      </c>
      <c r="E41" s="40">
        <f t="shared" si="11"/>
        <v>0</v>
      </c>
      <c r="F41" s="40">
        <f t="shared" si="11"/>
        <v>2.7209779200000006</v>
      </c>
      <c r="G41" s="40">
        <f t="shared" si="11"/>
        <v>34.01222400000001</v>
      </c>
      <c r="H41" s="40">
        <f t="shared" si="11"/>
        <v>0</v>
      </c>
      <c r="I41" s="40">
        <f t="shared" si="11"/>
        <v>0</v>
      </c>
      <c r="J41" s="40">
        <f t="shared" si="11"/>
        <v>0</v>
      </c>
      <c r="K41" s="40">
        <f t="shared" si="11"/>
        <v>175.50307584000004</v>
      </c>
      <c r="L41" s="40">
        <f t="shared" si="11"/>
        <v>8.1629337600000014</v>
      </c>
      <c r="M41" s="40">
        <f t="shared" si="11"/>
        <v>0</v>
      </c>
      <c r="N41" s="40">
        <f t="shared" si="11"/>
        <v>25.849290240000006</v>
      </c>
      <c r="O41" s="40">
        <f t="shared" si="11"/>
        <v>9.5234227200000028</v>
      </c>
      <c r="P41" s="40">
        <f t="shared" si="11"/>
        <v>0</v>
      </c>
      <c r="Q41" s="40">
        <f t="shared" si="11"/>
        <v>0</v>
      </c>
      <c r="R41" s="41">
        <f t="shared" si="8"/>
        <v>512.9043379200001</v>
      </c>
      <c r="S41" s="42">
        <f>RANK(Z41,$Z$39:$Z$62)+COUNTIF($Z$39:$Z41,Z41)-1</f>
        <v>8</v>
      </c>
      <c r="T41" s="43">
        <f>SUM(B41:E41)-IF(Choice!$A$9,0,'Step 2_Volumes'!B41+'Step 2_Volumes'!E41)-IF(Choice!$A$10,0,'Step 2_Volumes'!D41)</f>
        <v>254.41143552000005</v>
      </c>
      <c r="U41" s="43">
        <f>SUM(F41:I41)-IF(Choice!$B$9,0,'Step 2_Volumes'!F41+'Step 2_Volumes'!I41)-IF(Choice!$B$10,0,'Step 2_Volumes'!H41)</f>
        <v>36.733201920000013</v>
      </c>
      <c r="V41" s="43">
        <f>SUM(J41:M41)-IF(Choice!$C$9,0,'Step 2_Volumes'!J41+'Step 2_Volumes'!M41)-IF(Choice!$C$10,0,'Step 2_Volumes'!L41)</f>
        <v>175.50307584000006</v>
      </c>
      <c r="W41" s="43">
        <f>SUM(N41:Q41)-IF(Choice!$D$9,0,'Step 2_Volumes'!N41+'Step 2_Volumes'!Q41)-IF(Choice!$D$10,0,'Step 2_Volumes'!P41)</f>
        <v>9.5234227200000028</v>
      </c>
      <c r="X41" s="40">
        <f>SUM(T41:U41)</f>
        <v>291.14463744000005</v>
      </c>
      <c r="Y41" s="40">
        <f t="shared" si="9"/>
        <v>175.50307584000006</v>
      </c>
      <c r="Z41" s="44">
        <f t="shared" si="10"/>
        <v>466.64771328000012</v>
      </c>
    </row>
    <row r="42" spans="1:26" x14ac:dyDescent="0.25">
      <c r="A42" s="39" t="s">
        <v>97</v>
      </c>
      <c r="B42" s="40">
        <f t="shared" si="5"/>
        <v>0</v>
      </c>
      <c r="C42" s="40">
        <f t="shared" ref="C42:Q42" si="12">C9*$K$32</f>
        <v>140.13036288000004</v>
      </c>
      <c r="D42" s="40">
        <f t="shared" si="12"/>
        <v>176.86356480000003</v>
      </c>
      <c r="E42" s="40">
        <f t="shared" si="12"/>
        <v>0</v>
      </c>
      <c r="F42" s="40">
        <f t="shared" si="12"/>
        <v>10.883911680000002</v>
      </c>
      <c r="G42" s="40">
        <f t="shared" si="12"/>
        <v>29.930757120000006</v>
      </c>
      <c r="H42" s="40">
        <f t="shared" si="12"/>
        <v>0</v>
      </c>
      <c r="I42" s="40">
        <f t="shared" si="12"/>
        <v>0</v>
      </c>
      <c r="J42" s="40">
        <f t="shared" si="12"/>
        <v>0</v>
      </c>
      <c r="K42" s="40">
        <f t="shared" si="12"/>
        <v>142.85134080000003</v>
      </c>
      <c r="L42" s="40">
        <f t="shared" si="12"/>
        <v>14.965378560000003</v>
      </c>
      <c r="M42" s="40">
        <f t="shared" si="12"/>
        <v>0</v>
      </c>
      <c r="N42" s="40">
        <f t="shared" si="12"/>
        <v>35.372712960000008</v>
      </c>
      <c r="O42" s="40">
        <f t="shared" si="12"/>
        <v>9.5234227200000028</v>
      </c>
      <c r="P42" s="40">
        <f t="shared" si="12"/>
        <v>0</v>
      </c>
      <c r="Q42" s="40">
        <f t="shared" si="12"/>
        <v>0</v>
      </c>
      <c r="R42" s="41">
        <f t="shared" si="8"/>
        <v>560.52145152000014</v>
      </c>
      <c r="S42" s="42">
        <f>RANK(Z42,$Z$39:$Z$62)+COUNTIF($Z$39:$Z42,Z42)-1</f>
        <v>7</v>
      </c>
      <c r="T42" s="43">
        <f>SUM(B42:E42)-IF(Choice!$A$9,0,'Step 2_Volumes'!B42+'Step 2_Volumes'!E42)-IF(Choice!$A$10,0,'Step 2_Volumes'!D42)</f>
        <v>316.99392768000007</v>
      </c>
      <c r="U42" s="43">
        <f>SUM(F42:I42)-IF(Choice!$B$9,0,'Step 2_Volumes'!F42+'Step 2_Volumes'!I42)-IF(Choice!$B$10,0,'Step 2_Volumes'!H42)</f>
        <v>40.814668800000007</v>
      </c>
      <c r="V42" s="43">
        <f>SUM(J42:M42)-IF(Choice!$C$9,0,'Step 2_Volumes'!J42+'Step 2_Volumes'!M42)-IF(Choice!$C$10,0,'Step 2_Volumes'!L42)</f>
        <v>142.85134080000003</v>
      </c>
      <c r="W42" s="43">
        <f>SUM(N42:Q42)-IF(Choice!$D$9,0,'Step 2_Volumes'!N42+'Step 2_Volumes'!Q42)-IF(Choice!$D$10,0,'Step 2_Volumes'!P42)</f>
        <v>9.5234227200000063</v>
      </c>
      <c r="X42" s="40">
        <f t="shared" ref="X42:X50" si="13">SUM(T42:U42)</f>
        <v>357.80859648000006</v>
      </c>
      <c r="Y42" s="40">
        <f t="shared" si="9"/>
        <v>142.85134080000003</v>
      </c>
      <c r="Z42" s="44">
        <f t="shared" si="10"/>
        <v>500.65993728000012</v>
      </c>
    </row>
    <row r="43" spans="1:26" x14ac:dyDescent="0.25">
      <c r="A43" s="39" t="s">
        <v>98</v>
      </c>
      <c r="B43" s="40">
        <f t="shared" si="5"/>
        <v>0</v>
      </c>
      <c r="C43" s="40">
        <f t="shared" ref="C43:Q43" si="14">C10*$K$32</f>
        <v>137.40938496000004</v>
      </c>
      <c r="D43" s="40">
        <f t="shared" si="14"/>
        <v>138.76987392000004</v>
      </c>
      <c r="E43" s="40">
        <f t="shared" si="14"/>
        <v>0</v>
      </c>
      <c r="F43" s="40">
        <f t="shared" si="14"/>
        <v>10.883911680000002</v>
      </c>
      <c r="G43" s="40">
        <f t="shared" si="14"/>
        <v>19.046845440000006</v>
      </c>
      <c r="H43" s="40">
        <f t="shared" si="14"/>
        <v>1.3604889600000003</v>
      </c>
      <c r="I43" s="40">
        <f t="shared" si="14"/>
        <v>0</v>
      </c>
      <c r="J43" s="40">
        <f t="shared" si="14"/>
        <v>0</v>
      </c>
      <c r="K43" s="40">
        <f t="shared" si="14"/>
        <v>140.13036288000004</v>
      </c>
      <c r="L43" s="40">
        <f t="shared" si="14"/>
        <v>14.965378560000003</v>
      </c>
      <c r="M43" s="40">
        <f t="shared" si="14"/>
        <v>0</v>
      </c>
      <c r="N43" s="40">
        <f t="shared" si="14"/>
        <v>32.651735040000005</v>
      </c>
      <c r="O43" s="40">
        <f t="shared" si="14"/>
        <v>6.8024448000000017</v>
      </c>
      <c r="P43" s="40">
        <f t="shared" si="14"/>
        <v>1.3604889600000003</v>
      </c>
      <c r="Q43" s="40">
        <f t="shared" si="14"/>
        <v>0</v>
      </c>
      <c r="R43" s="41">
        <f t="shared" si="8"/>
        <v>503.38091520000006</v>
      </c>
      <c r="S43" s="42">
        <f>RANK(Z43,$Z$39:$Z$62)+COUNTIF($Z$39:$Z43,Z43)-1</f>
        <v>9</v>
      </c>
      <c r="T43" s="43">
        <f>SUM(B43:E43)-IF(Choice!$A$9,0,'Step 2_Volumes'!B43+'Step 2_Volumes'!E43)-IF(Choice!$A$10,0,'Step 2_Volumes'!D43)</f>
        <v>276.17925888000008</v>
      </c>
      <c r="U43" s="43">
        <f>SUM(F43:I43)-IF(Choice!$B$9,0,'Step 2_Volumes'!F43+'Step 2_Volumes'!I43)-IF(Choice!$B$10,0,'Step 2_Volumes'!H43)</f>
        <v>29.93075712000001</v>
      </c>
      <c r="V43" s="43">
        <f>SUM(J43:M43)-IF(Choice!$C$9,0,'Step 2_Volumes'!J43+'Step 2_Volumes'!M43)-IF(Choice!$C$10,0,'Step 2_Volumes'!L43)</f>
        <v>140.13036288000004</v>
      </c>
      <c r="W43" s="43">
        <f>SUM(N43:Q43)-IF(Choice!$D$9,0,'Step 2_Volumes'!N43+'Step 2_Volumes'!Q43)-IF(Choice!$D$10,0,'Step 2_Volumes'!P43)</f>
        <v>6.8024448000000008</v>
      </c>
      <c r="X43" s="40">
        <f t="shared" si="13"/>
        <v>306.11001600000009</v>
      </c>
      <c r="Y43" s="40">
        <f t="shared" si="9"/>
        <v>140.13036288000004</v>
      </c>
      <c r="Z43" s="44">
        <f t="shared" si="10"/>
        <v>446.24037888000009</v>
      </c>
    </row>
    <row r="44" spans="1:26" x14ac:dyDescent="0.25">
      <c r="A44" s="39" t="s">
        <v>99</v>
      </c>
      <c r="B44" s="40">
        <f t="shared" si="5"/>
        <v>0</v>
      </c>
      <c r="C44" s="40">
        <f t="shared" ref="C44:Q44" si="15">C11*$K$32</f>
        <v>137.40938496000004</v>
      </c>
      <c r="D44" s="40">
        <f t="shared" si="15"/>
        <v>115.64156160000003</v>
      </c>
      <c r="E44" s="40">
        <f t="shared" si="15"/>
        <v>0</v>
      </c>
      <c r="F44" s="40">
        <f t="shared" si="15"/>
        <v>9.5234227200000028</v>
      </c>
      <c r="G44" s="40">
        <f t="shared" si="15"/>
        <v>19.046845440000006</v>
      </c>
      <c r="H44" s="40">
        <f t="shared" si="15"/>
        <v>0</v>
      </c>
      <c r="I44" s="40">
        <f t="shared" si="15"/>
        <v>0</v>
      </c>
      <c r="J44" s="40">
        <f t="shared" si="15"/>
        <v>0</v>
      </c>
      <c r="K44" s="40">
        <f t="shared" si="15"/>
        <v>141.49085184000003</v>
      </c>
      <c r="L44" s="40">
        <f t="shared" si="15"/>
        <v>8.1629337600000014</v>
      </c>
      <c r="M44" s="40">
        <f t="shared" si="15"/>
        <v>0</v>
      </c>
      <c r="N44" s="40">
        <f t="shared" si="15"/>
        <v>40.814668800000007</v>
      </c>
      <c r="O44" s="40">
        <f t="shared" si="15"/>
        <v>16.325867520000003</v>
      </c>
      <c r="P44" s="40">
        <f t="shared" si="15"/>
        <v>1.3604889600000003</v>
      </c>
      <c r="Q44" s="40">
        <f t="shared" si="15"/>
        <v>0</v>
      </c>
      <c r="R44" s="41">
        <f t="shared" si="8"/>
        <v>489.77602560000014</v>
      </c>
      <c r="S44" s="42">
        <f>RANK(Z44,$Z$39:$Z$62)+COUNTIF($Z$39:$Z44,Z44)-1</f>
        <v>12</v>
      </c>
      <c r="T44" s="43">
        <f>SUM(B44:E44)-IF(Choice!$A$9,0,'Step 2_Volumes'!B44+'Step 2_Volumes'!E44)-IF(Choice!$A$10,0,'Step 2_Volumes'!D44)</f>
        <v>253.05094656000006</v>
      </c>
      <c r="U44" s="43">
        <f>SUM(F44:I44)-IF(Choice!$B$9,0,'Step 2_Volumes'!F44+'Step 2_Volumes'!I44)-IF(Choice!$B$10,0,'Step 2_Volumes'!H44)</f>
        <v>28.570268160000008</v>
      </c>
      <c r="V44" s="43">
        <f>SUM(J44:M44)-IF(Choice!$C$9,0,'Step 2_Volumes'!J44+'Step 2_Volumes'!M44)-IF(Choice!$C$10,0,'Step 2_Volumes'!L44)</f>
        <v>141.49085184000006</v>
      </c>
      <c r="W44" s="43">
        <f>SUM(N44:Q44)-IF(Choice!$D$9,0,'Step 2_Volumes'!N44+'Step 2_Volumes'!Q44)-IF(Choice!$D$10,0,'Step 2_Volumes'!P44)</f>
        <v>16.325867519999999</v>
      </c>
      <c r="X44" s="40">
        <f t="shared" si="13"/>
        <v>281.62121472000007</v>
      </c>
      <c r="Y44" s="40">
        <f t="shared" si="9"/>
        <v>141.49085184000006</v>
      </c>
      <c r="Z44" s="44">
        <f t="shared" si="10"/>
        <v>423.11206656000013</v>
      </c>
    </row>
    <row r="45" spans="1:26" x14ac:dyDescent="0.25">
      <c r="A45" s="39" t="s">
        <v>100</v>
      </c>
      <c r="B45" s="40">
        <f t="shared" si="5"/>
        <v>0</v>
      </c>
      <c r="C45" s="40">
        <f t="shared" ref="C45:Q45" si="16">C12*$K$32</f>
        <v>153.73525248000004</v>
      </c>
      <c r="D45" s="40">
        <f t="shared" si="16"/>
        <v>119.72302848000002</v>
      </c>
      <c r="E45" s="40">
        <f t="shared" si="16"/>
        <v>0</v>
      </c>
      <c r="F45" s="40">
        <f t="shared" si="16"/>
        <v>14.965378560000003</v>
      </c>
      <c r="G45" s="40">
        <f t="shared" si="16"/>
        <v>12.244400640000002</v>
      </c>
      <c r="H45" s="40">
        <f t="shared" si="16"/>
        <v>0</v>
      </c>
      <c r="I45" s="40">
        <f t="shared" si="16"/>
        <v>0</v>
      </c>
      <c r="J45" s="40">
        <f t="shared" si="16"/>
        <v>0</v>
      </c>
      <c r="K45" s="40">
        <f t="shared" si="16"/>
        <v>142.85134080000003</v>
      </c>
      <c r="L45" s="40">
        <f t="shared" si="16"/>
        <v>25.849290240000006</v>
      </c>
      <c r="M45" s="40">
        <f t="shared" si="16"/>
        <v>0</v>
      </c>
      <c r="N45" s="40">
        <f t="shared" si="16"/>
        <v>40.814668800000007</v>
      </c>
      <c r="O45" s="40">
        <f t="shared" si="16"/>
        <v>13.604889600000003</v>
      </c>
      <c r="P45" s="40">
        <f t="shared" si="16"/>
        <v>1.3604889600000003</v>
      </c>
      <c r="Q45" s="40">
        <f t="shared" si="16"/>
        <v>0</v>
      </c>
      <c r="R45" s="41">
        <f t="shared" si="8"/>
        <v>525.14873856000008</v>
      </c>
      <c r="S45" s="42">
        <f>RANK(Z45,$Z$39:$Z$62)+COUNTIF($Z$39:$Z45,Z45)-1</f>
        <v>10</v>
      </c>
      <c r="T45" s="43">
        <f>SUM(B45:E45)-IF(Choice!$A$9,0,'Step 2_Volumes'!B45+'Step 2_Volumes'!E45)-IF(Choice!$A$10,0,'Step 2_Volumes'!D45)</f>
        <v>273.45828096000008</v>
      </c>
      <c r="U45" s="43">
        <f>SUM(F45:I45)-IF(Choice!$B$9,0,'Step 2_Volumes'!F45+'Step 2_Volumes'!I45)-IF(Choice!$B$10,0,'Step 2_Volumes'!H45)</f>
        <v>27.209779200000007</v>
      </c>
      <c r="V45" s="43">
        <f>SUM(J45:M45)-IF(Choice!$C$9,0,'Step 2_Volumes'!J45+'Step 2_Volumes'!M45)-IF(Choice!$C$10,0,'Step 2_Volumes'!L45)</f>
        <v>142.85134080000003</v>
      </c>
      <c r="W45" s="43">
        <f>SUM(N45:Q45)-IF(Choice!$D$9,0,'Step 2_Volumes'!N45+'Step 2_Volumes'!Q45)-IF(Choice!$D$10,0,'Step 2_Volumes'!P45)</f>
        <v>13.604889600000005</v>
      </c>
      <c r="X45" s="40">
        <f t="shared" si="13"/>
        <v>300.6680601600001</v>
      </c>
      <c r="Y45" s="40">
        <f t="shared" si="9"/>
        <v>142.85134080000003</v>
      </c>
      <c r="Z45" s="44">
        <f t="shared" si="10"/>
        <v>443.5194009600001</v>
      </c>
    </row>
    <row r="46" spans="1:26" x14ac:dyDescent="0.25">
      <c r="A46" s="39" t="s">
        <v>101</v>
      </c>
      <c r="B46" s="40">
        <f t="shared" si="5"/>
        <v>0</v>
      </c>
      <c r="C46" s="40">
        <f t="shared" ref="C46:Q46" si="17">C13*$K$32</f>
        <v>142.85134080000003</v>
      </c>
      <c r="D46" s="40">
        <f t="shared" si="17"/>
        <v>104.75764992000002</v>
      </c>
      <c r="E46" s="40">
        <f t="shared" si="17"/>
        <v>0</v>
      </c>
      <c r="F46" s="40">
        <f t="shared" si="17"/>
        <v>10.883911680000002</v>
      </c>
      <c r="G46" s="40">
        <f t="shared" si="17"/>
        <v>19.046845440000006</v>
      </c>
      <c r="H46" s="40">
        <f t="shared" si="17"/>
        <v>1.3604889600000003</v>
      </c>
      <c r="I46" s="40">
        <f t="shared" si="17"/>
        <v>0</v>
      </c>
      <c r="J46" s="40">
        <f t="shared" si="17"/>
        <v>0</v>
      </c>
      <c r="K46" s="40">
        <f t="shared" si="17"/>
        <v>151.01427456000005</v>
      </c>
      <c r="L46" s="40">
        <f t="shared" si="17"/>
        <v>54.419558400000014</v>
      </c>
      <c r="M46" s="40">
        <f t="shared" si="17"/>
        <v>0</v>
      </c>
      <c r="N46" s="40">
        <f t="shared" si="17"/>
        <v>54.419558400000014</v>
      </c>
      <c r="O46" s="40">
        <f t="shared" si="17"/>
        <v>27.209779200000007</v>
      </c>
      <c r="P46" s="40">
        <f t="shared" si="17"/>
        <v>0</v>
      </c>
      <c r="Q46" s="40">
        <f t="shared" si="17"/>
        <v>0</v>
      </c>
      <c r="R46" s="41">
        <f t="shared" si="8"/>
        <v>565.96340736000013</v>
      </c>
      <c r="S46" s="42">
        <f>RANK(Z46,$Z$39:$Z$62)+COUNTIF($Z$39:$Z46,Z46)-1</f>
        <v>11</v>
      </c>
      <c r="T46" s="43">
        <f>SUM(B46:E46)-IF(Choice!$A$9,0,'Step 2_Volumes'!B46+'Step 2_Volumes'!E46)-IF(Choice!$A$10,0,'Step 2_Volumes'!D46)</f>
        <v>247.60899072000007</v>
      </c>
      <c r="U46" s="43">
        <f>SUM(F46:I46)-IF(Choice!$B$9,0,'Step 2_Volumes'!F46+'Step 2_Volumes'!I46)-IF(Choice!$B$10,0,'Step 2_Volumes'!H46)</f>
        <v>29.93075712000001</v>
      </c>
      <c r="V46" s="43">
        <f>SUM(J46:M46)-IF(Choice!$C$9,0,'Step 2_Volumes'!J46+'Step 2_Volumes'!M46)-IF(Choice!$C$10,0,'Step 2_Volumes'!L46)</f>
        <v>151.01427456000005</v>
      </c>
      <c r="W46" s="43">
        <f>SUM(N46:Q46)-IF(Choice!$D$9,0,'Step 2_Volumes'!N46+'Step 2_Volumes'!Q46)-IF(Choice!$D$10,0,'Step 2_Volumes'!P46)</f>
        <v>27.2097792</v>
      </c>
      <c r="X46" s="40">
        <f t="shared" si="13"/>
        <v>277.53974784000008</v>
      </c>
      <c r="Y46" s="40">
        <f t="shared" si="9"/>
        <v>151.01427456000005</v>
      </c>
      <c r="Z46" s="44">
        <f>SUM(X46:Y46)</f>
        <v>428.55402240000012</v>
      </c>
    </row>
    <row r="47" spans="1:26" x14ac:dyDescent="0.25">
      <c r="A47" s="39" t="s">
        <v>102</v>
      </c>
      <c r="B47" s="40">
        <f t="shared" si="5"/>
        <v>1.3604889600000003</v>
      </c>
      <c r="C47" s="40">
        <f t="shared" ref="C47:Q47" si="18">C14*$K$32</f>
        <v>210.87578880000004</v>
      </c>
      <c r="D47" s="40">
        <f t="shared" si="18"/>
        <v>106.11813888000002</v>
      </c>
      <c r="E47" s="40">
        <f t="shared" si="18"/>
        <v>0</v>
      </c>
      <c r="F47" s="40">
        <f t="shared" si="18"/>
        <v>102.03667200000002</v>
      </c>
      <c r="G47" s="40">
        <f t="shared" si="18"/>
        <v>84.350315520000024</v>
      </c>
      <c r="H47" s="40">
        <f t="shared" si="18"/>
        <v>4.0814668800000007</v>
      </c>
      <c r="I47" s="40">
        <f t="shared" si="18"/>
        <v>0</v>
      </c>
      <c r="J47" s="40">
        <f t="shared" si="18"/>
        <v>0</v>
      </c>
      <c r="K47" s="40">
        <f t="shared" si="18"/>
        <v>197.27089920000003</v>
      </c>
      <c r="L47" s="40">
        <f t="shared" si="18"/>
        <v>202.71285504000005</v>
      </c>
      <c r="M47" s="40">
        <f t="shared" si="18"/>
        <v>0</v>
      </c>
      <c r="N47" s="40">
        <f t="shared" si="18"/>
        <v>66.663959040000009</v>
      </c>
      <c r="O47" s="40">
        <f t="shared" si="18"/>
        <v>53.059069440000009</v>
      </c>
      <c r="P47" s="40">
        <f t="shared" si="18"/>
        <v>0</v>
      </c>
      <c r="Q47" s="40">
        <f t="shared" si="18"/>
        <v>0</v>
      </c>
      <c r="R47" s="41">
        <f t="shared" si="8"/>
        <v>1028.5296537600002</v>
      </c>
      <c r="S47" s="42">
        <f>RANK(Z47,$Z$39:$Z$62)+COUNTIF($Z$39:$Z47,Z47)-1</f>
        <v>4</v>
      </c>
      <c r="T47" s="43">
        <f>SUM(B47:E47)-IF(Choice!$A$9,0,'Step 2_Volumes'!B47+'Step 2_Volumes'!E47)-IF(Choice!$A$10,0,'Step 2_Volumes'!D47)</f>
        <v>316.99392768000007</v>
      </c>
      <c r="U47" s="43">
        <f>SUM(F47:I47)-IF(Choice!$B$9,0,'Step 2_Volumes'!F47+'Step 2_Volumes'!I47)-IF(Choice!$B$10,0,'Step 2_Volumes'!H47)</f>
        <v>186.38698752000005</v>
      </c>
      <c r="V47" s="43">
        <f>SUM(J47:M47)-IF(Choice!$C$9,0,'Step 2_Volumes'!J47+'Step 2_Volumes'!M47)-IF(Choice!$C$10,0,'Step 2_Volumes'!L47)</f>
        <v>197.2708992</v>
      </c>
      <c r="W47" s="43">
        <f>SUM(N47:Q47)-IF(Choice!$D$9,0,'Step 2_Volumes'!N47+'Step 2_Volumes'!Q47)-IF(Choice!$D$10,0,'Step 2_Volumes'!P47)</f>
        <v>53.059069440000002</v>
      </c>
      <c r="X47" s="40">
        <f t="shared" si="13"/>
        <v>503.38091520000012</v>
      </c>
      <c r="Y47" s="40">
        <f t="shared" si="9"/>
        <v>197.2708992</v>
      </c>
      <c r="Z47" s="44">
        <f t="shared" si="10"/>
        <v>700.65181440000015</v>
      </c>
    </row>
    <row r="48" spans="1:26" x14ac:dyDescent="0.25">
      <c r="A48" s="39" t="s">
        <v>103</v>
      </c>
      <c r="B48" s="40">
        <f t="shared" si="5"/>
        <v>1.3604889600000003</v>
      </c>
      <c r="C48" s="40">
        <f t="shared" ref="C48:Q48" si="19">C15*$K$32</f>
        <v>258.49290240000005</v>
      </c>
      <c r="D48" s="40">
        <f t="shared" si="19"/>
        <v>117.00205056000003</v>
      </c>
      <c r="E48" s="40">
        <f t="shared" si="19"/>
        <v>0</v>
      </c>
      <c r="F48" s="40">
        <f t="shared" si="19"/>
        <v>63.942981120000013</v>
      </c>
      <c r="G48" s="40">
        <f t="shared" si="19"/>
        <v>92.513249280000025</v>
      </c>
      <c r="H48" s="40">
        <f t="shared" si="19"/>
        <v>1.3604889600000003</v>
      </c>
      <c r="I48" s="40">
        <f t="shared" si="19"/>
        <v>0</v>
      </c>
      <c r="J48" s="40">
        <f t="shared" si="19"/>
        <v>4.0814668800000007</v>
      </c>
      <c r="K48" s="40">
        <f t="shared" si="19"/>
        <v>185.02649856000005</v>
      </c>
      <c r="L48" s="40">
        <f t="shared" si="19"/>
        <v>48.977602560000008</v>
      </c>
      <c r="M48" s="40">
        <f t="shared" si="19"/>
        <v>0</v>
      </c>
      <c r="N48" s="40">
        <f t="shared" si="19"/>
        <v>74.82689280000001</v>
      </c>
      <c r="O48" s="40">
        <f t="shared" si="19"/>
        <v>40.814668800000007</v>
      </c>
      <c r="P48" s="40">
        <f t="shared" si="19"/>
        <v>0</v>
      </c>
      <c r="Q48" s="40">
        <f t="shared" si="19"/>
        <v>0</v>
      </c>
      <c r="R48" s="41">
        <f t="shared" si="8"/>
        <v>888.39929088000019</v>
      </c>
      <c r="S48" s="42">
        <f>RANK(Z48,$Z$39:$Z$62)+COUNTIF($Z$39:$Z48,Z48)-1</f>
        <v>3</v>
      </c>
      <c r="T48" s="43">
        <f>SUM(B48:E48)-IF(Choice!$A$9,0,'Step 2_Volumes'!B48+'Step 2_Volumes'!E48)-IF(Choice!$A$10,0,'Step 2_Volumes'!D48)</f>
        <v>375.49495296000009</v>
      </c>
      <c r="U48" s="43">
        <f>SUM(F48:I48)-IF(Choice!$B$9,0,'Step 2_Volumes'!F48+'Step 2_Volumes'!I48)-IF(Choice!$B$10,0,'Step 2_Volumes'!H48)</f>
        <v>156.45623040000004</v>
      </c>
      <c r="V48" s="43">
        <f>SUM(J48:M48)-IF(Choice!$C$9,0,'Step 2_Volumes'!J48+'Step 2_Volumes'!M48)-IF(Choice!$C$10,0,'Step 2_Volumes'!L48)</f>
        <v>185.02649856000005</v>
      </c>
      <c r="W48" s="43">
        <f>SUM(N48:Q48)-IF(Choice!$D$9,0,'Step 2_Volumes'!N48+'Step 2_Volumes'!Q48)-IF(Choice!$D$10,0,'Step 2_Volumes'!P48)</f>
        <v>40.814668800000007</v>
      </c>
      <c r="X48" s="40">
        <f t="shared" si="13"/>
        <v>531.95118336000019</v>
      </c>
      <c r="Y48" s="40">
        <f t="shared" si="9"/>
        <v>185.02649856000005</v>
      </c>
      <c r="Z48" s="44">
        <f t="shared" si="10"/>
        <v>716.97768192000024</v>
      </c>
    </row>
    <row r="49" spans="1:26" x14ac:dyDescent="0.25">
      <c r="A49" s="39" t="s">
        <v>104</v>
      </c>
      <c r="B49" s="40">
        <f t="shared" si="5"/>
        <v>0</v>
      </c>
      <c r="C49" s="40">
        <f t="shared" ref="C49:Q49" si="20">C16*$K$32</f>
        <v>199.99187712000005</v>
      </c>
      <c r="D49" s="40">
        <f t="shared" si="20"/>
        <v>231.28312320000006</v>
      </c>
      <c r="E49" s="40">
        <f t="shared" si="20"/>
        <v>0</v>
      </c>
      <c r="F49" s="40">
        <f t="shared" si="20"/>
        <v>19.046845440000006</v>
      </c>
      <c r="G49" s="40">
        <f t="shared" si="20"/>
        <v>107.47862784000003</v>
      </c>
      <c r="H49" s="40">
        <f t="shared" si="20"/>
        <v>0</v>
      </c>
      <c r="I49" s="40">
        <f t="shared" si="20"/>
        <v>0</v>
      </c>
      <c r="J49" s="40">
        <f t="shared" si="20"/>
        <v>0</v>
      </c>
      <c r="K49" s="40">
        <f t="shared" si="20"/>
        <v>242.16703488000005</v>
      </c>
      <c r="L49" s="40">
        <f t="shared" si="20"/>
        <v>9.5234227200000028</v>
      </c>
      <c r="M49" s="40">
        <f t="shared" si="20"/>
        <v>0</v>
      </c>
      <c r="N49" s="40">
        <f t="shared" si="20"/>
        <v>97.955205120000016</v>
      </c>
      <c r="O49" s="40">
        <f t="shared" si="20"/>
        <v>25.849290240000006</v>
      </c>
      <c r="P49" s="40">
        <f t="shared" si="20"/>
        <v>0</v>
      </c>
      <c r="Q49" s="40">
        <f t="shared" si="20"/>
        <v>0</v>
      </c>
      <c r="R49" s="41">
        <f t="shared" si="8"/>
        <v>933.29542656000024</v>
      </c>
      <c r="S49" s="42">
        <f>RANK(Z49,$Z$39:$Z$62)+COUNTIF($Z$39:$Z49,Z49)-1</f>
        <v>1</v>
      </c>
      <c r="T49" s="43">
        <f>SUM(B49:E49)-IF(Choice!$A$9,0,'Step 2_Volumes'!B49+'Step 2_Volumes'!E49)-IF(Choice!$A$10,0,'Step 2_Volumes'!D49)</f>
        <v>431.27500032000012</v>
      </c>
      <c r="U49" s="43">
        <f>SUM(F49:I49)-IF(Choice!$B$9,0,'Step 2_Volumes'!F49+'Step 2_Volumes'!I49)-IF(Choice!$B$10,0,'Step 2_Volumes'!H49)</f>
        <v>126.52547328000003</v>
      </c>
      <c r="V49" s="43">
        <f>SUM(J49:M49)-IF(Choice!$C$9,0,'Step 2_Volumes'!J49+'Step 2_Volumes'!M49)-IF(Choice!$C$10,0,'Step 2_Volumes'!L49)</f>
        <v>242.16703488000005</v>
      </c>
      <c r="W49" s="43">
        <f>SUM(N49:Q49)-IF(Choice!$D$9,0,'Step 2_Volumes'!N49+'Step 2_Volumes'!Q49)-IF(Choice!$D$10,0,'Step 2_Volumes'!P49)</f>
        <v>25.849290240000002</v>
      </c>
      <c r="X49" s="40">
        <f t="shared" si="13"/>
        <v>557.80047360000015</v>
      </c>
      <c r="Y49" s="40">
        <f t="shared" si="9"/>
        <v>242.16703488000005</v>
      </c>
      <c r="Z49" s="44">
        <f t="shared" si="10"/>
        <v>799.96750848000022</v>
      </c>
    </row>
    <row r="50" spans="1:26" x14ac:dyDescent="0.25">
      <c r="A50" s="39" t="s">
        <v>105</v>
      </c>
      <c r="B50" s="40">
        <f t="shared" si="5"/>
        <v>0</v>
      </c>
      <c r="C50" s="40">
        <f t="shared" ref="C50:Q50" si="21">C17*$K$32</f>
        <v>187.74747648000005</v>
      </c>
      <c r="D50" s="40">
        <f t="shared" si="21"/>
        <v>176.86356480000003</v>
      </c>
      <c r="E50" s="40">
        <f t="shared" si="21"/>
        <v>0</v>
      </c>
      <c r="F50" s="40">
        <f t="shared" si="21"/>
        <v>9.5234227200000028</v>
      </c>
      <c r="G50" s="40">
        <f t="shared" si="21"/>
        <v>65.303470080000011</v>
      </c>
      <c r="H50" s="40">
        <f t="shared" si="21"/>
        <v>0</v>
      </c>
      <c r="I50" s="40">
        <f t="shared" si="21"/>
        <v>0</v>
      </c>
      <c r="J50" s="40">
        <f t="shared" si="21"/>
        <v>0</v>
      </c>
      <c r="K50" s="40">
        <f t="shared" si="21"/>
        <v>293.86561536000005</v>
      </c>
      <c r="L50" s="40">
        <f t="shared" si="21"/>
        <v>19.046845440000006</v>
      </c>
      <c r="M50" s="40">
        <f t="shared" si="21"/>
        <v>0</v>
      </c>
      <c r="N50" s="40">
        <f t="shared" si="21"/>
        <v>87.071293440000019</v>
      </c>
      <c r="O50" s="40">
        <f t="shared" si="21"/>
        <v>19.046845440000006</v>
      </c>
      <c r="P50" s="40">
        <f t="shared" si="21"/>
        <v>0</v>
      </c>
      <c r="Q50" s="40">
        <f t="shared" si="21"/>
        <v>0</v>
      </c>
      <c r="R50" s="41">
        <f t="shared" si="8"/>
        <v>858.46853376000001</v>
      </c>
      <c r="S50" s="42">
        <f>RANK(Z50,$Z$39:$Z$62)+COUNTIF($Z$39:$Z50,Z50)-1</f>
        <v>2</v>
      </c>
      <c r="T50" s="43">
        <f>SUM(B50:E50)-IF(Choice!$A$9,0,'Step 2_Volumes'!B50+'Step 2_Volumes'!E50)-IF(Choice!$A$10,0,'Step 2_Volumes'!D50)</f>
        <v>364.61104128000011</v>
      </c>
      <c r="U50" s="43">
        <f>SUM(F50:I50)-IF(Choice!$B$9,0,'Step 2_Volumes'!F50+'Step 2_Volumes'!I50)-IF(Choice!$B$10,0,'Step 2_Volumes'!H50)</f>
        <v>74.82689280000001</v>
      </c>
      <c r="V50" s="43">
        <f>SUM(J50:M50)-IF(Choice!$C$9,0,'Step 2_Volumes'!J50+'Step 2_Volumes'!M50)-IF(Choice!$C$10,0,'Step 2_Volumes'!L50)</f>
        <v>293.86561536000005</v>
      </c>
      <c r="W50" s="43">
        <f>SUM(N50:Q50)-IF(Choice!$D$9,0,'Step 2_Volumes'!N50+'Step 2_Volumes'!Q50)-IF(Choice!$D$10,0,'Step 2_Volumes'!P50)</f>
        <v>19.046845440000013</v>
      </c>
      <c r="X50" s="40">
        <f t="shared" si="13"/>
        <v>439.4379340800001</v>
      </c>
      <c r="Y50" s="40">
        <f t="shared" si="9"/>
        <v>293.86561536000005</v>
      </c>
      <c r="Z50" s="44">
        <f t="shared" si="10"/>
        <v>733.3035494400001</v>
      </c>
    </row>
    <row r="51" spans="1:26" x14ac:dyDescent="0.25">
      <c r="A51" s="39" t="s">
        <v>106</v>
      </c>
      <c r="B51" s="40">
        <f t="shared" si="5"/>
        <v>0</v>
      </c>
      <c r="C51" s="40">
        <f t="shared" ref="C51:Q51" si="22">C18*$K$32</f>
        <v>0</v>
      </c>
      <c r="D51" s="40">
        <f t="shared" si="22"/>
        <v>0</v>
      </c>
      <c r="E51" s="40">
        <f t="shared" si="22"/>
        <v>0</v>
      </c>
      <c r="F51" s="40">
        <f t="shared" si="22"/>
        <v>0</v>
      </c>
      <c r="G51" s="40">
        <f t="shared" si="22"/>
        <v>0</v>
      </c>
      <c r="H51" s="40">
        <f t="shared" si="22"/>
        <v>0</v>
      </c>
      <c r="I51" s="40">
        <f t="shared" si="22"/>
        <v>0</v>
      </c>
      <c r="J51" s="40">
        <f t="shared" si="22"/>
        <v>0</v>
      </c>
      <c r="K51" s="40">
        <f t="shared" si="22"/>
        <v>0</v>
      </c>
      <c r="L51" s="40">
        <f t="shared" si="22"/>
        <v>0</v>
      </c>
      <c r="M51" s="40">
        <f t="shared" si="22"/>
        <v>0</v>
      </c>
      <c r="N51" s="40">
        <f t="shared" si="22"/>
        <v>0</v>
      </c>
      <c r="O51" s="40">
        <f t="shared" si="22"/>
        <v>0</v>
      </c>
      <c r="P51" s="40">
        <f t="shared" si="22"/>
        <v>0</v>
      </c>
      <c r="Q51" s="40">
        <f t="shared" si="22"/>
        <v>0</v>
      </c>
      <c r="R51" s="41">
        <f t="shared" si="8"/>
        <v>0</v>
      </c>
      <c r="S51" s="42">
        <f>RANK(Z51,$Z$39:$Z$62)+COUNTIF($Z$39:$Z51,Z51)-1</f>
        <v>13</v>
      </c>
      <c r="T51" s="43">
        <f>SUM(B51:E51)-IF(Choice!$A$9,0,'Step 2_Volumes'!B51+'Step 2_Volumes'!E51)-IF(Choice!$A$10,0,'Step 2_Volumes'!D51)</f>
        <v>0</v>
      </c>
      <c r="U51" s="43">
        <f>SUM(F51:I51)-IF(Choice!$B$9,0,'Step 2_Volumes'!F51+'Step 2_Volumes'!I51)-IF(Choice!$B$10,0,'Step 2_Volumes'!H51)</f>
        <v>0</v>
      </c>
      <c r="V51" s="43">
        <f>SUM(J51:M51)-IF(Choice!$C$9,0,'Step 2_Volumes'!J51+'Step 2_Volumes'!M51)-IF(Choice!$C$10,0,'Step 2_Volumes'!L51)</f>
        <v>0</v>
      </c>
      <c r="W51" s="43">
        <f>SUM(N51:Q51)-IF(Choice!$D$9,0,'Step 2_Volumes'!N51+'Step 2_Volumes'!Q51)-IF(Choice!$D$10,0,'Step 2_Volumes'!P51)</f>
        <v>0</v>
      </c>
      <c r="X51" s="40">
        <f t="shared" ref="X51:X62" si="23">SUM(T51:U51)</f>
        <v>0</v>
      </c>
      <c r="Y51" s="40">
        <f t="shared" ref="Y51:Y62" si="24">IF(V51&gt;W51,V51,W51)</f>
        <v>0</v>
      </c>
      <c r="Z51" s="44">
        <f>SUM(X51:Y51)</f>
        <v>0</v>
      </c>
    </row>
    <row r="52" spans="1:26" x14ac:dyDescent="0.25">
      <c r="A52" s="39" t="s">
        <v>107</v>
      </c>
      <c r="B52" s="40">
        <f t="shared" si="5"/>
        <v>0</v>
      </c>
      <c r="C52" s="40">
        <f t="shared" ref="C52:Q52" si="25">C19*$K$32</f>
        <v>0</v>
      </c>
      <c r="D52" s="40">
        <f t="shared" si="25"/>
        <v>0</v>
      </c>
      <c r="E52" s="40">
        <f t="shared" si="25"/>
        <v>0</v>
      </c>
      <c r="F52" s="40">
        <f t="shared" si="25"/>
        <v>0</v>
      </c>
      <c r="G52" s="40">
        <f t="shared" si="25"/>
        <v>0</v>
      </c>
      <c r="H52" s="40">
        <f t="shared" si="25"/>
        <v>0</v>
      </c>
      <c r="I52" s="40">
        <f t="shared" si="25"/>
        <v>0</v>
      </c>
      <c r="J52" s="40">
        <f t="shared" si="25"/>
        <v>0</v>
      </c>
      <c r="K52" s="40">
        <f t="shared" si="25"/>
        <v>0</v>
      </c>
      <c r="L52" s="40">
        <f t="shared" si="25"/>
        <v>0</v>
      </c>
      <c r="M52" s="40">
        <f t="shared" si="25"/>
        <v>0</v>
      </c>
      <c r="N52" s="40">
        <f t="shared" si="25"/>
        <v>0</v>
      </c>
      <c r="O52" s="40">
        <f t="shared" si="25"/>
        <v>0</v>
      </c>
      <c r="P52" s="40">
        <f t="shared" si="25"/>
        <v>0</v>
      </c>
      <c r="Q52" s="40">
        <f t="shared" si="25"/>
        <v>0</v>
      </c>
      <c r="R52" s="41">
        <f t="shared" si="8"/>
        <v>0</v>
      </c>
      <c r="S52" s="42">
        <f>RANK(Z52,$Z$39:$Z$62)+COUNTIF($Z$39:$Z52,Z52)-1</f>
        <v>14</v>
      </c>
      <c r="T52" s="43">
        <f>SUM(B52:E52)-IF(Choice!$A$9,0,'Step 2_Volumes'!B52+'Step 2_Volumes'!E52)-IF(Choice!$A$10,0,'Step 2_Volumes'!D52)</f>
        <v>0</v>
      </c>
      <c r="U52" s="43">
        <f>SUM(F52:I52)-IF(Choice!$B$9,0,'Step 2_Volumes'!F52+'Step 2_Volumes'!I52)-IF(Choice!$B$10,0,'Step 2_Volumes'!H52)</f>
        <v>0</v>
      </c>
      <c r="V52" s="43">
        <f>SUM(J52:M52)-IF(Choice!$C$9,0,'Step 2_Volumes'!J52+'Step 2_Volumes'!M52)-IF(Choice!$C$10,0,'Step 2_Volumes'!L52)</f>
        <v>0</v>
      </c>
      <c r="W52" s="43">
        <f>SUM(N52:Q52)-IF(Choice!$D$9,0,'Step 2_Volumes'!N52+'Step 2_Volumes'!Q52)-IF(Choice!$D$10,0,'Step 2_Volumes'!P52)</f>
        <v>0</v>
      </c>
      <c r="X52" s="40">
        <f t="shared" si="23"/>
        <v>0</v>
      </c>
      <c r="Y52" s="40">
        <f t="shared" si="24"/>
        <v>0</v>
      </c>
      <c r="Z52" s="44">
        <f t="shared" ref="Z52:Z57" si="26">SUM(X52:Y52)</f>
        <v>0</v>
      </c>
    </row>
    <row r="53" spans="1:26" x14ac:dyDescent="0.25">
      <c r="A53" s="39" t="s">
        <v>108</v>
      </c>
      <c r="B53" s="40">
        <f t="shared" si="5"/>
        <v>0</v>
      </c>
      <c r="C53" s="40">
        <f t="shared" ref="C53:Q53" si="27">C20*$K$32</f>
        <v>0</v>
      </c>
      <c r="D53" s="40">
        <f t="shared" si="27"/>
        <v>0</v>
      </c>
      <c r="E53" s="40">
        <f t="shared" si="27"/>
        <v>0</v>
      </c>
      <c r="F53" s="40">
        <f t="shared" si="27"/>
        <v>0</v>
      </c>
      <c r="G53" s="40">
        <f t="shared" si="27"/>
        <v>0</v>
      </c>
      <c r="H53" s="40">
        <f t="shared" si="27"/>
        <v>0</v>
      </c>
      <c r="I53" s="40">
        <f t="shared" si="27"/>
        <v>0</v>
      </c>
      <c r="J53" s="40">
        <f t="shared" si="27"/>
        <v>0</v>
      </c>
      <c r="K53" s="40">
        <f t="shared" si="27"/>
        <v>0</v>
      </c>
      <c r="L53" s="40">
        <f t="shared" si="27"/>
        <v>0</v>
      </c>
      <c r="M53" s="40">
        <f t="shared" si="27"/>
        <v>0</v>
      </c>
      <c r="N53" s="40">
        <f t="shared" si="27"/>
        <v>0</v>
      </c>
      <c r="O53" s="40">
        <f t="shared" si="27"/>
        <v>0</v>
      </c>
      <c r="P53" s="40">
        <f t="shared" si="27"/>
        <v>0</v>
      </c>
      <c r="Q53" s="40">
        <f t="shared" si="27"/>
        <v>0</v>
      </c>
      <c r="R53" s="41">
        <f t="shared" si="8"/>
        <v>0</v>
      </c>
      <c r="S53" s="42">
        <f>RANK(Z53,$Z$39:$Z$62)+COUNTIF($Z$39:$Z53,Z53)-1</f>
        <v>15</v>
      </c>
      <c r="T53" s="43">
        <f>SUM(B53:E53)-IF(Choice!$A$9,0,'Step 2_Volumes'!B53+'Step 2_Volumes'!E53)-IF(Choice!$A$10,0,'Step 2_Volumes'!D53)</f>
        <v>0</v>
      </c>
      <c r="U53" s="43">
        <f>SUM(F53:I53)-IF(Choice!$B$9,0,'Step 2_Volumes'!F53+'Step 2_Volumes'!I53)-IF(Choice!$B$10,0,'Step 2_Volumes'!H53)</f>
        <v>0</v>
      </c>
      <c r="V53" s="43">
        <f>SUM(J53:M53)-IF(Choice!$C$9,0,'Step 2_Volumes'!J53+'Step 2_Volumes'!M53)-IF(Choice!$C$10,0,'Step 2_Volumes'!L53)</f>
        <v>0</v>
      </c>
      <c r="W53" s="43">
        <f>SUM(N53:Q53)-IF(Choice!$D$9,0,'Step 2_Volumes'!N53+'Step 2_Volumes'!Q53)-IF(Choice!$D$10,0,'Step 2_Volumes'!P53)</f>
        <v>0</v>
      </c>
      <c r="X53" s="40">
        <f t="shared" si="23"/>
        <v>0</v>
      </c>
      <c r="Y53" s="40">
        <f t="shared" si="24"/>
        <v>0</v>
      </c>
      <c r="Z53" s="44">
        <f t="shared" si="26"/>
        <v>0</v>
      </c>
    </row>
    <row r="54" spans="1:26" x14ac:dyDescent="0.25">
      <c r="A54" s="39" t="s">
        <v>109</v>
      </c>
      <c r="B54" s="40">
        <f t="shared" si="5"/>
        <v>0</v>
      </c>
      <c r="C54" s="40">
        <f t="shared" ref="C54:Q54" si="28">C21*$K$32</f>
        <v>0</v>
      </c>
      <c r="D54" s="40">
        <f t="shared" si="28"/>
        <v>0</v>
      </c>
      <c r="E54" s="40">
        <f t="shared" si="28"/>
        <v>0</v>
      </c>
      <c r="F54" s="40">
        <f t="shared" si="28"/>
        <v>0</v>
      </c>
      <c r="G54" s="40">
        <f t="shared" si="28"/>
        <v>0</v>
      </c>
      <c r="H54" s="40">
        <f t="shared" si="28"/>
        <v>0</v>
      </c>
      <c r="I54" s="40">
        <f t="shared" si="28"/>
        <v>0</v>
      </c>
      <c r="J54" s="40">
        <f t="shared" si="28"/>
        <v>0</v>
      </c>
      <c r="K54" s="40">
        <f t="shared" si="28"/>
        <v>0</v>
      </c>
      <c r="L54" s="40">
        <f t="shared" si="28"/>
        <v>0</v>
      </c>
      <c r="M54" s="40">
        <f t="shared" si="28"/>
        <v>0</v>
      </c>
      <c r="N54" s="40">
        <f t="shared" si="28"/>
        <v>0</v>
      </c>
      <c r="O54" s="40">
        <f t="shared" si="28"/>
        <v>0</v>
      </c>
      <c r="P54" s="40">
        <f t="shared" si="28"/>
        <v>0</v>
      </c>
      <c r="Q54" s="40">
        <f t="shared" si="28"/>
        <v>0</v>
      </c>
      <c r="R54" s="41">
        <f t="shared" si="8"/>
        <v>0</v>
      </c>
      <c r="S54" s="42">
        <f>RANK(Z54,$Z$39:$Z$62)+COUNTIF($Z$39:$Z54,Z54)-1</f>
        <v>16</v>
      </c>
      <c r="T54" s="43">
        <f>SUM(B54:E54)-IF(Choice!$A$9,0,'Step 2_Volumes'!B54+'Step 2_Volumes'!E54)-IF(Choice!$A$10,0,'Step 2_Volumes'!D54)</f>
        <v>0</v>
      </c>
      <c r="U54" s="43">
        <f>SUM(F54:I54)-IF(Choice!$B$9,0,'Step 2_Volumes'!F54+'Step 2_Volumes'!I54)-IF(Choice!$B$10,0,'Step 2_Volumes'!H54)</f>
        <v>0</v>
      </c>
      <c r="V54" s="43">
        <f>SUM(J54:M54)-IF(Choice!$C$9,0,'Step 2_Volumes'!J54+'Step 2_Volumes'!M54)-IF(Choice!$C$10,0,'Step 2_Volumes'!L54)</f>
        <v>0</v>
      </c>
      <c r="W54" s="43">
        <f>SUM(N54:Q54)-IF(Choice!$D$9,0,'Step 2_Volumes'!N54+'Step 2_Volumes'!Q54)-IF(Choice!$D$10,0,'Step 2_Volumes'!P54)</f>
        <v>0</v>
      </c>
      <c r="X54" s="40">
        <f t="shared" si="23"/>
        <v>0</v>
      </c>
      <c r="Y54" s="40">
        <f t="shared" si="24"/>
        <v>0</v>
      </c>
      <c r="Z54" s="44">
        <f t="shared" si="26"/>
        <v>0</v>
      </c>
    </row>
    <row r="55" spans="1:26" x14ac:dyDescent="0.25">
      <c r="A55" s="39" t="s">
        <v>110</v>
      </c>
      <c r="B55" s="40">
        <f t="shared" si="5"/>
        <v>0</v>
      </c>
      <c r="C55" s="40">
        <f t="shared" ref="C55:Q55" si="29">C22*$K$32</f>
        <v>0</v>
      </c>
      <c r="D55" s="40">
        <f t="shared" si="29"/>
        <v>0</v>
      </c>
      <c r="E55" s="40">
        <f t="shared" si="29"/>
        <v>0</v>
      </c>
      <c r="F55" s="40">
        <f t="shared" si="29"/>
        <v>0</v>
      </c>
      <c r="G55" s="40">
        <f t="shared" si="29"/>
        <v>0</v>
      </c>
      <c r="H55" s="40">
        <f t="shared" si="29"/>
        <v>0</v>
      </c>
      <c r="I55" s="40">
        <f t="shared" si="29"/>
        <v>0</v>
      </c>
      <c r="J55" s="40">
        <f t="shared" si="29"/>
        <v>0</v>
      </c>
      <c r="K55" s="40">
        <f t="shared" si="29"/>
        <v>0</v>
      </c>
      <c r="L55" s="40">
        <f t="shared" si="29"/>
        <v>0</v>
      </c>
      <c r="M55" s="40">
        <f t="shared" si="29"/>
        <v>0</v>
      </c>
      <c r="N55" s="40">
        <f t="shared" si="29"/>
        <v>0</v>
      </c>
      <c r="O55" s="40">
        <f t="shared" si="29"/>
        <v>0</v>
      </c>
      <c r="P55" s="40">
        <f t="shared" si="29"/>
        <v>0</v>
      </c>
      <c r="Q55" s="40">
        <f t="shared" si="29"/>
        <v>0</v>
      </c>
      <c r="R55" s="41">
        <f t="shared" si="8"/>
        <v>0</v>
      </c>
      <c r="S55" s="42">
        <f>RANK(Z55,$Z$39:$Z$62)+COUNTIF($Z$39:$Z55,Z55)-1</f>
        <v>17</v>
      </c>
      <c r="T55" s="43">
        <f>SUM(B55:E55)-IF(Choice!$A$9,0,'Step 2_Volumes'!B55+'Step 2_Volumes'!E55)-IF(Choice!$A$10,0,'Step 2_Volumes'!D55)</f>
        <v>0</v>
      </c>
      <c r="U55" s="43">
        <f>SUM(F55:I55)-IF(Choice!$B$9,0,'Step 2_Volumes'!F55+'Step 2_Volumes'!I55)-IF(Choice!$B$10,0,'Step 2_Volumes'!H55)</f>
        <v>0</v>
      </c>
      <c r="V55" s="43">
        <f>SUM(J55:M55)-IF(Choice!$C$9,0,'Step 2_Volumes'!J55+'Step 2_Volumes'!M55)-IF(Choice!$C$10,0,'Step 2_Volumes'!L55)</f>
        <v>0</v>
      </c>
      <c r="W55" s="43">
        <f>SUM(N55:Q55)-IF(Choice!$D$9,0,'Step 2_Volumes'!N55+'Step 2_Volumes'!Q55)-IF(Choice!$D$10,0,'Step 2_Volumes'!P55)</f>
        <v>0</v>
      </c>
      <c r="X55" s="40">
        <f t="shared" si="23"/>
        <v>0</v>
      </c>
      <c r="Y55" s="40">
        <f t="shared" si="24"/>
        <v>0</v>
      </c>
      <c r="Z55" s="44">
        <f t="shared" si="26"/>
        <v>0</v>
      </c>
    </row>
    <row r="56" spans="1:26" x14ac:dyDescent="0.25">
      <c r="A56" s="39" t="s">
        <v>111</v>
      </c>
      <c r="B56" s="40">
        <f t="shared" si="5"/>
        <v>0</v>
      </c>
      <c r="C56" s="40">
        <f t="shared" ref="C56:Q56" si="30">C23*$K$32</f>
        <v>0</v>
      </c>
      <c r="D56" s="40">
        <f t="shared" si="30"/>
        <v>0</v>
      </c>
      <c r="E56" s="40">
        <f t="shared" si="30"/>
        <v>0</v>
      </c>
      <c r="F56" s="40">
        <f t="shared" si="30"/>
        <v>0</v>
      </c>
      <c r="G56" s="40">
        <f t="shared" si="30"/>
        <v>0</v>
      </c>
      <c r="H56" s="40">
        <f t="shared" si="30"/>
        <v>0</v>
      </c>
      <c r="I56" s="40">
        <f t="shared" si="30"/>
        <v>0</v>
      </c>
      <c r="J56" s="40">
        <f t="shared" si="30"/>
        <v>0</v>
      </c>
      <c r="K56" s="40">
        <f t="shared" si="30"/>
        <v>0</v>
      </c>
      <c r="L56" s="40">
        <f t="shared" si="30"/>
        <v>0</v>
      </c>
      <c r="M56" s="40">
        <f t="shared" si="30"/>
        <v>0</v>
      </c>
      <c r="N56" s="40">
        <f t="shared" si="30"/>
        <v>0</v>
      </c>
      <c r="O56" s="40">
        <f t="shared" si="30"/>
        <v>0</v>
      </c>
      <c r="P56" s="40">
        <f t="shared" si="30"/>
        <v>0</v>
      </c>
      <c r="Q56" s="40">
        <f t="shared" si="30"/>
        <v>0</v>
      </c>
      <c r="R56" s="41">
        <f t="shared" si="8"/>
        <v>0</v>
      </c>
      <c r="S56" s="42">
        <f>RANK(Z56,$Z$39:$Z$62)+COUNTIF($Z$39:$Z56,Z56)-1</f>
        <v>18</v>
      </c>
      <c r="T56" s="43">
        <f>SUM(B56:E56)-IF(Choice!$A$9,0,'Step 2_Volumes'!B56+'Step 2_Volumes'!E56)-IF(Choice!$A$10,0,'Step 2_Volumes'!D56)</f>
        <v>0</v>
      </c>
      <c r="U56" s="43">
        <f>SUM(F56:I56)-IF(Choice!$B$9,0,'Step 2_Volumes'!F56+'Step 2_Volumes'!I56)-IF(Choice!$B$10,0,'Step 2_Volumes'!H56)</f>
        <v>0</v>
      </c>
      <c r="V56" s="43">
        <f>SUM(J56:M56)-IF(Choice!$C$9,0,'Step 2_Volumes'!J56+'Step 2_Volumes'!M56)-IF(Choice!$C$10,0,'Step 2_Volumes'!L56)</f>
        <v>0</v>
      </c>
      <c r="W56" s="43">
        <f>SUM(N56:Q56)-IF(Choice!$D$9,0,'Step 2_Volumes'!N56+'Step 2_Volumes'!Q56)-IF(Choice!$D$10,0,'Step 2_Volumes'!P56)</f>
        <v>0</v>
      </c>
      <c r="X56" s="40">
        <f t="shared" si="23"/>
        <v>0</v>
      </c>
      <c r="Y56" s="40">
        <f t="shared" si="24"/>
        <v>0</v>
      </c>
      <c r="Z56" s="44">
        <f t="shared" si="26"/>
        <v>0</v>
      </c>
    </row>
    <row r="57" spans="1:26" x14ac:dyDescent="0.25">
      <c r="A57" s="39" t="s">
        <v>112</v>
      </c>
      <c r="B57" s="40">
        <f t="shared" ref="B57:Q57" si="31">B24*$K$32</f>
        <v>0</v>
      </c>
      <c r="C57" s="40">
        <f t="shared" si="31"/>
        <v>0</v>
      </c>
      <c r="D57" s="40">
        <f t="shared" si="31"/>
        <v>0</v>
      </c>
      <c r="E57" s="40">
        <f t="shared" si="31"/>
        <v>0</v>
      </c>
      <c r="F57" s="40">
        <f t="shared" si="31"/>
        <v>0</v>
      </c>
      <c r="G57" s="40">
        <f t="shared" si="31"/>
        <v>0</v>
      </c>
      <c r="H57" s="40">
        <f t="shared" si="31"/>
        <v>0</v>
      </c>
      <c r="I57" s="40">
        <f t="shared" si="31"/>
        <v>0</v>
      </c>
      <c r="J57" s="40">
        <f t="shared" si="31"/>
        <v>0</v>
      </c>
      <c r="K57" s="40">
        <f t="shared" si="31"/>
        <v>0</v>
      </c>
      <c r="L57" s="40">
        <f t="shared" si="31"/>
        <v>0</v>
      </c>
      <c r="M57" s="40">
        <f t="shared" si="31"/>
        <v>0</v>
      </c>
      <c r="N57" s="40">
        <f t="shared" si="31"/>
        <v>0</v>
      </c>
      <c r="O57" s="40">
        <f t="shared" si="31"/>
        <v>0</v>
      </c>
      <c r="P57" s="40">
        <f t="shared" si="31"/>
        <v>0</v>
      </c>
      <c r="Q57" s="40">
        <f t="shared" si="31"/>
        <v>0</v>
      </c>
      <c r="R57" s="41">
        <f t="shared" si="8"/>
        <v>0</v>
      </c>
      <c r="S57" s="42">
        <f>RANK(Z57,$Z$39:$Z$62)+COUNTIF($Z$39:$Z57,Z57)-1</f>
        <v>19</v>
      </c>
      <c r="T57" s="43">
        <f>SUM(B57:E57)-IF(Choice!$A$9,0,'Step 2_Volumes'!B57+'Step 2_Volumes'!E57)-IF(Choice!$A$10,0,'Step 2_Volumes'!D57)</f>
        <v>0</v>
      </c>
      <c r="U57" s="43">
        <f>SUM(F57:I57)-IF(Choice!$B$9,0,'Step 2_Volumes'!F57+'Step 2_Volumes'!I57)-IF(Choice!$B$10,0,'Step 2_Volumes'!H57)</f>
        <v>0</v>
      </c>
      <c r="V57" s="43">
        <f>SUM(J57:M57)-IF(Choice!$C$9,0,'Step 2_Volumes'!J57+'Step 2_Volumes'!M57)-IF(Choice!$C$10,0,'Step 2_Volumes'!L57)</f>
        <v>0</v>
      </c>
      <c r="W57" s="43">
        <f>SUM(N57:Q57)-IF(Choice!$D$9,0,'Step 2_Volumes'!N57+'Step 2_Volumes'!Q57)-IF(Choice!$D$10,0,'Step 2_Volumes'!P57)</f>
        <v>0</v>
      </c>
      <c r="X57" s="40">
        <f t="shared" si="23"/>
        <v>0</v>
      </c>
      <c r="Y57" s="40">
        <f t="shared" si="24"/>
        <v>0</v>
      </c>
      <c r="Z57" s="44">
        <f t="shared" si="26"/>
        <v>0</v>
      </c>
    </row>
    <row r="58" spans="1:26" x14ac:dyDescent="0.25">
      <c r="A58" s="8" t="s">
        <v>113</v>
      </c>
      <c r="B58" s="40">
        <f t="shared" ref="B58:Q58" si="32">B25*$K$32</f>
        <v>0</v>
      </c>
      <c r="C58" s="40">
        <f t="shared" si="32"/>
        <v>0</v>
      </c>
      <c r="D58" s="40">
        <f t="shared" si="32"/>
        <v>0</v>
      </c>
      <c r="E58" s="40">
        <f t="shared" si="32"/>
        <v>0</v>
      </c>
      <c r="F58" s="40">
        <f t="shared" si="32"/>
        <v>0</v>
      </c>
      <c r="G58" s="40">
        <f t="shared" si="32"/>
        <v>0</v>
      </c>
      <c r="H58" s="40">
        <f t="shared" si="32"/>
        <v>0</v>
      </c>
      <c r="I58" s="40">
        <f t="shared" si="32"/>
        <v>0</v>
      </c>
      <c r="J58" s="40">
        <f t="shared" si="32"/>
        <v>0</v>
      </c>
      <c r="K58" s="40">
        <f t="shared" si="32"/>
        <v>0</v>
      </c>
      <c r="L58" s="40">
        <f t="shared" si="32"/>
        <v>0</v>
      </c>
      <c r="M58" s="40">
        <f t="shared" si="32"/>
        <v>0</v>
      </c>
      <c r="N58" s="40">
        <f t="shared" si="32"/>
        <v>0</v>
      </c>
      <c r="O58" s="40">
        <f t="shared" si="32"/>
        <v>0</v>
      </c>
      <c r="P58" s="40">
        <f t="shared" si="32"/>
        <v>0</v>
      </c>
      <c r="Q58" s="40">
        <f t="shared" si="32"/>
        <v>0</v>
      </c>
      <c r="R58" s="41">
        <f t="shared" si="8"/>
        <v>0</v>
      </c>
      <c r="S58" s="42">
        <f>RANK(Z58,$Z$39:$Z$62)+COUNTIF($Z$39:$Z58,Z58)-1</f>
        <v>20</v>
      </c>
      <c r="T58" s="43">
        <f>SUM(B58:E58)-IF(Choice!$A$9,0,'Step 2_Volumes'!B58+'Step 2_Volumes'!E58)-IF(Choice!$A$10,0,'Step 2_Volumes'!D58)</f>
        <v>0</v>
      </c>
      <c r="U58" s="43">
        <f>SUM(F58:I58)-IF(Choice!$B$9,0,'Step 2_Volumes'!F58+'Step 2_Volumes'!I58)-IF(Choice!$B$10,0,'Step 2_Volumes'!H58)</f>
        <v>0</v>
      </c>
      <c r="V58" s="43">
        <f>SUM(J58:M58)-IF(Choice!$C$9,0,'Step 2_Volumes'!J58+'Step 2_Volumes'!M58)-IF(Choice!$C$10,0,'Step 2_Volumes'!L58)</f>
        <v>0</v>
      </c>
      <c r="W58" s="43">
        <f>SUM(N58:Q58)-IF(Choice!$D$9,0,'Step 2_Volumes'!N58+'Step 2_Volumes'!Q58)-IF(Choice!$D$10,0,'Step 2_Volumes'!P58)</f>
        <v>0</v>
      </c>
      <c r="X58" s="40">
        <f t="shared" si="23"/>
        <v>0</v>
      </c>
      <c r="Y58" s="40">
        <f t="shared" si="24"/>
        <v>0</v>
      </c>
      <c r="Z58" s="44">
        <f t="shared" ref="Z58:Z62" si="33">SUM(X58:Y58)</f>
        <v>0</v>
      </c>
    </row>
    <row r="59" spans="1:26" x14ac:dyDescent="0.25">
      <c r="A59" s="8" t="s">
        <v>114</v>
      </c>
      <c r="B59" s="40">
        <f t="shared" ref="B59:Q59" si="34">B26*$K$32</f>
        <v>0</v>
      </c>
      <c r="C59" s="40">
        <f t="shared" si="34"/>
        <v>0</v>
      </c>
      <c r="D59" s="40">
        <f t="shared" si="34"/>
        <v>0</v>
      </c>
      <c r="E59" s="40">
        <f t="shared" si="34"/>
        <v>0</v>
      </c>
      <c r="F59" s="40">
        <f t="shared" si="34"/>
        <v>0</v>
      </c>
      <c r="G59" s="40">
        <f t="shared" si="34"/>
        <v>0</v>
      </c>
      <c r="H59" s="40">
        <f t="shared" si="34"/>
        <v>0</v>
      </c>
      <c r="I59" s="40">
        <f t="shared" si="34"/>
        <v>0</v>
      </c>
      <c r="J59" s="40">
        <f t="shared" si="34"/>
        <v>0</v>
      </c>
      <c r="K59" s="40">
        <f t="shared" si="34"/>
        <v>0</v>
      </c>
      <c r="L59" s="40">
        <f t="shared" si="34"/>
        <v>0</v>
      </c>
      <c r="M59" s="40">
        <f t="shared" si="34"/>
        <v>0</v>
      </c>
      <c r="N59" s="40">
        <f t="shared" si="34"/>
        <v>0</v>
      </c>
      <c r="O59" s="40">
        <f t="shared" si="34"/>
        <v>0</v>
      </c>
      <c r="P59" s="40">
        <f t="shared" si="34"/>
        <v>0</v>
      </c>
      <c r="Q59" s="40">
        <f t="shared" si="34"/>
        <v>0</v>
      </c>
      <c r="R59" s="41">
        <f t="shared" si="8"/>
        <v>0</v>
      </c>
      <c r="S59" s="42">
        <f>RANK(Z59,$Z$39:$Z$62)+COUNTIF($Z$39:$Z59,Z59)-1</f>
        <v>21</v>
      </c>
      <c r="T59" s="43">
        <f>SUM(B59:E59)-IF(Choice!$A$9,0,'Step 2_Volumes'!B59+'Step 2_Volumes'!E59)-IF(Choice!$A$10,0,'Step 2_Volumes'!D59)</f>
        <v>0</v>
      </c>
      <c r="U59" s="43">
        <f>SUM(F59:I59)-IF(Choice!$B$9,0,'Step 2_Volumes'!F59+'Step 2_Volumes'!I59)-IF(Choice!$B$10,0,'Step 2_Volumes'!H59)</f>
        <v>0</v>
      </c>
      <c r="V59" s="43">
        <f>SUM(J59:M59)-IF(Choice!$C$9,0,'Step 2_Volumes'!J59+'Step 2_Volumes'!M59)-IF(Choice!$C$10,0,'Step 2_Volumes'!L59)</f>
        <v>0</v>
      </c>
      <c r="W59" s="43">
        <f>SUM(N59:Q59)-IF(Choice!$D$9,0,'Step 2_Volumes'!N59+'Step 2_Volumes'!Q59)-IF(Choice!$D$10,0,'Step 2_Volumes'!P59)</f>
        <v>0</v>
      </c>
      <c r="X59" s="40">
        <f t="shared" si="23"/>
        <v>0</v>
      </c>
      <c r="Y59" s="40">
        <f t="shared" si="24"/>
        <v>0</v>
      </c>
      <c r="Z59" s="44">
        <f t="shared" si="33"/>
        <v>0</v>
      </c>
    </row>
    <row r="60" spans="1:26" x14ac:dyDescent="0.25">
      <c r="A60" s="8" t="s">
        <v>115</v>
      </c>
      <c r="B60" s="40">
        <f t="shared" ref="B60:Q60" si="35">B27*$K$32</f>
        <v>0</v>
      </c>
      <c r="C60" s="40">
        <f t="shared" si="35"/>
        <v>0</v>
      </c>
      <c r="D60" s="40">
        <f t="shared" si="35"/>
        <v>0</v>
      </c>
      <c r="E60" s="40">
        <f t="shared" si="35"/>
        <v>0</v>
      </c>
      <c r="F60" s="40">
        <f t="shared" si="35"/>
        <v>0</v>
      </c>
      <c r="G60" s="40">
        <f t="shared" si="35"/>
        <v>0</v>
      </c>
      <c r="H60" s="40">
        <f t="shared" si="35"/>
        <v>0</v>
      </c>
      <c r="I60" s="40">
        <f t="shared" si="35"/>
        <v>0</v>
      </c>
      <c r="J60" s="40">
        <f t="shared" si="35"/>
        <v>0</v>
      </c>
      <c r="K60" s="40">
        <f t="shared" si="35"/>
        <v>0</v>
      </c>
      <c r="L60" s="40">
        <f t="shared" si="35"/>
        <v>0</v>
      </c>
      <c r="M60" s="40">
        <f t="shared" si="35"/>
        <v>0</v>
      </c>
      <c r="N60" s="40">
        <f t="shared" si="35"/>
        <v>0</v>
      </c>
      <c r="O60" s="40">
        <f t="shared" si="35"/>
        <v>0</v>
      </c>
      <c r="P60" s="40">
        <f t="shared" si="35"/>
        <v>0</v>
      </c>
      <c r="Q60" s="40">
        <f t="shared" si="35"/>
        <v>0</v>
      </c>
      <c r="R60" s="41">
        <f t="shared" si="8"/>
        <v>0</v>
      </c>
      <c r="S60" s="42">
        <f>RANK(Z60,$Z$39:$Z$62)+COUNTIF($Z$39:$Z60,Z60)-1</f>
        <v>22</v>
      </c>
      <c r="T60" s="43">
        <f>SUM(B60:E60)-IF(Choice!$A$9,0,'Step 2_Volumes'!B60+'Step 2_Volumes'!E60)-IF(Choice!$A$10,0,'Step 2_Volumes'!D60)</f>
        <v>0</v>
      </c>
      <c r="U60" s="43">
        <f>SUM(F60:I60)-IF(Choice!$B$9,0,'Step 2_Volumes'!F60+'Step 2_Volumes'!I60)-IF(Choice!$B$10,0,'Step 2_Volumes'!H60)</f>
        <v>0</v>
      </c>
      <c r="V60" s="43">
        <f>SUM(J60:M60)-IF(Choice!$C$9,0,'Step 2_Volumes'!J60+'Step 2_Volumes'!M60)-IF(Choice!$C$10,0,'Step 2_Volumes'!L60)</f>
        <v>0</v>
      </c>
      <c r="W60" s="43">
        <f>SUM(N60:Q60)-IF(Choice!$D$9,0,'Step 2_Volumes'!N60+'Step 2_Volumes'!Q60)-IF(Choice!$D$10,0,'Step 2_Volumes'!P60)</f>
        <v>0</v>
      </c>
      <c r="X60" s="40">
        <f t="shared" si="23"/>
        <v>0</v>
      </c>
      <c r="Y60" s="40">
        <f t="shared" si="24"/>
        <v>0</v>
      </c>
      <c r="Z60" s="44">
        <f t="shared" si="33"/>
        <v>0</v>
      </c>
    </row>
    <row r="61" spans="1:26" x14ac:dyDescent="0.25">
      <c r="A61" s="8" t="s">
        <v>116</v>
      </c>
      <c r="B61" s="40">
        <f t="shared" ref="B61:Q61" si="36">B28*$K$32</f>
        <v>0</v>
      </c>
      <c r="C61" s="40">
        <f t="shared" si="36"/>
        <v>0</v>
      </c>
      <c r="D61" s="40">
        <f t="shared" si="36"/>
        <v>0</v>
      </c>
      <c r="E61" s="40">
        <f t="shared" si="36"/>
        <v>0</v>
      </c>
      <c r="F61" s="40">
        <f t="shared" si="36"/>
        <v>0</v>
      </c>
      <c r="G61" s="40">
        <f t="shared" si="36"/>
        <v>0</v>
      </c>
      <c r="H61" s="40">
        <f t="shared" si="36"/>
        <v>0</v>
      </c>
      <c r="I61" s="40">
        <f t="shared" si="36"/>
        <v>0</v>
      </c>
      <c r="J61" s="40">
        <f t="shared" si="36"/>
        <v>0</v>
      </c>
      <c r="K61" s="40">
        <f t="shared" si="36"/>
        <v>0</v>
      </c>
      <c r="L61" s="40">
        <f t="shared" si="36"/>
        <v>0</v>
      </c>
      <c r="M61" s="40">
        <f t="shared" si="36"/>
        <v>0</v>
      </c>
      <c r="N61" s="40">
        <f t="shared" si="36"/>
        <v>0</v>
      </c>
      <c r="O61" s="40">
        <f t="shared" si="36"/>
        <v>0</v>
      </c>
      <c r="P61" s="40">
        <f t="shared" si="36"/>
        <v>0</v>
      </c>
      <c r="Q61" s="40">
        <f t="shared" si="36"/>
        <v>0</v>
      </c>
      <c r="R61" s="41">
        <f t="shared" si="8"/>
        <v>0</v>
      </c>
      <c r="S61" s="42">
        <f>RANK(Z61,$Z$39:$Z$62)+COUNTIF($Z$39:$Z61,Z61)-1</f>
        <v>23</v>
      </c>
      <c r="T61" s="43">
        <f>SUM(B61:E61)-IF(Choice!$A$9,0,'Step 2_Volumes'!B61+'Step 2_Volumes'!E61)-IF(Choice!$A$10,0,'Step 2_Volumes'!D61)</f>
        <v>0</v>
      </c>
      <c r="U61" s="43">
        <f>SUM(F61:I61)-IF(Choice!$B$9,0,'Step 2_Volumes'!F61+'Step 2_Volumes'!I61)-IF(Choice!$B$10,0,'Step 2_Volumes'!H61)</f>
        <v>0</v>
      </c>
      <c r="V61" s="43">
        <f>SUM(J61:M61)-IF(Choice!$C$9,0,'Step 2_Volumes'!J61+'Step 2_Volumes'!M61)-IF(Choice!$C$10,0,'Step 2_Volumes'!L61)</f>
        <v>0</v>
      </c>
      <c r="W61" s="43">
        <f>SUM(N61:Q61)-IF(Choice!$D$9,0,'Step 2_Volumes'!N61+'Step 2_Volumes'!Q61)-IF(Choice!$D$10,0,'Step 2_Volumes'!P61)</f>
        <v>0</v>
      </c>
      <c r="X61" s="40">
        <f t="shared" si="23"/>
        <v>0</v>
      </c>
      <c r="Y61" s="40">
        <f t="shared" si="24"/>
        <v>0</v>
      </c>
      <c r="Z61" s="44">
        <f t="shared" si="33"/>
        <v>0</v>
      </c>
    </row>
    <row r="62" spans="1:26" ht="15.75" thickBot="1" x14ac:dyDescent="0.3">
      <c r="A62" s="8" t="s">
        <v>117</v>
      </c>
      <c r="B62" s="40">
        <f t="shared" ref="B62:Q62" si="37">B29*$K$32</f>
        <v>0</v>
      </c>
      <c r="C62" s="40">
        <f t="shared" si="37"/>
        <v>0</v>
      </c>
      <c r="D62" s="40">
        <f t="shared" si="37"/>
        <v>0</v>
      </c>
      <c r="E62" s="40">
        <f t="shared" si="37"/>
        <v>0</v>
      </c>
      <c r="F62" s="40">
        <f t="shared" si="37"/>
        <v>0</v>
      </c>
      <c r="G62" s="40">
        <f t="shared" si="37"/>
        <v>0</v>
      </c>
      <c r="H62" s="40">
        <f t="shared" si="37"/>
        <v>0</v>
      </c>
      <c r="I62" s="40">
        <f t="shared" si="37"/>
        <v>0</v>
      </c>
      <c r="J62" s="40">
        <f t="shared" si="37"/>
        <v>0</v>
      </c>
      <c r="K62" s="40">
        <f t="shared" si="37"/>
        <v>0</v>
      </c>
      <c r="L62" s="40">
        <f t="shared" si="37"/>
        <v>0</v>
      </c>
      <c r="M62" s="40">
        <f t="shared" si="37"/>
        <v>0</v>
      </c>
      <c r="N62" s="40">
        <f t="shared" si="37"/>
        <v>0</v>
      </c>
      <c r="O62" s="40">
        <f t="shared" si="37"/>
        <v>0</v>
      </c>
      <c r="P62" s="40">
        <f t="shared" si="37"/>
        <v>0</v>
      </c>
      <c r="Q62" s="40">
        <f t="shared" si="37"/>
        <v>0</v>
      </c>
      <c r="R62" s="41">
        <f t="shared" si="8"/>
        <v>0</v>
      </c>
      <c r="S62" s="42">
        <f>RANK(Z62,$Z$39:$Z$62)+COUNTIF($Z$39:$Z62,Z62)-1</f>
        <v>24</v>
      </c>
      <c r="T62" s="50">
        <f>SUM(B62:E62)-IF(Choice!$A$9,0,'Step 2_Volumes'!B62+'Step 2_Volumes'!E62)-IF(Choice!$A$10,0,'Step 2_Volumes'!D62)</f>
        <v>0</v>
      </c>
      <c r="U62" s="50">
        <f>SUM(F62:I62)-IF(Choice!$B$9,0,'Step 2_Volumes'!F62+'Step 2_Volumes'!I62)-IF(Choice!$B$10,0,'Step 2_Volumes'!H62)</f>
        <v>0</v>
      </c>
      <c r="V62" s="50">
        <f>SUM(J62:M62)-IF(Choice!$C$9,0,'Step 2_Volumes'!J62+'Step 2_Volumes'!M62)-IF(Choice!$C$10,0,'Step 2_Volumes'!L62)</f>
        <v>0</v>
      </c>
      <c r="W62" s="50">
        <f>SUM(N62:Q62)-IF(Choice!$D$9,0,'Step 2_Volumes'!N62+'Step 2_Volumes'!Q62)-IF(Choice!$D$10,0,'Step 2_Volumes'!P62)</f>
        <v>0</v>
      </c>
      <c r="X62" s="45">
        <f t="shared" si="23"/>
        <v>0</v>
      </c>
      <c r="Y62" s="45">
        <f t="shared" si="24"/>
        <v>0</v>
      </c>
      <c r="Z62" s="46">
        <f t="shared" si="33"/>
        <v>0</v>
      </c>
    </row>
  </sheetData>
  <mergeCells count="33">
    <mergeCell ref="R2:R5"/>
    <mergeCell ref="F37:I37"/>
    <mergeCell ref="J37:M37"/>
    <mergeCell ref="N37:Q37"/>
    <mergeCell ref="A1:U1"/>
    <mergeCell ref="S2:T2"/>
    <mergeCell ref="S4:S5"/>
    <mergeCell ref="T4:T5"/>
    <mergeCell ref="U2:U5"/>
    <mergeCell ref="B2:I2"/>
    <mergeCell ref="J2:Q2"/>
    <mergeCell ref="A2:A5"/>
    <mergeCell ref="J3:Q3"/>
    <mergeCell ref="B4:E4"/>
    <mergeCell ref="F4:I4"/>
    <mergeCell ref="J4:M4"/>
    <mergeCell ref="Z37:Z38"/>
    <mergeCell ref="S37:S38"/>
    <mergeCell ref="Q31:R31"/>
    <mergeCell ref="N31:O31"/>
    <mergeCell ref="U31:V31"/>
    <mergeCell ref="A34:R34"/>
    <mergeCell ref="A35:A38"/>
    <mergeCell ref="B35:I35"/>
    <mergeCell ref="J35:Q35"/>
    <mergeCell ref="R35:R38"/>
    <mergeCell ref="B36:I36"/>
    <mergeCell ref="J36:Q36"/>
    <mergeCell ref="B37:E37"/>
    <mergeCell ref="N4:Q4"/>
    <mergeCell ref="I31:K31"/>
    <mergeCell ref="I32:J32"/>
    <mergeCell ref="B3:I3"/>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050" r:id="rId3" name="Check Box 2">
              <controlPr defaultSize="0" autoFill="0" autoLine="0" autoPict="0" altText="">
                <anchor moveWithCells="1">
                  <from>
                    <xdr:col>8</xdr:col>
                    <xdr:colOff>142875</xdr:colOff>
                    <xdr:row>29</xdr:row>
                    <xdr:rowOff>180975</xdr:rowOff>
                  </from>
                  <to>
                    <xdr:col>11</xdr:col>
                    <xdr:colOff>9525</xdr:colOff>
                    <xdr:row>30</xdr:row>
                    <xdr:rowOff>180975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S43"/>
  <sheetViews>
    <sheetView topLeftCell="A13" workbookViewId="0">
      <selection activeCell="B18" sqref="B18"/>
    </sheetView>
  </sheetViews>
  <sheetFormatPr defaultRowHeight="15" x14ac:dyDescent="0.25"/>
  <cols>
    <col min="1" max="1" width="11.7109375" bestFit="1" customWidth="1"/>
    <col min="3" max="3" width="12.140625" customWidth="1"/>
    <col min="4" max="4" width="12.7109375" customWidth="1"/>
    <col min="6" max="6" width="13" customWidth="1"/>
    <col min="7" max="7" width="12.42578125" customWidth="1"/>
    <col min="13" max="13" width="11.5703125" customWidth="1"/>
    <col min="14" max="14" width="10.7109375" customWidth="1"/>
    <col min="19" max="19" width="10.7109375" customWidth="1"/>
  </cols>
  <sheetData>
    <row r="1" spans="1:19" x14ac:dyDescent="0.25">
      <c r="A1" s="84" t="s">
        <v>52</v>
      </c>
      <c r="B1" s="85"/>
      <c r="C1" s="85"/>
      <c r="D1" s="85"/>
      <c r="E1" s="85"/>
      <c r="F1" s="85"/>
      <c r="G1" s="85"/>
      <c r="H1" s="85"/>
    </row>
    <row r="2" spans="1:19" x14ac:dyDescent="0.25">
      <c r="A2" s="83" t="s">
        <v>63</v>
      </c>
      <c r="B2" s="83"/>
      <c r="C2" t="str">
        <f>'Step 1_Lanes'!B21</f>
        <v>2 or more lanes and 1 lane</v>
      </c>
    </row>
    <row r="4" spans="1:19" x14ac:dyDescent="0.25">
      <c r="A4" s="17"/>
      <c r="F4" s="47"/>
    </row>
    <row r="6" spans="1:19" x14ac:dyDescent="0.25">
      <c r="F6" s="47"/>
    </row>
    <row r="7" spans="1:19" ht="15.75" thickBot="1" x14ac:dyDescent="0.3"/>
    <row r="8" spans="1:19" x14ac:dyDescent="0.25">
      <c r="A8" s="17"/>
      <c r="B8" s="93" t="s">
        <v>53</v>
      </c>
      <c r="C8" s="94"/>
      <c r="D8" s="94"/>
      <c r="E8" s="94"/>
      <c r="F8" s="94"/>
      <c r="G8" s="94"/>
      <c r="H8" s="94"/>
      <c r="I8" s="95"/>
      <c r="K8" s="93" t="s">
        <v>73</v>
      </c>
      <c r="L8" s="94"/>
      <c r="M8" s="94"/>
      <c r="N8" s="94"/>
      <c r="O8" s="94"/>
      <c r="P8" s="94"/>
      <c r="Q8" s="94"/>
      <c r="R8" s="95"/>
    </row>
    <row r="9" spans="1:19" x14ac:dyDescent="0.25">
      <c r="B9" s="101" t="s">
        <v>46</v>
      </c>
      <c r="C9" s="91"/>
      <c r="D9" s="91"/>
      <c r="E9" s="91"/>
      <c r="F9" s="91" t="s">
        <v>49</v>
      </c>
      <c r="G9" s="91"/>
      <c r="H9" s="91"/>
      <c r="I9" s="92"/>
      <c r="K9" s="101" t="s">
        <v>46</v>
      </c>
      <c r="L9" s="91"/>
      <c r="M9" s="91"/>
      <c r="N9" s="91"/>
      <c r="O9" s="91" t="s">
        <v>49</v>
      </c>
      <c r="P9" s="91"/>
      <c r="Q9" s="91"/>
      <c r="R9" s="92"/>
    </row>
    <row r="10" spans="1:19" ht="15.75" x14ac:dyDescent="0.25">
      <c r="B10" s="29" t="s">
        <v>55</v>
      </c>
      <c r="C10" s="28" t="s">
        <v>56</v>
      </c>
      <c r="D10" s="28" t="s">
        <v>57</v>
      </c>
      <c r="E10" s="28" t="s">
        <v>58</v>
      </c>
      <c r="F10" s="28" t="s">
        <v>55</v>
      </c>
      <c r="G10" s="28" t="s">
        <v>56</v>
      </c>
      <c r="H10" s="28" t="s">
        <v>57</v>
      </c>
      <c r="I10" s="30" t="s">
        <v>58</v>
      </c>
      <c r="K10" s="29" t="s">
        <v>55</v>
      </c>
      <c r="L10" s="28" t="s">
        <v>56</v>
      </c>
      <c r="M10" s="28" t="s">
        <v>57</v>
      </c>
      <c r="N10" s="28" t="s">
        <v>58</v>
      </c>
      <c r="O10" s="28" t="s">
        <v>55</v>
      </c>
      <c r="P10" s="28" t="s">
        <v>56</v>
      </c>
      <c r="Q10" s="28" t="s">
        <v>57</v>
      </c>
      <c r="R10" s="30" t="s">
        <v>58</v>
      </c>
    </row>
    <row r="11" spans="1:19" ht="15.75" thickBot="1" x14ac:dyDescent="0.3">
      <c r="B11" s="31">
        <f>VLOOKUP($C$2,Choice!$K$4:$S$7,2,FALSE)</f>
        <v>600</v>
      </c>
      <c r="C11" s="32">
        <f>VLOOKUP($C$2,Choice!$K$4:$S$7,3,FALSE)</f>
        <v>480</v>
      </c>
      <c r="D11" s="32">
        <f>VLOOKUP($C$2,Choice!$K$4:$S$7,4,FALSE)</f>
        <v>420</v>
      </c>
      <c r="E11" s="32">
        <f>VLOOKUP($C$2,Choice!$K$4:$S$7,5,FALSE)</f>
        <v>336</v>
      </c>
      <c r="F11" s="32">
        <f>VLOOKUP($C$2,Choice!$K$4:$S$7,6,FALSE)</f>
        <v>150</v>
      </c>
      <c r="G11" s="32">
        <f>VLOOKUP($C$2,Choice!$K$4:$S$7,7,FALSE)</f>
        <v>120</v>
      </c>
      <c r="H11" s="32">
        <f>VLOOKUP($C$2,Choice!$K$4:$S$7,8,FALSE)</f>
        <v>105</v>
      </c>
      <c r="I11" s="33">
        <f>VLOOKUP($C$2,Choice!$K$4:$S$7,9,FALSE)</f>
        <v>84</v>
      </c>
      <c r="K11" s="31">
        <f>VLOOKUP($C$2,Choice!$K$4:$AA$7,10,FALSE)</f>
        <v>900</v>
      </c>
      <c r="L11" s="31">
        <f>VLOOKUP($C$2,Choice!$K$4:$AA$7,11,FALSE)</f>
        <v>720</v>
      </c>
      <c r="M11" s="31">
        <f>VLOOKUP($C$2,Choice!$K$4:$AA$7,12,FALSE)</f>
        <v>630</v>
      </c>
      <c r="N11" s="31">
        <f>VLOOKUP($C$2,Choice!$K$4:$AA$7,13,FALSE)</f>
        <v>504</v>
      </c>
      <c r="O11" s="31">
        <f>VLOOKUP($C$2,Choice!$K$4:$AA$7,14,FALSE)</f>
        <v>75</v>
      </c>
      <c r="P11" s="31">
        <f>VLOOKUP($C$2,Choice!$K$4:$AA$7,15,FALSE)</f>
        <v>60</v>
      </c>
      <c r="Q11" s="31">
        <f>VLOOKUP($C$2,Choice!$K$4:$AA$7,16,FALSE)</f>
        <v>53</v>
      </c>
      <c r="R11" s="31">
        <f>VLOOKUP($C$2,Choice!$K$4:$AA$7,17,FALSE)</f>
        <v>42</v>
      </c>
    </row>
    <row r="12" spans="1:19" x14ac:dyDescent="0.25">
      <c r="A12" s="17"/>
    </row>
    <row r="14" spans="1:19" x14ac:dyDescent="0.25">
      <c r="I14" s="102" t="s">
        <v>77</v>
      </c>
      <c r="J14" s="103"/>
      <c r="K14" s="103"/>
      <c r="L14" s="103"/>
      <c r="M14" s="103"/>
      <c r="N14" s="103"/>
      <c r="O14" s="89" t="s">
        <v>78</v>
      </c>
      <c r="P14" s="90"/>
      <c r="Q14" s="90"/>
      <c r="R14" s="90"/>
      <c r="S14" s="90"/>
    </row>
    <row r="15" spans="1:19" ht="15" customHeight="1" x14ac:dyDescent="0.25">
      <c r="A15" s="73" t="s">
        <v>32</v>
      </c>
      <c r="B15" s="73" t="s">
        <v>48</v>
      </c>
      <c r="C15" s="104" t="s">
        <v>64</v>
      </c>
      <c r="D15" s="105"/>
      <c r="E15" s="106"/>
      <c r="F15" s="107" t="s">
        <v>65</v>
      </c>
      <c r="G15" s="73"/>
      <c r="H15" s="73"/>
      <c r="I15" s="73" t="s">
        <v>66</v>
      </c>
      <c r="J15" s="73"/>
      <c r="K15" s="73" t="s">
        <v>67</v>
      </c>
      <c r="L15" s="73"/>
      <c r="M15" s="1" t="s">
        <v>70</v>
      </c>
      <c r="N15" s="1" t="s">
        <v>71</v>
      </c>
      <c r="O15" s="73" t="s">
        <v>66</v>
      </c>
      <c r="P15" s="73"/>
      <c r="Q15" s="73" t="s">
        <v>67</v>
      </c>
      <c r="R15" s="73"/>
      <c r="S15" s="73" t="s">
        <v>79</v>
      </c>
    </row>
    <row r="16" spans="1:19" ht="21.75" customHeight="1" x14ac:dyDescent="0.25">
      <c r="A16" s="73"/>
      <c r="B16" s="73"/>
      <c r="C16" s="74" t="str">
        <f>'Step 2_Volumes'!B37</f>
        <v>Northbound</v>
      </c>
      <c r="D16" s="74" t="str">
        <f>'Step 2_Volumes'!F37</f>
        <v>Southbound</v>
      </c>
      <c r="E16" s="74" t="s">
        <v>38</v>
      </c>
      <c r="F16" s="74" t="str">
        <f>'Step 2_Volumes'!J37</f>
        <v>Eastbound</v>
      </c>
      <c r="G16" s="74" t="str">
        <f>'Step 2_Volumes'!N37</f>
        <v>Westbound</v>
      </c>
      <c r="H16" s="74" t="s">
        <v>69</v>
      </c>
      <c r="I16" s="1" t="s">
        <v>46</v>
      </c>
      <c r="J16" s="1" t="s">
        <v>49</v>
      </c>
      <c r="K16" s="1" t="s">
        <v>46</v>
      </c>
      <c r="L16" s="1" t="s">
        <v>49</v>
      </c>
      <c r="M16" s="97" t="s">
        <v>68</v>
      </c>
      <c r="N16" s="98"/>
      <c r="O16" s="1" t="s">
        <v>46</v>
      </c>
      <c r="P16" s="1" t="s">
        <v>49</v>
      </c>
      <c r="Q16" s="1" t="s">
        <v>46</v>
      </c>
      <c r="R16" s="1" t="s">
        <v>49</v>
      </c>
      <c r="S16" s="73"/>
    </row>
    <row r="17" spans="1:19" x14ac:dyDescent="0.25">
      <c r="A17" s="73"/>
      <c r="B17" s="73"/>
      <c r="C17" s="74"/>
      <c r="D17" s="74"/>
      <c r="E17" s="74"/>
      <c r="F17" s="74"/>
      <c r="G17" s="74"/>
      <c r="H17" s="74"/>
      <c r="I17" s="7">
        <f>IF(Choice!$N$9,'Warrant 1'!D11,'Warrant 1'!B11)</f>
        <v>420</v>
      </c>
      <c r="J17" s="7">
        <f>IF(Choice!$N$9,'Warrant 1'!H11,'Warrant 1'!F11)</f>
        <v>105</v>
      </c>
      <c r="K17" s="7">
        <f>IF(Choice!$N$9,'Warrant 1'!M11,'Warrant 1'!K11)</f>
        <v>630</v>
      </c>
      <c r="L17" s="7">
        <f>IF(Choice!$N$9,'Warrant 1'!Q11,'Warrant 1'!O11)</f>
        <v>53</v>
      </c>
      <c r="M17" s="99"/>
      <c r="N17" s="100"/>
      <c r="O17" s="7">
        <f>IF(Choice!$N$9,'Warrant 1'!E11,'Warrant 1'!C11)</f>
        <v>336</v>
      </c>
      <c r="P17" s="7">
        <f>IF(Choice!$N$9,'Warrant 1'!I11,'Warrant 1'!G11)</f>
        <v>84</v>
      </c>
      <c r="Q17" s="7">
        <f>IF(Choice!$N$9,'Warrant 1'!N11,'Warrant 1'!L11)</f>
        <v>504</v>
      </c>
      <c r="R17" s="7">
        <f>IF(Choice!$N$9,'Warrant 1'!R11,'Warrant 1'!P11)</f>
        <v>42</v>
      </c>
      <c r="S17" s="73"/>
    </row>
    <row r="18" spans="1:19" x14ac:dyDescent="0.25">
      <c r="A18" s="24" t="str">
        <f>'Step 2_Volumes'!A39</f>
        <v>00:00 - 01:00</v>
      </c>
      <c r="B18" s="25">
        <f>'Step 2_Volumes'!S39</f>
        <v>5</v>
      </c>
      <c r="C18" s="25">
        <f>'Step 2_Volumes'!T39</f>
        <v>117.00205056000003</v>
      </c>
      <c r="D18" s="25">
        <f>'Step 2_Volumes'!U39</f>
        <v>23.128312320000006</v>
      </c>
      <c r="E18" s="25">
        <f>SUM(C18:D18)</f>
        <v>140.13036288000004</v>
      </c>
      <c r="F18" s="25">
        <f>'Step 2_Volumes'!V39</f>
        <v>457.12429056000008</v>
      </c>
      <c r="G18" s="25">
        <f>'Step 2_Volumes'!W39</f>
        <v>25.849290240000002</v>
      </c>
      <c r="H18" s="25">
        <f>MAX(F18:G18)</f>
        <v>457.12429056000008</v>
      </c>
      <c r="I18" s="1" t="str">
        <f>IF($C18="","N.A.",IF(E18&gt;=I$17,"YES","NO"))</f>
        <v>NO</v>
      </c>
      <c r="J18" s="1" t="str">
        <f>IF($C18="","N.A.",IF(F18&gt;=$J$17,"YES","NO"))</f>
        <v>YES</v>
      </c>
      <c r="K18" s="1" t="str">
        <f>IF($C18="","N.A.",IF(E18&gt;=$K$17,"YES","NO"))</f>
        <v>NO</v>
      </c>
      <c r="L18" s="1" t="str">
        <f>IF($C18="","N.A.",IF(H18&gt;=$L$17,"YES","NO"))</f>
        <v>YES</v>
      </c>
      <c r="M18" s="1" t="str">
        <f>IF(AND(I18="YES",J18="YES"),"YES","")</f>
        <v/>
      </c>
      <c r="N18" s="1" t="str">
        <f>IF(AND(K18="YES",L18="YES"),"YES","")</f>
        <v/>
      </c>
      <c r="O18" s="1" t="str">
        <f>IF($C18="","N.A.",IF(E18&gt;=O$17,"YES","NO"))</f>
        <v>NO</v>
      </c>
      <c r="P18" s="1" t="str">
        <f>IF($C18="","N.A.",IF(H18&gt;=$P$17,"YES","NO"))</f>
        <v>YES</v>
      </c>
      <c r="Q18" s="1" t="str">
        <f>IF($C18="","N.A.",IF(E18&gt;=$Q$17,"YES","NO"))</f>
        <v>NO</v>
      </c>
      <c r="R18" s="1" t="str">
        <f>IF($C18="","N.A.",IF(H18&gt;=$R$17,"YES","NO"))</f>
        <v>YES</v>
      </c>
      <c r="S18" s="1" t="str">
        <f>IF(AND(O18="YES",P18="YES",Q18="YES",R18="YES"),"YES","")</f>
        <v/>
      </c>
    </row>
    <row r="19" spans="1:19" x14ac:dyDescent="0.25">
      <c r="A19" s="24" t="str">
        <f>'Step 2_Volumes'!A40</f>
        <v>00:01 - 02:00</v>
      </c>
      <c r="B19" s="25">
        <f>'Step 2_Volumes'!S40</f>
        <v>6</v>
      </c>
      <c r="C19" s="25">
        <f>'Step 2_Volumes'!T40</f>
        <v>288.42365952000006</v>
      </c>
      <c r="D19" s="25">
        <f>'Step 2_Volumes'!U40</f>
        <v>42.175157760000012</v>
      </c>
      <c r="E19" s="25">
        <f t="shared" ref="E19:E29" si="0">SUM(C19:D19)</f>
        <v>330.59881728000005</v>
      </c>
      <c r="F19" s="25">
        <f>'Step 2_Volumes'!V40</f>
        <v>170.06112000000005</v>
      </c>
      <c r="G19" s="25">
        <f>'Step 2_Volumes'!W40</f>
        <v>36.733201920000006</v>
      </c>
      <c r="H19" s="25">
        <f t="shared" ref="H19:H29" si="1">MAX(F19:G19)</f>
        <v>170.06112000000005</v>
      </c>
      <c r="I19" s="48" t="str">
        <f t="shared" ref="I19:I41" si="2">IF($C19="","N.A.",IF(E19&gt;=I$17,"YES","NO"))</f>
        <v>NO</v>
      </c>
      <c r="J19" s="48" t="str">
        <f t="shared" ref="J19:J41" si="3">IF($C19="","N.A.",IF(F19&gt;=$J$17,"YES","NO"))</f>
        <v>YES</v>
      </c>
      <c r="K19" s="48" t="str">
        <f t="shared" ref="K19:K41" si="4">IF($C19="","N.A.",IF(E19&gt;=$K$17,"YES","NO"))</f>
        <v>NO</v>
      </c>
      <c r="L19" s="48" t="str">
        <f t="shared" ref="L19:L41" si="5">IF($C19="","N.A.",IF(H19&gt;=$L$17,"YES","NO"))</f>
        <v>YES</v>
      </c>
      <c r="M19" s="1" t="str">
        <f t="shared" ref="M19:M35" si="6">IF(AND(I19="YES",J19="YES"),"YES","")</f>
        <v/>
      </c>
      <c r="N19" s="1" t="str">
        <f t="shared" ref="N19:N35" si="7">IF(AND(K19="YES",L19="YES"),"YES","")</f>
        <v/>
      </c>
      <c r="O19" s="48" t="str">
        <f t="shared" ref="O19:O41" si="8">IF($C19="","N.A.",IF(E19&gt;=O$17,"YES","NO"))</f>
        <v>NO</v>
      </c>
      <c r="P19" s="48" t="str">
        <f t="shared" ref="P19:P41" si="9">IF($C19="","N.A.",IF(H19&gt;=$P$17,"YES","NO"))</f>
        <v>YES</v>
      </c>
      <c r="Q19" s="48" t="str">
        <f t="shared" ref="Q19:Q41" si="10">IF($C19="","N.A.",IF(E19&gt;=$Q$17,"YES","NO"))</f>
        <v>NO</v>
      </c>
      <c r="R19" s="48" t="str">
        <f t="shared" ref="R19:R41" si="11">IF($C19="","N.A.",IF(H19&gt;=$R$17,"YES","NO"))</f>
        <v>YES</v>
      </c>
      <c r="S19" s="1" t="str">
        <f t="shared" ref="S19:S35" si="12">IF(AND(O19="YES",P19="YES",Q19="YES",R19="YES"),"YES","")</f>
        <v/>
      </c>
    </row>
    <row r="20" spans="1:19" x14ac:dyDescent="0.25">
      <c r="A20" s="24" t="str">
        <f>'Step 2_Volumes'!A41</f>
        <v>02:00 - 03:00</v>
      </c>
      <c r="B20" s="25">
        <f>'Step 2_Volumes'!S41</f>
        <v>8</v>
      </c>
      <c r="C20" s="25">
        <f>'Step 2_Volumes'!T41</f>
        <v>254.41143552000005</v>
      </c>
      <c r="D20" s="25">
        <f>'Step 2_Volumes'!U41</f>
        <v>36.733201920000013</v>
      </c>
      <c r="E20" s="25">
        <f t="shared" si="0"/>
        <v>291.14463744000005</v>
      </c>
      <c r="F20" s="25">
        <f>'Step 2_Volumes'!V41</f>
        <v>175.50307584000006</v>
      </c>
      <c r="G20" s="25">
        <f>'Step 2_Volumes'!W41</f>
        <v>9.5234227200000028</v>
      </c>
      <c r="H20" s="25">
        <f t="shared" si="1"/>
        <v>175.50307584000006</v>
      </c>
      <c r="I20" s="48" t="str">
        <f t="shared" si="2"/>
        <v>NO</v>
      </c>
      <c r="J20" s="48" t="str">
        <f t="shared" si="3"/>
        <v>YES</v>
      </c>
      <c r="K20" s="48" t="str">
        <f t="shared" si="4"/>
        <v>NO</v>
      </c>
      <c r="L20" s="48" t="str">
        <f t="shared" si="5"/>
        <v>YES</v>
      </c>
      <c r="M20" s="1" t="str">
        <f t="shared" si="6"/>
        <v/>
      </c>
      <c r="N20" s="1" t="str">
        <f t="shared" si="7"/>
        <v/>
      </c>
      <c r="O20" s="48" t="str">
        <f t="shared" si="8"/>
        <v>NO</v>
      </c>
      <c r="P20" s="48" t="str">
        <f t="shared" si="9"/>
        <v>YES</v>
      </c>
      <c r="Q20" s="48" t="str">
        <f t="shared" si="10"/>
        <v>NO</v>
      </c>
      <c r="R20" s="48" t="str">
        <f t="shared" si="11"/>
        <v>YES</v>
      </c>
      <c r="S20" s="1" t="str">
        <f t="shared" si="12"/>
        <v/>
      </c>
    </row>
    <row r="21" spans="1:19" x14ac:dyDescent="0.25">
      <c r="A21" s="24" t="str">
        <f>'Step 2_Volumes'!A42</f>
        <v>03:00 - 04:00</v>
      </c>
      <c r="B21" s="25">
        <f>'Step 2_Volumes'!S42</f>
        <v>7</v>
      </c>
      <c r="C21" s="25">
        <f>'Step 2_Volumes'!T42</f>
        <v>316.99392768000007</v>
      </c>
      <c r="D21" s="25">
        <f>'Step 2_Volumes'!U42</f>
        <v>40.814668800000007</v>
      </c>
      <c r="E21" s="25">
        <f t="shared" si="0"/>
        <v>357.80859648000006</v>
      </c>
      <c r="F21" s="25">
        <f>'Step 2_Volumes'!V42</f>
        <v>142.85134080000003</v>
      </c>
      <c r="G21" s="25">
        <f>'Step 2_Volumes'!W42</f>
        <v>9.5234227200000063</v>
      </c>
      <c r="H21" s="25">
        <f t="shared" si="1"/>
        <v>142.85134080000003</v>
      </c>
      <c r="I21" s="48" t="str">
        <f t="shared" si="2"/>
        <v>NO</v>
      </c>
      <c r="J21" s="48" t="str">
        <f t="shared" si="3"/>
        <v>YES</v>
      </c>
      <c r="K21" s="48" t="str">
        <f t="shared" si="4"/>
        <v>NO</v>
      </c>
      <c r="L21" s="48" t="str">
        <f t="shared" si="5"/>
        <v>YES</v>
      </c>
      <c r="M21" s="1" t="str">
        <f t="shared" si="6"/>
        <v/>
      </c>
      <c r="N21" s="1" t="str">
        <f t="shared" si="7"/>
        <v/>
      </c>
      <c r="O21" s="48" t="str">
        <f t="shared" si="8"/>
        <v>YES</v>
      </c>
      <c r="P21" s="48" t="str">
        <f t="shared" si="9"/>
        <v>YES</v>
      </c>
      <c r="Q21" s="48" t="str">
        <f t="shared" si="10"/>
        <v>NO</v>
      </c>
      <c r="R21" s="48" t="str">
        <f t="shared" si="11"/>
        <v>YES</v>
      </c>
      <c r="S21" s="1" t="str">
        <f t="shared" si="12"/>
        <v/>
      </c>
    </row>
    <row r="22" spans="1:19" x14ac:dyDescent="0.25">
      <c r="A22" s="24" t="str">
        <f>'Step 2_Volumes'!A43</f>
        <v>04:00 - 05:00</v>
      </c>
      <c r="B22" s="25">
        <f>'Step 2_Volumes'!S43</f>
        <v>9</v>
      </c>
      <c r="C22" s="25">
        <f>'Step 2_Volumes'!T43</f>
        <v>276.17925888000008</v>
      </c>
      <c r="D22" s="25">
        <f>'Step 2_Volumes'!U43</f>
        <v>29.93075712000001</v>
      </c>
      <c r="E22" s="25">
        <f t="shared" si="0"/>
        <v>306.11001600000009</v>
      </c>
      <c r="F22" s="25">
        <f>'Step 2_Volumes'!V43</f>
        <v>140.13036288000004</v>
      </c>
      <c r="G22" s="25">
        <f>'Step 2_Volumes'!W43</f>
        <v>6.8024448000000008</v>
      </c>
      <c r="H22" s="25">
        <f t="shared" si="1"/>
        <v>140.13036288000004</v>
      </c>
      <c r="I22" s="48" t="str">
        <f t="shared" si="2"/>
        <v>NO</v>
      </c>
      <c r="J22" s="48" t="str">
        <f t="shared" si="3"/>
        <v>YES</v>
      </c>
      <c r="K22" s="48" t="str">
        <f t="shared" si="4"/>
        <v>NO</v>
      </c>
      <c r="L22" s="48" t="str">
        <f t="shared" si="5"/>
        <v>YES</v>
      </c>
      <c r="M22" s="1" t="str">
        <f t="shared" si="6"/>
        <v/>
      </c>
      <c r="N22" s="1" t="str">
        <f t="shared" si="7"/>
        <v/>
      </c>
      <c r="O22" s="48" t="str">
        <f t="shared" si="8"/>
        <v>NO</v>
      </c>
      <c r="P22" s="48" t="str">
        <f t="shared" si="9"/>
        <v>YES</v>
      </c>
      <c r="Q22" s="48" t="str">
        <f t="shared" si="10"/>
        <v>NO</v>
      </c>
      <c r="R22" s="48" t="str">
        <f t="shared" si="11"/>
        <v>YES</v>
      </c>
      <c r="S22" s="1" t="str">
        <f t="shared" si="12"/>
        <v/>
      </c>
    </row>
    <row r="23" spans="1:19" x14ac:dyDescent="0.25">
      <c r="A23" s="24" t="str">
        <f>'Step 2_Volumes'!A44</f>
        <v>05:00 - 06:00</v>
      </c>
      <c r="B23" s="25">
        <f>'Step 2_Volumes'!S44</f>
        <v>12</v>
      </c>
      <c r="C23" s="25">
        <f>'Step 2_Volumes'!T44</f>
        <v>253.05094656000006</v>
      </c>
      <c r="D23" s="25">
        <f>'Step 2_Volumes'!U44</f>
        <v>28.570268160000008</v>
      </c>
      <c r="E23" s="25">
        <f t="shared" si="0"/>
        <v>281.62121472000007</v>
      </c>
      <c r="F23" s="25">
        <f>'Step 2_Volumes'!V44</f>
        <v>141.49085184000006</v>
      </c>
      <c r="G23" s="25">
        <f>'Step 2_Volumes'!W44</f>
        <v>16.325867519999999</v>
      </c>
      <c r="H23" s="25">
        <f t="shared" si="1"/>
        <v>141.49085184000006</v>
      </c>
      <c r="I23" s="48" t="str">
        <f t="shared" si="2"/>
        <v>NO</v>
      </c>
      <c r="J23" s="48" t="str">
        <f t="shared" si="3"/>
        <v>YES</v>
      </c>
      <c r="K23" s="48" t="str">
        <f t="shared" si="4"/>
        <v>NO</v>
      </c>
      <c r="L23" s="48" t="str">
        <f t="shared" si="5"/>
        <v>YES</v>
      </c>
      <c r="M23" s="1" t="str">
        <f t="shared" si="6"/>
        <v/>
      </c>
      <c r="N23" s="1" t="str">
        <f t="shared" si="7"/>
        <v/>
      </c>
      <c r="O23" s="48" t="str">
        <f t="shared" si="8"/>
        <v>NO</v>
      </c>
      <c r="P23" s="48" t="str">
        <f t="shared" si="9"/>
        <v>YES</v>
      </c>
      <c r="Q23" s="48" t="str">
        <f t="shared" si="10"/>
        <v>NO</v>
      </c>
      <c r="R23" s="48" t="str">
        <f t="shared" si="11"/>
        <v>YES</v>
      </c>
      <c r="S23" s="1" t="str">
        <f t="shared" si="12"/>
        <v/>
      </c>
    </row>
    <row r="24" spans="1:19" x14ac:dyDescent="0.25">
      <c r="A24" s="24" t="str">
        <f>'Step 2_Volumes'!A45</f>
        <v>06:00 - 07:00</v>
      </c>
      <c r="B24" s="25">
        <f>'Step 2_Volumes'!S45</f>
        <v>10</v>
      </c>
      <c r="C24" s="25">
        <f>'Step 2_Volumes'!T45</f>
        <v>273.45828096000008</v>
      </c>
      <c r="D24" s="25">
        <f>'Step 2_Volumes'!U45</f>
        <v>27.209779200000007</v>
      </c>
      <c r="E24" s="25">
        <f t="shared" si="0"/>
        <v>300.6680601600001</v>
      </c>
      <c r="F24" s="25">
        <f>'Step 2_Volumes'!V45</f>
        <v>142.85134080000003</v>
      </c>
      <c r="G24" s="25">
        <f>'Step 2_Volumes'!W45</f>
        <v>13.604889600000005</v>
      </c>
      <c r="H24" s="25">
        <f t="shared" si="1"/>
        <v>142.85134080000003</v>
      </c>
      <c r="I24" s="48" t="str">
        <f t="shared" si="2"/>
        <v>NO</v>
      </c>
      <c r="J24" s="48" t="str">
        <f t="shared" si="3"/>
        <v>YES</v>
      </c>
      <c r="K24" s="48" t="str">
        <f t="shared" si="4"/>
        <v>NO</v>
      </c>
      <c r="L24" s="48" t="str">
        <f t="shared" si="5"/>
        <v>YES</v>
      </c>
      <c r="M24" s="1" t="str">
        <f t="shared" si="6"/>
        <v/>
      </c>
      <c r="N24" s="1" t="str">
        <f t="shared" si="7"/>
        <v/>
      </c>
      <c r="O24" s="48" t="str">
        <f t="shared" si="8"/>
        <v>NO</v>
      </c>
      <c r="P24" s="48" t="str">
        <f t="shared" si="9"/>
        <v>YES</v>
      </c>
      <c r="Q24" s="48" t="str">
        <f t="shared" si="10"/>
        <v>NO</v>
      </c>
      <c r="R24" s="48" t="str">
        <f t="shared" si="11"/>
        <v>YES</v>
      </c>
      <c r="S24" s="1" t="str">
        <f t="shared" si="12"/>
        <v/>
      </c>
    </row>
    <row r="25" spans="1:19" x14ac:dyDescent="0.25">
      <c r="A25" s="24" t="str">
        <f>'Step 2_Volumes'!A46</f>
        <v>07:00 - 08:00</v>
      </c>
      <c r="B25" s="25">
        <f>'Step 2_Volumes'!S46</f>
        <v>11</v>
      </c>
      <c r="C25" s="25">
        <f>'Step 2_Volumes'!T46</f>
        <v>247.60899072000007</v>
      </c>
      <c r="D25" s="25">
        <f>'Step 2_Volumes'!U46</f>
        <v>29.93075712000001</v>
      </c>
      <c r="E25" s="25">
        <f t="shared" si="0"/>
        <v>277.53974784000008</v>
      </c>
      <c r="F25" s="25">
        <f>'Step 2_Volumes'!V46</f>
        <v>151.01427456000005</v>
      </c>
      <c r="G25" s="25">
        <f>'Step 2_Volumes'!W46</f>
        <v>27.2097792</v>
      </c>
      <c r="H25" s="25">
        <f t="shared" si="1"/>
        <v>151.01427456000005</v>
      </c>
      <c r="I25" s="48" t="str">
        <f t="shared" si="2"/>
        <v>NO</v>
      </c>
      <c r="J25" s="48" t="str">
        <f t="shared" si="3"/>
        <v>YES</v>
      </c>
      <c r="K25" s="48" t="str">
        <f t="shared" si="4"/>
        <v>NO</v>
      </c>
      <c r="L25" s="48" t="str">
        <f t="shared" si="5"/>
        <v>YES</v>
      </c>
      <c r="M25" s="1" t="str">
        <f t="shared" si="6"/>
        <v/>
      </c>
      <c r="N25" s="1" t="str">
        <f t="shared" si="7"/>
        <v/>
      </c>
      <c r="O25" s="48" t="str">
        <f t="shared" si="8"/>
        <v>NO</v>
      </c>
      <c r="P25" s="48" t="str">
        <f t="shared" si="9"/>
        <v>YES</v>
      </c>
      <c r="Q25" s="48" t="str">
        <f t="shared" si="10"/>
        <v>NO</v>
      </c>
      <c r="R25" s="48" t="str">
        <f t="shared" si="11"/>
        <v>YES</v>
      </c>
      <c r="S25" s="1" t="str">
        <f t="shared" si="12"/>
        <v/>
      </c>
    </row>
    <row r="26" spans="1:19" x14ac:dyDescent="0.25">
      <c r="A26" s="24" t="str">
        <f>'Step 2_Volumes'!A47</f>
        <v>08:00 - 09:00</v>
      </c>
      <c r="B26" s="25">
        <f>'Step 2_Volumes'!S47</f>
        <v>4</v>
      </c>
      <c r="C26" s="25">
        <f>'Step 2_Volumes'!T47</f>
        <v>316.99392768000007</v>
      </c>
      <c r="D26" s="25">
        <f>'Step 2_Volumes'!U47</f>
        <v>186.38698752000005</v>
      </c>
      <c r="E26" s="25">
        <f t="shared" si="0"/>
        <v>503.38091520000012</v>
      </c>
      <c r="F26" s="25">
        <f>'Step 2_Volumes'!V47</f>
        <v>197.2708992</v>
      </c>
      <c r="G26" s="25">
        <f>'Step 2_Volumes'!W47</f>
        <v>53.059069440000002</v>
      </c>
      <c r="H26" s="25">
        <f t="shared" si="1"/>
        <v>197.2708992</v>
      </c>
      <c r="I26" s="48" t="str">
        <f t="shared" si="2"/>
        <v>YES</v>
      </c>
      <c r="J26" s="48" t="str">
        <f t="shared" si="3"/>
        <v>YES</v>
      </c>
      <c r="K26" s="48" t="str">
        <f t="shared" si="4"/>
        <v>NO</v>
      </c>
      <c r="L26" s="48" t="str">
        <f t="shared" si="5"/>
        <v>YES</v>
      </c>
      <c r="M26" s="1" t="str">
        <f t="shared" si="6"/>
        <v>YES</v>
      </c>
      <c r="N26" s="1" t="str">
        <f t="shared" si="7"/>
        <v/>
      </c>
      <c r="O26" s="48" t="str">
        <f t="shared" si="8"/>
        <v>YES</v>
      </c>
      <c r="P26" s="48" t="str">
        <f t="shared" si="9"/>
        <v>YES</v>
      </c>
      <c r="Q26" s="48" t="str">
        <f t="shared" si="10"/>
        <v>NO</v>
      </c>
      <c r="R26" s="48" t="str">
        <f t="shared" si="11"/>
        <v>YES</v>
      </c>
      <c r="S26" s="1" t="str">
        <f t="shared" si="12"/>
        <v/>
      </c>
    </row>
    <row r="27" spans="1:19" x14ac:dyDescent="0.25">
      <c r="A27" s="24" t="str">
        <f>'Step 2_Volumes'!A48</f>
        <v>09:00 - 10:00</v>
      </c>
      <c r="B27" s="25">
        <f>'Step 2_Volumes'!S48</f>
        <v>3</v>
      </c>
      <c r="C27" s="25">
        <f>'Step 2_Volumes'!T48</f>
        <v>375.49495296000009</v>
      </c>
      <c r="D27" s="25">
        <f>'Step 2_Volumes'!U48</f>
        <v>156.45623040000004</v>
      </c>
      <c r="E27" s="25">
        <f t="shared" si="0"/>
        <v>531.95118336000019</v>
      </c>
      <c r="F27" s="25">
        <f>'Step 2_Volumes'!V48</f>
        <v>185.02649856000005</v>
      </c>
      <c r="G27" s="25">
        <f>'Step 2_Volumes'!W48</f>
        <v>40.814668800000007</v>
      </c>
      <c r="H27" s="25">
        <f t="shared" si="1"/>
        <v>185.02649856000005</v>
      </c>
      <c r="I27" s="48" t="str">
        <f t="shared" si="2"/>
        <v>YES</v>
      </c>
      <c r="J27" s="48" t="str">
        <f t="shared" si="3"/>
        <v>YES</v>
      </c>
      <c r="K27" s="48" t="str">
        <f t="shared" si="4"/>
        <v>NO</v>
      </c>
      <c r="L27" s="48" t="str">
        <f t="shared" si="5"/>
        <v>YES</v>
      </c>
      <c r="M27" s="1" t="str">
        <f t="shared" si="6"/>
        <v>YES</v>
      </c>
      <c r="N27" s="1" t="str">
        <f t="shared" si="7"/>
        <v/>
      </c>
      <c r="O27" s="48" t="str">
        <f t="shared" si="8"/>
        <v>YES</v>
      </c>
      <c r="P27" s="48" t="str">
        <f t="shared" si="9"/>
        <v>YES</v>
      </c>
      <c r="Q27" s="48" t="str">
        <f t="shared" si="10"/>
        <v>YES</v>
      </c>
      <c r="R27" s="48" t="str">
        <f t="shared" si="11"/>
        <v>YES</v>
      </c>
      <c r="S27" s="1" t="str">
        <f t="shared" si="12"/>
        <v>YES</v>
      </c>
    </row>
    <row r="28" spans="1:19" x14ac:dyDescent="0.25">
      <c r="A28" s="24" t="str">
        <f>'Step 2_Volumes'!A49</f>
        <v>10:00 - 11:00</v>
      </c>
      <c r="B28" s="25">
        <f>'Step 2_Volumes'!S49</f>
        <v>1</v>
      </c>
      <c r="C28" s="25">
        <f>'Step 2_Volumes'!T49</f>
        <v>431.27500032000012</v>
      </c>
      <c r="D28" s="25">
        <f>'Step 2_Volumes'!U49</f>
        <v>126.52547328000003</v>
      </c>
      <c r="E28" s="25">
        <f t="shared" si="0"/>
        <v>557.80047360000015</v>
      </c>
      <c r="F28" s="25">
        <f>'Step 2_Volumes'!V49</f>
        <v>242.16703488000005</v>
      </c>
      <c r="G28" s="25">
        <f>'Step 2_Volumes'!W49</f>
        <v>25.849290240000002</v>
      </c>
      <c r="H28" s="25">
        <f t="shared" si="1"/>
        <v>242.16703488000005</v>
      </c>
      <c r="I28" s="48" t="str">
        <f t="shared" si="2"/>
        <v>YES</v>
      </c>
      <c r="J28" s="48" t="str">
        <f t="shared" si="3"/>
        <v>YES</v>
      </c>
      <c r="K28" s="48" t="str">
        <f t="shared" si="4"/>
        <v>NO</v>
      </c>
      <c r="L28" s="48" t="str">
        <f t="shared" si="5"/>
        <v>YES</v>
      </c>
      <c r="M28" s="1" t="str">
        <f t="shared" si="6"/>
        <v>YES</v>
      </c>
      <c r="N28" s="1" t="str">
        <f t="shared" si="7"/>
        <v/>
      </c>
      <c r="O28" s="48" t="str">
        <f t="shared" si="8"/>
        <v>YES</v>
      </c>
      <c r="P28" s="48" t="str">
        <f t="shared" si="9"/>
        <v>YES</v>
      </c>
      <c r="Q28" s="48" t="str">
        <f t="shared" si="10"/>
        <v>YES</v>
      </c>
      <c r="R28" s="48" t="str">
        <f t="shared" si="11"/>
        <v>YES</v>
      </c>
      <c r="S28" s="1" t="str">
        <f t="shared" si="12"/>
        <v>YES</v>
      </c>
    </row>
    <row r="29" spans="1:19" x14ac:dyDescent="0.25">
      <c r="A29" s="24" t="str">
        <f>'Step 2_Volumes'!A50</f>
        <v>11:00 - 12:00</v>
      </c>
      <c r="B29" s="25">
        <f>'Step 2_Volumes'!S50</f>
        <v>2</v>
      </c>
      <c r="C29" s="25">
        <f>'Step 2_Volumes'!T50</f>
        <v>364.61104128000011</v>
      </c>
      <c r="D29" s="25">
        <f>'Step 2_Volumes'!U50</f>
        <v>74.82689280000001</v>
      </c>
      <c r="E29" s="25">
        <f t="shared" si="0"/>
        <v>439.4379340800001</v>
      </c>
      <c r="F29" s="25">
        <f>'Step 2_Volumes'!V50</f>
        <v>293.86561536000005</v>
      </c>
      <c r="G29" s="25">
        <f>'Step 2_Volumes'!W50</f>
        <v>19.046845440000013</v>
      </c>
      <c r="H29" s="25">
        <f t="shared" si="1"/>
        <v>293.86561536000005</v>
      </c>
      <c r="I29" s="48" t="str">
        <f t="shared" si="2"/>
        <v>YES</v>
      </c>
      <c r="J29" s="48" t="str">
        <f t="shared" si="3"/>
        <v>YES</v>
      </c>
      <c r="K29" s="48" t="str">
        <f t="shared" si="4"/>
        <v>NO</v>
      </c>
      <c r="L29" s="48" t="str">
        <f t="shared" si="5"/>
        <v>YES</v>
      </c>
      <c r="M29" s="1" t="str">
        <f t="shared" si="6"/>
        <v>YES</v>
      </c>
      <c r="N29" s="1" t="str">
        <f t="shared" si="7"/>
        <v/>
      </c>
      <c r="O29" s="48" t="str">
        <f t="shared" si="8"/>
        <v>YES</v>
      </c>
      <c r="P29" s="48" t="str">
        <f t="shared" si="9"/>
        <v>YES</v>
      </c>
      <c r="Q29" s="48" t="str">
        <f t="shared" si="10"/>
        <v>NO</v>
      </c>
      <c r="R29" s="48" t="str">
        <f t="shared" si="11"/>
        <v>YES</v>
      </c>
      <c r="S29" s="1" t="str">
        <f t="shared" si="12"/>
        <v/>
      </c>
    </row>
    <row r="30" spans="1:19" x14ac:dyDescent="0.25">
      <c r="A30" s="24" t="str">
        <f>'Step 2_Volumes'!A51</f>
        <v>12:00 - 13:00</v>
      </c>
      <c r="B30" s="25">
        <f>'Step 2_Volumes'!S51</f>
        <v>13</v>
      </c>
      <c r="C30" s="25">
        <f>'Step 2_Volumes'!T51</f>
        <v>0</v>
      </c>
      <c r="D30" s="25">
        <f>'Step 2_Volumes'!U51</f>
        <v>0</v>
      </c>
      <c r="E30" s="25">
        <f t="shared" ref="E30:E41" si="13">SUM(C30:D30)</f>
        <v>0</v>
      </c>
      <c r="F30" s="25">
        <f>'Step 2_Volumes'!V51</f>
        <v>0</v>
      </c>
      <c r="G30" s="25">
        <f>'Step 2_Volumes'!W51</f>
        <v>0</v>
      </c>
      <c r="H30" s="25">
        <f t="shared" ref="H30:H41" si="14">MAX(F30:G30)</f>
        <v>0</v>
      </c>
      <c r="I30" s="48" t="str">
        <f t="shared" si="2"/>
        <v>NO</v>
      </c>
      <c r="J30" s="48" t="str">
        <f t="shared" si="3"/>
        <v>NO</v>
      </c>
      <c r="K30" s="48" t="str">
        <f t="shared" si="4"/>
        <v>NO</v>
      </c>
      <c r="L30" s="48" t="str">
        <f t="shared" si="5"/>
        <v>NO</v>
      </c>
      <c r="M30" s="1" t="str">
        <f t="shared" si="6"/>
        <v/>
      </c>
      <c r="N30" s="1" t="str">
        <f t="shared" si="7"/>
        <v/>
      </c>
      <c r="O30" s="48" t="str">
        <f t="shared" si="8"/>
        <v>NO</v>
      </c>
      <c r="P30" s="48" t="str">
        <f t="shared" si="9"/>
        <v>NO</v>
      </c>
      <c r="Q30" s="48" t="str">
        <f t="shared" si="10"/>
        <v>NO</v>
      </c>
      <c r="R30" s="48" t="str">
        <f t="shared" si="11"/>
        <v>NO</v>
      </c>
      <c r="S30" s="1" t="str">
        <f t="shared" si="12"/>
        <v/>
      </c>
    </row>
    <row r="31" spans="1:19" x14ac:dyDescent="0.25">
      <c r="A31" s="24" t="str">
        <f>'Step 2_Volumes'!A52</f>
        <v>13:00 - 14:00</v>
      </c>
      <c r="B31" s="25">
        <f>'Step 2_Volumes'!S52</f>
        <v>14</v>
      </c>
      <c r="C31" s="25">
        <f>'Step 2_Volumes'!T52</f>
        <v>0</v>
      </c>
      <c r="D31" s="25">
        <f>'Step 2_Volumes'!U52</f>
        <v>0</v>
      </c>
      <c r="E31" s="25">
        <f t="shared" si="13"/>
        <v>0</v>
      </c>
      <c r="F31" s="25">
        <f>'Step 2_Volumes'!V52</f>
        <v>0</v>
      </c>
      <c r="G31" s="25">
        <f>'Step 2_Volumes'!W52</f>
        <v>0</v>
      </c>
      <c r="H31" s="25">
        <f t="shared" si="14"/>
        <v>0</v>
      </c>
      <c r="I31" s="48" t="str">
        <f t="shared" si="2"/>
        <v>NO</v>
      </c>
      <c r="J31" s="48" t="str">
        <f t="shared" si="3"/>
        <v>NO</v>
      </c>
      <c r="K31" s="48" t="str">
        <f t="shared" si="4"/>
        <v>NO</v>
      </c>
      <c r="L31" s="48" t="str">
        <f t="shared" si="5"/>
        <v>NO</v>
      </c>
      <c r="M31" s="1" t="str">
        <f t="shared" si="6"/>
        <v/>
      </c>
      <c r="N31" s="1" t="str">
        <f t="shared" si="7"/>
        <v/>
      </c>
      <c r="O31" s="48" t="str">
        <f t="shared" si="8"/>
        <v>NO</v>
      </c>
      <c r="P31" s="48" t="str">
        <f t="shared" si="9"/>
        <v>NO</v>
      </c>
      <c r="Q31" s="48" t="str">
        <f t="shared" si="10"/>
        <v>NO</v>
      </c>
      <c r="R31" s="48" t="str">
        <f t="shared" si="11"/>
        <v>NO</v>
      </c>
      <c r="S31" s="1" t="str">
        <f t="shared" si="12"/>
        <v/>
      </c>
    </row>
    <row r="32" spans="1:19" x14ac:dyDescent="0.25">
      <c r="A32" s="24" t="str">
        <f>'Step 2_Volumes'!A53</f>
        <v>14:00 - 15:00</v>
      </c>
      <c r="B32" s="25">
        <f>'Step 2_Volumes'!S53</f>
        <v>15</v>
      </c>
      <c r="C32" s="25">
        <f>'Step 2_Volumes'!T53</f>
        <v>0</v>
      </c>
      <c r="D32" s="25">
        <f>'Step 2_Volumes'!U53</f>
        <v>0</v>
      </c>
      <c r="E32" s="25">
        <f t="shared" si="13"/>
        <v>0</v>
      </c>
      <c r="F32" s="25">
        <f>'Step 2_Volumes'!V53</f>
        <v>0</v>
      </c>
      <c r="G32" s="25">
        <f>'Step 2_Volumes'!W53</f>
        <v>0</v>
      </c>
      <c r="H32" s="25">
        <f t="shared" si="14"/>
        <v>0</v>
      </c>
      <c r="I32" s="48" t="str">
        <f t="shared" si="2"/>
        <v>NO</v>
      </c>
      <c r="J32" s="48" t="str">
        <f t="shared" si="3"/>
        <v>NO</v>
      </c>
      <c r="K32" s="48" t="str">
        <f t="shared" si="4"/>
        <v>NO</v>
      </c>
      <c r="L32" s="48" t="str">
        <f t="shared" si="5"/>
        <v>NO</v>
      </c>
      <c r="M32" s="1" t="str">
        <f t="shared" si="6"/>
        <v/>
      </c>
      <c r="N32" s="1" t="str">
        <f t="shared" si="7"/>
        <v/>
      </c>
      <c r="O32" s="48" t="str">
        <f t="shared" si="8"/>
        <v>NO</v>
      </c>
      <c r="P32" s="48" t="str">
        <f t="shared" si="9"/>
        <v>NO</v>
      </c>
      <c r="Q32" s="48" t="str">
        <f t="shared" si="10"/>
        <v>NO</v>
      </c>
      <c r="R32" s="48" t="str">
        <f t="shared" si="11"/>
        <v>NO</v>
      </c>
      <c r="S32" s="1" t="str">
        <f t="shared" si="12"/>
        <v/>
      </c>
    </row>
    <row r="33" spans="1:19" x14ac:dyDescent="0.25">
      <c r="A33" s="24" t="str">
        <f>'Step 2_Volumes'!A54</f>
        <v>15:00 - 16:00</v>
      </c>
      <c r="B33" s="25">
        <f>'Step 2_Volumes'!S54</f>
        <v>16</v>
      </c>
      <c r="C33" s="25">
        <f>'Step 2_Volumes'!T54</f>
        <v>0</v>
      </c>
      <c r="D33" s="25">
        <f>'Step 2_Volumes'!U54</f>
        <v>0</v>
      </c>
      <c r="E33" s="25">
        <f t="shared" si="13"/>
        <v>0</v>
      </c>
      <c r="F33" s="25">
        <f>'Step 2_Volumes'!V54</f>
        <v>0</v>
      </c>
      <c r="G33" s="25">
        <f>'Step 2_Volumes'!W54</f>
        <v>0</v>
      </c>
      <c r="H33" s="25">
        <f t="shared" si="14"/>
        <v>0</v>
      </c>
      <c r="I33" s="48" t="str">
        <f t="shared" si="2"/>
        <v>NO</v>
      </c>
      <c r="J33" s="48" t="str">
        <f t="shared" si="3"/>
        <v>NO</v>
      </c>
      <c r="K33" s="48" t="str">
        <f t="shared" si="4"/>
        <v>NO</v>
      </c>
      <c r="L33" s="48" t="str">
        <f t="shared" si="5"/>
        <v>NO</v>
      </c>
      <c r="M33" s="1" t="str">
        <f t="shared" si="6"/>
        <v/>
      </c>
      <c r="N33" s="1" t="str">
        <f t="shared" si="7"/>
        <v/>
      </c>
      <c r="O33" s="48" t="str">
        <f t="shared" si="8"/>
        <v>NO</v>
      </c>
      <c r="P33" s="48" t="str">
        <f t="shared" si="9"/>
        <v>NO</v>
      </c>
      <c r="Q33" s="48" t="str">
        <f t="shared" si="10"/>
        <v>NO</v>
      </c>
      <c r="R33" s="48" t="str">
        <f t="shared" si="11"/>
        <v>NO</v>
      </c>
      <c r="S33" s="1" t="str">
        <f t="shared" si="12"/>
        <v/>
      </c>
    </row>
    <row r="34" spans="1:19" x14ac:dyDescent="0.25">
      <c r="A34" s="24" t="str">
        <f>'Step 2_Volumes'!A55</f>
        <v>16:00 - 17:00</v>
      </c>
      <c r="B34" s="25">
        <f>'Step 2_Volumes'!S55</f>
        <v>17</v>
      </c>
      <c r="C34" s="25">
        <f>'Step 2_Volumes'!T55</f>
        <v>0</v>
      </c>
      <c r="D34" s="25">
        <f>'Step 2_Volumes'!U55</f>
        <v>0</v>
      </c>
      <c r="E34" s="25">
        <f t="shared" si="13"/>
        <v>0</v>
      </c>
      <c r="F34" s="25">
        <f>'Step 2_Volumes'!V55</f>
        <v>0</v>
      </c>
      <c r="G34" s="25">
        <f>'Step 2_Volumes'!W55</f>
        <v>0</v>
      </c>
      <c r="H34" s="25">
        <f t="shared" si="14"/>
        <v>0</v>
      </c>
      <c r="I34" s="48" t="str">
        <f t="shared" si="2"/>
        <v>NO</v>
      </c>
      <c r="J34" s="48" t="str">
        <f t="shared" si="3"/>
        <v>NO</v>
      </c>
      <c r="K34" s="48" t="str">
        <f t="shared" si="4"/>
        <v>NO</v>
      </c>
      <c r="L34" s="48" t="str">
        <f t="shared" si="5"/>
        <v>NO</v>
      </c>
      <c r="M34" s="1" t="str">
        <f t="shared" si="6"/>
        <v/>
      </c>
      <c r="N34" s="1" t="str">
        <f t="shared" si="7"/>
        <v/>
      </c>
      <c r="O34" s="48" t="str">
        <f t="shared" si="8"/>
        <v>NO</v>
      </c>
      <c r="P34" s="48" t="str">
        <f t="shared" si="9"/>
        <v>NO</v>
      </c>
      <c r="Q34" s="48" t="str">
        <f t="shared" si="10"/>
        <v>NO</v>
      </c>
      <c r="R34" s="48" t="str">
        <f t="shared" si="11"/>
        <v>NO</v>
      </c>
      <c r="S34" s="1" t="str">
        <f t="shared" si="12"/>
        <v/>
      </c>
    </row>
    <row r="35" spans="1:19" x14ac:dyDescent="0.25">
      <c r="A35" s="24" t="str">
        <f>'Step 2_Volumes'!A56</f>
        <v>17:00 - 18:00</v>
      </c>
      <c r="B35" s="25">
        <f>'Step 2_Volumes'!S56</f>
        <v>18</v>
      </c>
      <c r="C35" s="25">
        <f>'Step 2_Volumes'!T56</f>
        <v>0</v>
      </c>
      <c r="D35" s="25">
        <f>'Step 2_Volumes'!U56</f>
        <v>0</v>
      </c>
      <c r="E35" s="25">
        <f t="shared" si="13"/>
        <v>0</v>
      </c>
      <c r="F35" s="25">
        <f>'Step 2_Volumes'!V56</f>
        <v>0</v>
      </c>
      <c r="G35" s="25">
        <f>'Step 2_Volumes'!W56</f>
        <v>0</v>
      </c>
      <c r="H35" s="25">
        <f t="shared" si="14"/>
        <v>0</v>
      </c>
      <c r="I35" s="48" t="str">
        <f t="shared" si="2"/>
        <v>NO</v>
      </c>
      <c r="J35" s="48" t="str">
        <f t="shared" si="3"/>
        <v>NO</v>
      </c>
      <c r="K35" s="48" t="str">
        <f t="shared" si="4"/>
        <v>NO</v>
      </c>
      <c r="L35" s="48" t="str">
        <f t="shared" si="5"/>
        <v>NO</v>
      </c>
      <c r="M35" s="1" t="str">
        <f t="shared" si="6"/>
        <v/>
      </c>
      <c r="N35" s="1" t="str">
        <f t="shared" si="7"/>
        <v/>
      </c>
      <c r="O35" s="48" t="str">
        <f t="shared" si="8"/>
        <v>NO</v>
      </c>
      <c r="P35" s="48" t="str">
        <f t="shared" si="9"/>
        <v>NO</v>
      </c>
      <c r="Q35" s="48" t="str">
        <f t="shared" si="10"/>
        <v>NO</v>
      </c>
      <c r="R35" s="48" t="str">
        <f t="shared" si="11"/>
        <v>NO</v>
      </c>
      <c r="S35" s="1" t="str">
        <f t="shared" si="12"/>
        <v/>
      </c>
    </row>
    <row r="36" spans="1:19" x14ac:dyDescent="0.25">
      <c r="A36" s="49" t="str">
        <f>'Step 2_Volumes'!A57</f>
        <v>18:00 - 19:00</v>
      </c>
      <c r="B36" s="25">
        <f>'Step 2_Volumes'!S57</f>
        <v>19</v>
      </c>
      <c r="C36" s="25">
        <f>'Step 2_Volumes'!T57</f>
        <v>0</v>
      </c>
      <c r="D36" s="25">
        <f>'Step 2_Volumes'!U57</f>
        <v>0</v>
      </c>
      <c r="E36" s="25">
        <f t="shared" si="13"/>
        <v>0</v>
      </c>
      <c r="F36" s="25">
        <f>'Step 2_Volumes'!V57</f>
        <v>0</v>
      </c>
      <c r="G36" s="25">
        <f>'Step 2_Volumes'!W57</f>
        <v>0</v>
      </c>
      <c r="H36" s="25">
        <f t="shared" si="14"/>
        <v>0</v>
      </c>
      <c r="I36" s="48" t="str">
        <f t="shared" si="2"/>
        <v>NO</v>
      </c>
      <c r="J36" s="48" t="str">
        <f t="shared" si="3"/>
        <v>NO</v>
      </c>
      <c r="K36" s="48" t="str">
        <f t="shared" si="4"/>
        <v>NO</v>
      </c>
      <c r="L36" s="48" t="str">
        <f t="shared" si="5"/>
        <v>NO</v>
      </c>
      <c r="M36" s="48" t="str">
        <f t="shared" ref="M36:M41" si="15">IF(AND(I36="YES",J36="YES"),"YES","")</f>
        <v/>
      </c>
      <c r="N36" s="48" t="str">
        <f t="shared" ref="N36:N41" si="16">IF(AND(K36="YES",L36="YES"),"YES","")</f>
        <v/>
      </c>
      <c r="O36" s="48" t="str">
        <f t="shared" si="8"/>
        <v>NO</v>
      </c>
      <c r="P36" s="48" t="str">
        <f t="shared" si="9"/>
        <v>NO</v>
      </c>
      <c r="Q36" s="48" t="str">
        <f t="shared" si="10"/>
        <v>NO</v>
      </c>
      <c r="R36" s="48" t="str">
        <f t="shared" si="11"/>
        <v>NO</v>
      </c>
      <c r="S36" s="48" t="str">
        <f t="shared" ref="S36:S41" si="17">IF(AND(O36="YES",P36="YES",Q36="YES",R36="YES"),"YES","")</f>
        <v/>
      </c>
    </row>
    <row r="37" spans="1:19" x14ac:dyDescent="0.25">
      <c r="A37" s="49" t="str">
        <f>'Step 2_Volumes'!A58</f>
        <v>19:00 - 20:00</v>
      </c>
      <c r="B37" s="25">
        <f>'Step 2_Volumes'!S58</f>
        <v>20</v>
      </c>
      <c r="C37" s="25">
        <f>'Step 2_Volumes'!T58</f>
        <v>0</v>
      </c>
      <c r="D37" s="25">
        <f>'Step 2_Volumes'!U58</f>
        <v>0</v>
      </c>
      <c r="E37" s="25">
        <f t="shared" si="13"/>
        <v>0</v>
      </c>
      <c r="F37" s="25">
        <f>'Step 2_Volumes'!V58</f>
        <v>0</v>
      </c>
      <c r="G37" s="25">
        <f>'Step 2_Volumes'!W58</f>
        <v>0</v>
      </c>
      <c r="H37" s="25">
        <f t="shared" si="14"/>
        <v>0</v>
      </c>
      <c r="I37" s="48" t="str">
        <f t="shared" si="2"/>
        <v>NO</v>
      </c>
      <c r="J37" s="48" t="str">
        <f t="shared" si="3"/>
        <v>NO</v>
      </c>
      <c r="K37" s="48" t="str">
        <f t="shared" si="4"/>
        <v>NO</v>
      </c>
      <c r="L37" s="48" t="str">
        <f t="shared" si="5"/>
        <v>NO</v>
      </c>
      <c r="M37" s="48" t="str">
        <f t="shared" si="15"/>
        <v/>
      </c>
      <c r="N37" s="48" t="str">
        <f t="shared" si="16"/>
        <v/>
      </c>
      <c r="O37" s="48" t="str">
        <f t="shared" si="8"/>
        <v>NO</v>
      </c>
      <c r="P37" s="48" t="str">
        <f t="shared" si="9"/>
        <v>NO</v>
      </c>
      <c r="Q37" s="48" t="str">
        <f t="shared" si="10"/>
        <v>NO</v>
      </c>
      <c r="R37" s="48" t="str">
        <f t="shared" si="11"/>
        <v>NO</v>
      </c>
      <c r="S37" s="48" t="str">
        <f t="shared" si="17"/>
        <v/>
      </c>
    </row>
    <row r="38" spans="1:19" x14ac:dyDescent="0.25">
      <c r="A38" s="49" t="str">
        <f>'Step 2_Volumes'!A59</f>
        <v>20:00 - 21:00</v>
      </c>
      <c r="B38" s="25">
        <f>'Step 2_Volumes'!S59</f>
        <v>21</v>
      </c>
      <c r="C38" s="25">
        <f>'Step 2_Volumes'!T59</f>
        <v>0</v>
      </c>
      <c r="D38" s="25">
        <f>'Step 2_Volumes'!U59</f>
        <v>0</v>
      </c>
      <c r="E38" s="25">
        <f t="shared" si="13"/>
        <v>0</v>
      </c>
      <c r="F38" s="25">
        <f>'Step 2_Volumes'!V59</f>
        <v>0</v>
      </c>
      <c r="G38" s="25">
        <f>'Step 2_Volumes'!W59</f>
        <v>0</v>
      </c>
      <c r="H38" s="25">
        <f t="shared" si="14"/>
        <v>0</v>
      </c>
      <c r="I38" s="48" t="str">
        <f t="shared" si="2"/>
        <v>NO</v>
      </c>
      <c r="J38" s="48" t="str">
        <f t="shared" si="3"/>
        <v>NO</v>
      </c>
      <c r="K38" s="48" t="str">
        <f t="shared" si="4"/>
        <v>NO</v>
      </c>
      <c r="L38" s="48" t="str">
        <f t="shared" si="5"/>
        <v>NO</v>
      </c>
      <c r="M38" s="48" t="str">
        <f t="shared" si="15"/>
        <v/>
      </c>
      <c r="N38" s="48" t="str">
        <f t="shared" si="16"/>
        <v/>
      </c>
      <c r="O38" s="48" t="str">
        <f t="shared" si="8"/>
        <v>NO</v>
      </c>
      <c r="P38" s="48" t="str">
        <f t="shared" si="9"/>
        <v>NO</v>
      </c>
      <c r="Q38" s="48" t="str">
        <f t="shared" si="10"/>
        <v>NO</v>
      </c>
      <c r="R38" s="48" t="str">
        <f t="shared" si="11"/>
        <v>NO</v>
      </c>
      <c r="S38" s="48" t="str">
        <f t="shared" si="17"/>
        <v/>
      </c>
    </row>
    <row r="39" spans="1:19" x14ac:dyDescent="0.25">
      <c r="A39" s="49" t="str">
        <f>'Step 2_Volumes'!A60</f>
        <v>21:00 - 22:00</v>
      </c>
      <c r="B39" s="25">
        <f>'Step 2_Volumes'!S60</f>
        <v>22</v>
      </c>
      <c r="C39" s="25">
        <f>'Step 2_Volumes'!T60</f>
        <v>0</v>
      </c>
      <c r="D39" s="25">
        <f>'Step 2_Volumes'!U60</f>
        <v>0</v>
      </c>
      <c r="E39" s="25">
        <f t="shared" si="13"/>
        <v>0</v>
      </c>
      <c r="F39" s="25">
        <f>'Step 2_Volumes'!V60</f>
        <v>0</v>
      </c>
      <c r="G39" s="25">
        <f>'Step 2_Volumes'!W60</f>
        <v>0</v>
      </c>
      <c r="H39" s="25">
        <f t="shared" si="14"/>
        <v>0</v>
      </c>
      <c r="I39" s="48" t="str">
        <f t="shared" si="2"/>
        <v>NO</v>
      </c>
      <c r="J39" s="48" t="str">
        <f t="shared" si="3"/>
        <v>NO</v>
      </c>
      <c r="K39" s="48" t="str">
        <f t="shared" si="4"/>
        <v>NO</v>
      </c>
      <c r="L39" s="48" t="str">
        <f t="shared" si="5"/>
        <v>NO</v>
      </c>
      <c r="M39" s="48" t="str">
        <f t="shared" si="15"/>
        <v/>
      </c>
      <c r="N39" s="48" t="str">
        <f t="shared" si="16"/>
        <v/>
      </c>
      <c r="O39" s="48" t="str">
        <f t="shared" si="8"/>
        <v>NO</v>
      </c>
      <c r="P39" s="48" t="str">
        <f t="shared" si="9"/>
        <v>NO</v>
      </c>
      <c r="Q39" s="48" t="str">
        <f t="shared" si="10"/>
        <v>NO</v>
      </c>
      <c r="R39" s="48" t="str">
        <f t="shared" si="11"/>
        <v>NO</v>
      </c>
      <c r="S39" s="48" t="str">
        <f t="shared" si="17"/>
        <v/>
      </c>
    </row>
    <row r="40" spans="1:19" x14ac:dyDescent="0.25">
      <c r="A40" s="49" t="str">
        <f>'Step 2_Volumes'!A61</f>
        <v>22:00 - 23:00</v>
      </c>
      <c r="B40" s="25">
        <f>'Step 2_Volumes'!S61</f>
        <v>23</v>
      </c>
      <c r="C40" s="25">
        <f>'Step 2_Volumes'!T61</f>
        <v>0</v>
      </c>
      <c r="D40" s="25">
        <f>'Step 2_Volumes'!U61</f>
        <v>0</v>
      </c>
      <c r="E40" s="25">
        <f t="shared" si="13"/>
        <v>0</v>
      </c>
      <c r="F40" s="25">
        <f>'Step 2_Volumes'!V61</f>
        <v>0</v>
      </c>
      <c r="G40" s="25">
        <f>'Step 2_Volumes'!W61</f>
        <v>0</v>
      </c>
      <c r="H40" s="25">
        <f t="shared" si="14"/>
        <v>0</v>
      </c>
      <c r="I40" s="48" t="str">
        <f t="shared" si="2"/>
        <v>NO</v>
      </c>
      <c r="J40" s="48" t="str">
        <f t="shared" si="3"/>
        <v>NO</v>
      </c>
      <c r="K40" s="48" t="str">
        <f t="shared" si="4"/>
        <v>NO</v>
      </c>
      <c r="L40" s="48" t="str">
        <f t="shared" si="5"/>
        <v>NO</v>
      </c>
      <c r="M40" s="48" t="str">
        <f t="shared" si="15"/>
        <v/>
      </c>
      <c r="N40" s="48" t="str">
        <f t="shared" si="16"/>
        <v/>
      </c>
      <c r="O40" s="48" t="str">
        <f t="shared" si="8"/>
        <v>NO</v>
      </c>
      <c r="P40" s="48" t="str">
        <f t="shared" si="9"/>
        <v>NO</v>
      </c>
      <c r="Q40" s="48" t="str">
        <f t="shared" si="10"/>
        <v>NO</v>
      </c>
      <c r="R40" s="48" t="str">
        <f t="shared" si="11"/>
        <v>NO</v>
      </c>
      <c r="S40" s="48" t="str">
        <f t="shared" si="17"/>
        <v/>
      </c>
    </row>
    <row r="41" spans="1:19" x14ac:dyDescent="0.25">
      <c r="A41" s="49" t="str">
        <f>'Step 2_Volumes'!A62</f>
        <v>23:00 - 24:00</v>
      </c>
      <c r="B41" s="25">
        <f>'Step 2_Volumes'!S62</f>
        <v>24</v>
      </c>
      <c r="C41" s="25">
        <f>'Step 2_Volumes'!T62</f>
        <v>0</v>
      </c>
      <c r="D41" s="25">
        <f>'Step 2_Volumes'!U62</f>
        <v>0</v>
      </c>
      <c r="E41" s="25">
        <f t="shared" si="13"/>
        <v>0</v>
      </c>
      <c r="F41" s="25">
        <f>'Step 2_Volumes'!V62</f>
        <v>0</v>
      </c>
      <c r="G41" s="25">
        <f>'Step 2_Volumes'!W62</f>
        <v>0</v>
      </c>
      <c r="H41" s="25">
        <f t="shared" si="14"/>
        <v>0</v>
      </c>
      <c r="I41" s="48" t="str">
        <f t="shared" si="2"/>
        <v>NO</v>
      </c>
      <c r="J41" s="48" t="str">
        <f t="shared" si="3"/>
        <v>NO</v>
      </c>
      <c r="K41" s="48" t="str">
        <f t="shared" si="4"/>
        <v>NO</v>
      </c>
      <c r="L41" s="48" t="str">
        <f t="shared" si="5"/>
        <v>NO</v>
      </c>
      <c r="M41" s="48" t="str">
        <f t="shared" si="15"/>
        <v/>
      </c>
      <c r="N41" s="48" t="str">
        <f t="shared" si="16"/>
        <v/>
      </c>
      <c r="O41" s="48" t="str">
        <f t="shared" si="8"/>
        <v>NO</v>
      </c>
      <c r="P41" s="48" t="str">
        <f t="shared" si="9"/>
        <v>NO</v>
      </c>
      <c r="Q41" s="48" t="str">
        <f t="shared" si="10"/>
        <v>NO</v>
      </c>
      <c r="R41" s="48" t="str">
        <f t="shared" si="11"/>
        <v>NO</v>
      </c>
      <c r="S41" s="48" t="str">
        <f t="shared" si="17"/>
        <v/>
      </c>
    </row>
    <row r="42" spans="1:19" x14ac:dyDescent="0.25">
      <c r="A42" s="96" t="s">
        <v>72</v>
      </c>
      <c r="B42" s="96"/>
      <c r="C42" s="96"/>
      <c r="D42" s="96"/>
      <c r="E42" s="96"/>
      <c r="F42" s="96"/>
      <c r="G42" s="96"/>
      <c r="H42" s="96"/>
      <c r="I42" s="26"/>
      <c r="J42" s="26"/>
      <c r="K42" s="26"/>
      <c r="L42" s="26"/>
      <c r="M42" s="26">
        <f t="shared" ref="M42:N42" si="18">COUNTIF(M18:M41,"YES")</f>
        <v>4</v>
      </c>
      <c r="N42" s="26">
        <f t="shared" si="18"/>
        <v>0</v>
      </c>
      <c r="O42" s="26"/>
      <c r="P42" s="26"/>
      <c r="Q42" s="26"/>
      <c r="R42" s="26"/>
      <c r="S42" s="26">
        <f t="shared" ref="S42" si="19">COUNTIF(S18:S41,"YES")</f>
        <v>2</v>
      </c>
    </row>
    <row r="43" spans="1:19" x14ac:dyDescent="0.25">
      <c r="L43" s="2" t="s">
        <v>91</v>
      </c>
      <c r="M43" s="34" t="b">
        <f>M42&gt;=8</f>
        <v>0</v>
      </c>
      <c r="N43" s="34" t="b">
        <f>N42&gt;=8</f>
        <v>0</v>
      </c>
      <c r="S43" s="34" t="b">
        <f>S42&gt;=8</f>
        <v>0</v>
      </c>
    </row>
  </sheetData>
  <sheetProtection sheet="1" objects="1" scenarios="1"/>
  <mergeCells count="27">
    <mergeCell ref="A1:H1"/>
    <mergeCell ref="A2:B2"/>
    <mergeCell ref="A15:A17"/>
    <mergeCell ref="B15:B17"/>
    <mergeCell ref="C15:E15"/>
    <mergeCell ref="F15:H15"/>
    <mergeCell ref="A42:H42"/>
    <mergeCell ref="M16:N17"/>
    <mergeCell ref="O15:P15"/>
    <mergeCell ref="Q15:R15"/>
    <mergeCell ref="B9:E9"/>
    <mergeCell ref="F9:I9"/>
    <mergeCell ref="K9:N9"/>
    <mergeCell ref="I15:J15"/>
    <mergeCell ref="K15:L15"/>
    <mergeCell ref="C16:C17"/>
    <mergeCell ref="D16:D17"/>
    <mergeCell ref="E16:E17"/>
    <mergeCell ref="F16:F17"/>
    <mergeCell ref="G16:G17"/>
    <mergeCell ref="H16:H17"/>
    <mergeCell ref="I14:N14"/>
    <mergeCell ref="S15:S17"/>
    <mergeCell ref="O14:S14"/>
    <mergeCell ref="O9:R9"/>
    <mergeCell ref="K8:R8"/>
    <mergeCell ref="B8:I8"/>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4097" r:id="rId3" name="Check Box 1">
              <controlPr defaultSize="0" autoFill="0" autoLine="0" autoPict="0">
                <anchor moveWithCells="1">
                  <from>
                    <xdr:col>5</xdr:col>
                    <xdr:colOff>38100</xdr:colOff>
                    <xdr:row>2</xdr:row>
                    <xdr:rowOff>180975</xdr:rowOff>
                  </from>
                  <to>
                    <xdr:col>5</xdr:col>
                    <xdr:colOff>523875</xdr:colOff>
                    <xdr:row>4</xdr:row>
                    <xdr:rowOff>9525</xdr:rowOff>
                  </to>
                </anchor>
              </controlPr>
            </control>
          </mc:Choice>
        </mc:AlternateContent>
        <mc:AlternateContent xmlns:mc="http://schemas.openxmlformats.org/markup-compatibility/2006">
          <mc:Choice Requires="x14">
            <control shapeId="4098" r:id="rId4" name="Check Box 2">
              <controlPr defaultSize="0" autoFill="0" autoLine="0" autoPict="0">
                <anchor moveWithCells="1">
                  <from>
                    <xdr:col>5</xdr:col>
                    <xdr:colOff>47625</xdr:colOff>
                    <xdr:row>4</xdr:row>
                    <xdr:rowOff>180975</xdr:rowOff>
                  </from>
                  <to>
                    <xdr:col>5</xdr:col>
                    <xdr:colOff>533400</xdr:colOff>
                    <xdr:row>6</xdr:row>
                    <xdr:rowOff>9525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26"/>
  <sheetViews>
    <sheetView zoomScaleNormal="100" workbookViewId="0">
      <selection activeCell="P6" sqref="P6"/>
    </sheetView>
  </sheetViews>
  <sheetFormatPr defaultRowHeight="15" x14ac:dyDescent="0.25"/>
  <cols>
    <col min="2" max="2" width="20.42578125" customWidth="1"/>
    <col min="3" max="3" width="23.7109375" customWidth="1"/>
  </cols>
  <sheetData>
    <row r="1" spans="1:10" x14ac:dyDescent="0.25">
      <c r="A1" s="84" t="s">
        <v>80</v>
      </c>
      <c r="B1" s="85"/>
      <c r="C1" s="85"/>
      <c r="D1" s="85"/>
      <c r="E1" s="85"/>
      <c r="F1" s="85"/>
      <c r="G1" s="85"/>
      <c r="H1" s="85"/>
    </row>
    <row r="2" spans="1:10" ht="15.75" thickBot="1" x14ac:dyDescent="0.3">
      <c r="A2" s="1" t="s">
        <v>48</v>
      </c>
      <c r="B2" s="1" t="s">
        <v>81</v>
      </c>
      <c r="C2" s="1" t="s">
        <v>47</v>
      </c>
    </row>
    <row r="3" spans="1:10" ht="15.75" thickBot="1" x14ac:dyDescent="0.3">
      <c r="A3" s="1">
        <v>1</v>
      </c>
      <c r="B3" s="1">
        <f>VLOOKUP(A3,'Step 2_Volumes'!$S$39:$Y$62,6,FALSE)</f>
        <v>557.80047360000015</v>
      </c>
      <c r="C3" s="1">
        <f>VLOOKUP(A3,'Step 2_Volumes'!$S$39:$Y$62,7,FALSE)</f>
        <v>242.16703488000005</v>
      </c>
      <c r="E3" s="77" t="s">
        <v>83</v>
      </c>
      <c r="F3" s="78"/>
      <c r="G3" s="108"/>
      <c r="H3" s="109" t="str">
        <f>IF(Choice!N9,"4C-2","4C-1")</f>
        <v>4C-2</v>
      </c>
      <c r="I3" s="110"/>
      <c r="J3" s="111"/>
    </row>
    <row r="4" spans="1:10" ht="15.75" thickBot="1" x14ac:dyDescent="0.3">
      <c r="A4" s="1">
        <v>2</v>
      </c>
      <c r="B4" s="1">
        <f>VLOOKUP(A4,'Step 2_Volumes'!$S$39:$Y$62,6,FALSE)</f>
        <v>439.4379340800001</v>
      </c>
      <c r="C4" s="1">
        <f>VLOOKUP(A4,'Step 2_Volumes'!$S$39:$Y$62,7,FALSE)</f>
        <v>293.86561536000005</v>
      </c>
      <c r="E4" s="77" t="s">
        <v>82</v>
      </c>
      <c r="F4" s="78"/>
      <c r="G4" s="108"/>
      <c r="H4" s="109" t="str">
        <f>'Step 1_Lanes'!$B$21</f>
        <v>2 or more lanes and 1 lane</v>
      </c>
      <c r="I4" s="110"/>
      <c r="J4" s="111"/>
    </row>
    <row r="5" spans="1:10" x14ac:dyDescent="0.25">
      <c r="A5" s="1">
        <v>3</v>
      </c>
      <c r="B5" s="1">
        <f>VLOOKUP(A5,'Step 2_Volumes'!$S$39:$Y$62,6,FALSE)</f>
        <v>531.95118336000019</v>
      </c>
      <c r="C5" s="1">
        <f>VLOOKUP(A5,'Step 2_Volumes'!$S$39:$Y$62,7,FALSE)</f>
        <v>185.02649856000005</v>
      </c>
    </row>
    <row r="6" spans="1:10" x14ac:dyDescent="0.25">
      <c r="A6" s="1">
        <v>4</v>
      </c>
      <c r="B6" s="1">
        <f>VLOOKUP(A6,'Step 2_Volumes'!$S$39:$Y$62,6,FALSE)</f>
        <v>503.38091520000012</v>
      </c>
      <c r="C6" s="1">
        <f>VLOOKUP(A6,'Step 2_Volumes'!$S$39:$Y$62,7,FALSE)</f>
        <v>197.2708992</v>
      </c>
    </row>
    <row r="7" spans="1:10" x14ac:dyDescent="0.25">
      <c r="A7" s="51">
        <v>5</v>
      </c>
      <c r="B7" s="51">
        <f>VLOOKUP(A7,'Step 2_Volumes'!$S$39:$Y$62,6,FALSE)</f>
        <v>140.13036288000004</v>
      </c>
      <c r="C7" s="51">
        <f>VLOOKUP(A7,'Step 2_Volumes'!$S$39:$Y$62,7,FALSE)</f>
        <v>457.12429056000008</v>
      </c>
    </row>
    <row r="8" spans="1:10" x14ac:dyDescent="0.25">
      <c r="A8" s="51">
        <v>6</v>
      </c>
      <c r="B8" s="51">
        <f>VLOOKUP(A8,'Step 2_Volumes'!$S$39:$Y$62,6,FALSE)</f>
        <v>330.59881728000005</v>
      </c>
      <c r="C8" s="51">
        <f>VLOOKUP(A8,'Step 2_Volumes'!$S$39:$Y$62,7,FALSE)</f>
        <v>170.06112000000005</v>
      </c>
    </row>
    <row r="9" spans="1:10" x14ac:dyDescent="0.25">
      <c r="A9" s="51">
        <v>7</v>
      </c>
      <c r="B9" s="51">
        <f>VLOOKUP(A9,'Step 2_Volumes'!$S$39:$Y$62,6,FALSE)</f>
        <v>357.80859648000006</v>
      </c>
      <c r="C9" s="51">
        <f>VLOOKUP(A9,'Step 2_Volumes'!$S$39:$Y$62,7,FALSE)</f>
        <v>142.85134080000003</v>
      </c>
    </row>
    <row r="10" spans="1:10" x14ac:dyDescent="0.25">
      <c r="A10" s="51">
        <v>8</v>
      </c>
      <c r="B10" s="51">
        <f>VLOOKUP(A10,'Step 2_Volumes'!$S$39:$Y$62,6,FALSE)</f>
        <v>291.14463744000005</v>
      </c>
      <c r="C10" s="51">
        <f>VLOOKUP(A10,'Step 2_Volumes'!$S$39:$Y$62,7,FALSE)</f>
        <v>175.50307584000006</v>
      </c>
    </row>
    <row r="11" spans="1:10" x14ac:dyDescent="0.25">
      <c r="A11" s="51">
        <v>9</v>
      </c>
      <c r="B11" s="51">
        <f>VLOOKUP(A11,'Step 2_Volumes'!$S$39:$Y$62,6,FALSE)</f>
        <v>306.11001600000009</v>
      </c>
      <c r="C11" s="51">
        <f>VLOOKUP(A11,'Step 2_Volumes'!$S$39:$Y$62,7,FALSE)</f>
        <v>140.13036288000004</v>
      </c>
    </row>
    <row r="12" spans="1:10" x14ac:dyDescent="0.25">
      <c r="A12" s="51">
        <v>10</v>
      </c>
      <c r="B12" s="51">
        <f>VLOOKUP(A12,'Step 2_Volumes'!$S$39:$Y$62,6,FALSE)</f>
        <v>300.6680601600001</v>
      </c>
      <c r="C12" s="51">
        <f>VLOOKUP(A12,'Step 2_Volumes'!$S$39:$Y$62,7,FALSE)</f>
        <v>142.85134080000003</v>
      </c>
    </row>
    <row r="13" spans="1:10" x14ac:dyDescent="0.25">
      <c r="A13" s="51">
        <v>11</v>
      </c>
      <c r="B13" s="51">
        <f>VLOOKUP(A13,'Step 2_Volumes'!$S$39:$Y$62,6,FALSE)</f>
        <v>277.53974784000008</v>
      </c>
      <c r="C13" s="51">
        <f>VLOOKUP(A13,'Step 2_Volumes'!$S$39:$Y$62,7,FALSE)</f>
        <v>151.01427456000005</v>
      </c>
    </row>
    <row r="14" spans="1:10" x14ac:dyDescent="0.25">
      <c r="A14" s="51">
        <v>12</v>
      </c>
      <c r="B14" s="51">
        <f>VLOOKUP(A14,'Step 2_Volumes'!$S$39:$Y$62,6,FALSE)</f>
        <v>281.62121472000007</v>
      </c>
      <c r="C14" s="51">
        <f>VLOOKUP(A14,'Step 2_Volumes'!$S$39:$Y$62,7,FALSE)</f>
        <v>141.49085184000006</v>
      </c>
    </row>
    <row r="15" spans="1:10" x14ac:dyDescent="0.25">
      <c r="A15" s="51">
        <v>13</v>
      </c>
      <c r="B15" s="51">
        <f>VLOOKUP(A15,'Step 2_Volumes'!$S$39:$Y$62,6,FALSE)</f>
        <v>0</v>
      </c>
      <c r="C15" s="51">
        <f>VLOOKUP(A15,'Step 2_Volumes'!$S$39:$Y$62,7,FALSE)</f>
        <v>0</v>
      </c>
    </row>
    <row r="16" spans="1:10" x14ac:dyDescent="0.25">
      <c r="A16" s="51">
        <v>14</v>
      </c>
      <c r="B16" s="51">
        <f>VLOOKUP(A16,'Step 2_Volumes'!$S$39:$Y$62,6,FALSE)</f>
        <v>0</v>
      </c>
      <c r="C16" s="51">
        <f>VLOOKUP(A16,'Step 2_Volumes'!$S$39:$Y$62,7,FALSE)</f>
        <v>0</v>
      </c>
    </row>
    <row r="17" spans="1:3" x14ac:dyDescent="0.25">
      <c r="A17" s="51">
        <v>15</v>
      </c>
      <c r="B17" s="51">
        <f>VLOOKUP(A17,'Step 2_Volumes'!$S$39:$Y$62,6,FALSE)</f>
        <v>0</v>
      </c>
      <c r="C17" s="51">
        <f>VLOOKUP(A17,'Step 2_Volumes'!$S$39:$Y$62,7,FALSE)</f>
        <v>0</v>
      </c>
    </row>
    <row r="18" spans="1:3" x14ac:dyDescent="0.25">
      <c r="A18" s="51">
        <v>16</v>
      </c>
      <c r="B18" s="51">
        <f>VLOOKUP(A18,'Step 2_Volumes'!$S$39:$Y$62,6,FALSE)</f>
        <v>0</v>
      </c>
      <c r="C18" s="51">
        <f>VLOOKUP(A18,'Step 2_Volumes'!$S$39:$Y$62,7,FALSE)</f>
        <v>0</v>
      </c>
    </row>
    <row r="19" spans="1:3" x14ac:dyDescent="0.25">
      <c r="A19" s="51">
        <v>17</v>
      </c>
      <c r="B19" s="51">
        <f>VLOOKUP(A19,'Step 2_Volumes'!$S$39:$Y$62,6,FALSE)</f>
        <v>0</v>
      </c>
      <c r="C19" s="51">
        <f>VLOOKUP(A19,'Step 2_Volumes'!$S$39:$Y$62,7,FALSE)</f>
        <v>0</v>
      </c>
    </row>
    <row r="20" spans="1:3" x14ac:dyDescent="0.25">
      <c r="A20" s="51">
        <v>18</v>
      </c>
      <c r="B20" s="51">
        <f>VLOOKUP(A20,'Step 2_Volumes'!$S$39:$Y$62,6,FALSE)</f>
        <v>0</v>
      </c>
      <c r="C20" s="51">
        <f>VLOOKUP(A20,'Step 2_Volumes'!$S$39:$Y$62,7,FALSE)</f>
        <v>0</v>
      </c>
    </row>
    <row r="21" spans="1:3" x14ac:dyDescent="0.25">
      <c r="A21" s="51">
        <v>19</v>
      </c>
      <c r="B21" s="51">
        <f>VLOOKUP(A21,'Step 2_Volumes'!$S$39:$Y$62,6,FALSE)</f>
        <v>0</v>
      </c>
      <c r="C21" s="51">
        <f>VLOOKUP(A21,'Step 2_Volumes'!$S$39:$Y$62,7,FALSE)</f>
        <v>0</v>
      </c>
    </row>
    <row r="22" spans="1:3" x14ac:dyDescent="0.25">
      <c r="A22" s="51">
        <v>20</v>
      </c>
      <c r="B22" s="51">
        <f>VLOOKUP(A22,'Step 2_Volumes'!$S$39:$Y$62,6,FALSE)</f>
        <v>0</v>
      </c>
      <c r="C22" s="51">
        <f>VLOOKUP(A22,'Step 2_Volumes'!$S$39:$Y$62,7,FALSE)</f>
        <v>0</v>
      </c>
    </row>
    <row r="23" spans="1:3" x14ac:dyDescent="0.25">
      <c r="A23" s="51">
        <v>21</v>
      </c>
      <c r="B23" s="51">
        <f>VLOOKUP(A23,'Step 2_Volumes'!$S$39:$Y$62,6,FALSE)</f>
        <v>0</v>
      </c>
      <c r="C23" s="51">
        <f>VLOOKUP(A23,'Step 2_Volumes'!$S$39:$Y$62,7,FALSE)</f>
        <v>0</v>
      </c>
    </row>
    <row r="24" spans="1:3" x14ac:dyDescent="0.25">
      <c r="A24" s="51">
        <v>22</v>
      </c>
      <c r="B24" s="51">
        <f>VLOOKUP(A24,'Step 2_Volumes'!$S$39:$Y$62,6,FALSE)</f>
        <v>0</v>
      </c>
      <c r="C24" s="51">
        <f>VLOOKUP(A24,'Step 2_Volumes'!$S$39:$Y$62,7,FALSE)</f>
        <v>0</v>
      </c>
    </row>
    <row r="25" spans="1:3" x14ac:dyDescent="0.25">
      <c r="A25" s="51">
        <v>23</v>
      </c>
      <c r="B25" s="51">
        <f>VLOOKUP(A25,'Step 2_Volumes'!$S$39:$Y$62,6,FALSE)</f>
        <v>0</v>
      </c>
      <c r="C25" s="51">
        <f>VLOOKUP(A25,'Step 2_Volumes'!$S$39:$Y$62,7,FALSE)</f>
        <v>0</v>
      </c>
    </row>
    <row r="26" spans="1:3" x14ac:dyDescent="0.25">
      <c r="A26" s="51">
        <v>24</v>
      </c>
      <c r="B26" s="51">
        <f>VLOOKUP(A26,'Step 2_Volumes'!$S$39:$Y$62,6,FALSE)</f>
        <v>0</v>
      </c>
      <c r="C26" s="51">
        <f>VLOOKUP(A26,'Step 2_Volumes'!$S$39:$Y$62,7,FALSE)</f>
        <v>0</v>
      </c>
    </row>
  </sheetData>
  <sheetProtection sheet="1" objects="1" scenarios="1"/>
  <mergeCells count="5">
    <mergeCell ref="A1:H1"/>
    <mergeCell ref="E3:G3"/>
    <mergeCell ref="E4:G4"/>
    <mergeCell ref="H3:J3"/>
    <mergeCell ref="H4:J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1"/>
  <sheetViews>
    <sheetView workbookViewId="0">
      <selection activeCell="H11" sqref="A2:H11"/>
    </sheetView>
  </sheetViews>
  <sheetFormatPr defaultRowHeight="15" x14ac:dyDescent="0.25"/>
  <sheetData>
    <row r="1" spans="1:8" x14ac:dyDescent="0.25">
      <c r="A1" s="84" t="s">
        <v>84</v>
      </c>
      <c r="B1" s="85"/>
      <c r="C1" s="85"/>
      <c r="D1" s="85"/>
      <c r="E1" s="85"/>
      <c r="F1" s="85"/>
      <c r="G1" s="85"/>
      <c r="H1" s="85"/>
    </row>
  </sheetData>
  <mergeCells count="1">
    <mergeCell ref="A1:H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R28"/>
  <sheetViews>
    <sheetView workbookViewId="0">
      <selection activeCell="Q10" sqref="Q10:R13"/>
    </sheetView>
  </sheetViews>
  <sheetFormatPr defaultRowHeight="15" x14ac:dyDescent="0.25"/>
  <cols>
    <col min="1" max="3" width="11.5703125" customWidth="1"/>
    <col min="4" max="4" width="14.28515625" customWidth="1"/>
    <col min="7" max="7" width="12" bestFit="1" customWidth="1"/>
    <col min="8" max="8" width="24.42578125" bestFit="1" customWidth="1"/>
    <col min="18" max="18" width="13.28515625" customWidth="1"/>
  </cols>
  <sheetData>
    <row r="1" spans="1:18" x14ac:dyDescent="0.25">
      <c r="A1" s="84" t="s">
        <v>85</v>
      </c>
      <c r="B1" s="85"/>
      <c r="C1" s="85"/>
      <c r="D1" s="85"/>
    </row>
    <row r="2" spans="1:18" ht="15" customHeight="1" x14ac:dyDescent="0.25">
      <c r="A2" s="73" t="s">
        <v>32</v>
      </c>
      <c r="B2" s="116" t="s">
        <v>48</v>
      </c>
      <c r="C2" s="53" t="s">
        <v>122</v>
      </c>
      <c r="D2" s="54" t="s">
        <v>121</v>
      </c>
    </row>
    <row r="3" spans="1:18" x14ac:dyDescent="0.25">
      <c r="A3" s="73"/>
      <c r="B3" s="117"/>
      <c r="C3" s="74" t="s">
        <v>38</v>
      </c>
      <c r="D3" s="73" t="s">
        <v>38</v>
      </c>
    </row>
    <row r="4" spans="1:18" x14ac:dyDescent="0.25">
      <c r="A4" s="73"/>
      <c r="B4" s="118"/>
      <c r="C4" s="74"/>
      <c r="D4" s="73"/>
    </row>
    <row r="5" spans="1:18" x14ac:dyDescent="0.25">
      <c r="A5" s="52" t="str">
        <f>'Step 2_Volumes'!A39</f>
        <v>00:00 - 01:00</v>
      </c>
      <c r="B5" s="25">
        <f>RANK(C5,$C$5:$C$28)</f>
        <v>12</v>
      </c>
      <c r="C5" s="25">
        <f>'Step 2_Volumes'!X39</f>
        <v>140.13036288000004</v>
      </c>
      <c r="D5" s="25">
        <f>'Step 2_Volumes'!U6*'Step 2_Volumes'!$K$32</f>
        <v>4.0814668800000007</v>
      </c>
    </row>
    <row r="6" spans="1:18" x14ac:dyDescent="0.25">
      <c r="A6" s="52" t="str">
        <f>'Step 2_Volumes'!A40</f>
        <v>00:01 - 02:00</v>
      </c>
      <c r="B6" s="25">
        <f t="shared" ref="B6:B28" si="0">RANK(C6,$C$5:$C$28)</f>
        <v>6</v>
      </c>
      <c r="C6" s="25">
        <f>'Step 2_Volumes'!X40</f>
        <v>330.59881728000005</v>
      </c>
      <c r="D6" s="25">
        <f>'Step 2_Volumes'!U7*'Step 2_Volumes'!$K$32</f>
        <v>4.0814668800000007</v>
      </c>
    </row>
    <row r="7" spans="1:18" x14ac:dyDescent="0.25">
      <c r="A7" s="52" t="str">
        <f>'Step 2_Volumes'!A41</f>
        <v>02:00 - 03:00</v>
      </c>
      <c r="B7" s="25">
        <f t="shared" si="0"/>
        <v>9</v>
      </c>
      <c r="C7" s="25">
        <f>'Step 2_Volumes'!X41</f>
        <v>291.14463744000005</v>
      </c>
      <c r="D7" s="25">
        <f>'Step 2_Volumes'!U8*'Step 2_Volumes'!$K$32</f>
        <v>4.0814668800000007</v>
      </c>
    </row>
    <row r="8" spans="1:18" ht="15.75" thickBot="1" x14ac:dyDescent="0.3">
      <c r="A8" s="52" t="str">
        <f>'Step 2_Volumes'!A42</f>
        <v>03:00 - 04:00</v>
      </c>
      <c r="B8" s="25">
        <f t="shared" si="0"/>
        <v>5</v>
      </c>
      <c r="C8" s="25">
        <f>'Step 2_Volumes'!X42</f>
        <v>357.80859648000006</v>
      </c>
      <c r="D8" s="25">
        <f>'Step 2_Volumes'!U9*'Step 2_Volumes'!$K$32</f>
        <v>4.0814668800000007</v>
      </c>
    </row>
    <row r="9" spans="1:18" ht="15" customHeight="1" x14ac:dyDescent="0.25">
      <c r="A9" s="52" t="str">
        <f>'Step 2_Volumes'!A43</f>
        <v>04:00 - 05:00</v>
      </c>
      <c r="B9" s="25">
        <f t="shared" si="0"/>
        <v>7</v>
      </c>
      <c r="C9" s="25">
        <f>'Step 2_Volumes'!X43</f>
        <v>306.11001600000009</v>
      </c>
      <c r="D9" s="25">
        <f>'Step 2_Volumes'!U10*'Step 2_Volumes'!$K$32</f>
        <v>4.0814668800000007</v>
      </c>
      <c r="K9" s="47"/>
      <c r="P9" s="56" t="s">
        <v>48</v>
      </c>
      <c r="Q9" s="57" t="s">
        <v>122</v>
      </c>
      <c r="R9" s="58" t="s">
        <v>121</v>
      </c>
    </row>
    <row r="10" spans="1:18" x14ac:dyDescent="0.25">
      <c r="A10" s="52" t="str">
        <f>'Step 2_Volumes'!A44</f>
        <v>05:00 - 06:00</v>
      </c>
      <c r="B10" s="25">
        <f t="shared" si="0"/>
        <v>10</v>
      </c>
      <c r="C10" s="25">
        <f>'Step 2_Volumes'!X44</f>
        <v>281.62121472000007</v>
      </c>
      <c r="D10" s="25">
        <f>'Step 2_Volumes'!U11*'Step 2_Volumes'!$K$32</f>
        <v>4.0814668800000007</v>
      </c>
      <c r="P10" s="59">
        <v>1</v>
      </c>
      <c r="Q10" s="5">
        <v>5</v>
      </c>
      <c r="R10" s="70">
        <v>4</v>
      </c>
    </row>
    <row r="11" spans="1:18" x14ac:dyDescent="0.25">
      <c r="A11" s="52" t="str">
        <f>'Step 2_Volumes'!A45</f>
        <v>06:00 - 07:00</v>
      </c>
      <c r="B11" s="25">
        <f t="shared" si="0"/>
        <v>8</v>
      </c>
      <c r="C11" s="25">
        <f>'Step 2_Volumes'!X45</f>
        <v>300.6680601600001</v>
      </c>
      <c r="D11" s="25">
        <f>'Step 2_Volumes'!U12*'Step 2_Volumes'!$K$32</f>
        <v>4.0814668800000007</v>
      </c>
      <c r="P11" s="59">
        <v>2</v>
      </c>
      <c r="Q11" s="5">
        <v>500</v>
      </c>
      <c r="R11" s="70">
        <v>4</v>
      </c>
    </row>
    <row r="12" spans="1:18" x14ac:dyDescent="0.25">
      <c r="A12" s="52" t="str">
        <f>'Step 2_Volumes'!A46</f>
        <v>07:00 - 08:00</v>
      </c>
      <c r="B12" s="25">
        <f t="shared" si="0"/>
        <v>11</v>
      </c>
      <c r="C12" s="25">
        <f>'Step 2_Volumes'!X46</f>
        <v>277.53974784000008</v>
      </c>
      <c r="D12" s="25">
        <f>'Step 2_Volumes'!U13*'Step 2_Volumes'!$K$32</f>
        <v>4.0814668800000007</v>
      </c>
      <c r="P12" s="59">
        <v>3</v>
      </c>
      <c r="Q12" s="5">
        <v>200</v>
      </c>
      <c r="R12" s="70">
        <v>4</v>
      </c>
    </row>
    <row r="13" spans="1:18" ht="15.75" thickBot="1" x14ac:dyDescent="0.3">
      <c r="A13" s="52" t="str">
        <f>'Step 2_Volumes'!A47</f>
        <v>08:00 - 09:00</v>
      </c>
      <c r="B13" s="25">
        <f t="shared" si="0"/>
        <v>3</v>
      </c>
      <c r="C13" s="25">
        <f>'Step 2_Volumes'!X47</f>
        <v>503.38091520000012</v>
      </c>
      <c r="D13" s="25">
        <f>'Step 2_Volumes'!U14*'Step 2_Volumes'!$K$32</f>
        <v>4.0814668800000007</v>
      </c>
      <c r="P13" s="60">
        <v>4</v>
      </c>
      <c r="Q13" s="71">
        <v>5</v>
      </c>
      <c r="R13" s="72">
        <v>4</v>
      </c>
    </row>
    <row r="14" spans="1:18" ht="15.75" thickBot="1" x14ac:dyDescent="0.3">
      <c r="A14" s="52" t="str">
        <f>'Step 2_Volumes'!A48</f>
        <v>09:00 - 10:00</v>
      </c>
      <c r="B14" s="25">
        <f t="shared" si="0"/>
        <v>2</v>
      </c>
      <c r="C14" s="25">
        <f>'Step 2_Volumes'!X48</f>
        <v>531.95118336000019</v>
      </c>
      <c r="D14" s="25">
        <f>'Step 2_Volumes'!U15*'Step 2_Volumes'!$K$32</f>
        <v>4.0814668800000007</v>
      </c>
    </row>
    <row r="15" spans="1:18" x14ac:dyDescent="0.25">
      <c r="A15" s="52" t="str">
        <f>'Step 2_Volumes'!A49</f>
        <v>10:00 - 11:00</v>
      </c>
      <c r="B15" s="25">
        <f t="shared" si="0"/>
        <v>1</v>
      </c>
      <c r="C15" s="25">
        <f>'Step 2_Volumes'!X49</f>
        <v>557.80047360000015</v>
      </c>
      <c r="D15" s="25">
        <f>'Step 2_Volumes'!U16*'Step 2_Volumes'!$K$32</f>
        <v>4.0814668800000007</v>
      </c>
      <c r="I15" s="47"/>
      <c r="L15" s="114" t="s">
        <v>123</v>
      </c>
      <c r="M15" s="114"/>
      <c r="N15" s="114"/>
      <c r="O15" s="115"/>
      <c r="P15" s="61" t="s">
        <v>48</v>
      </c>
      <c r="Q15" s="62" t="s">
        <v>122</v>
      </c>
      <c r="R15" s="63" t="s">
        <v>121</v>
      </c>
    </row>
    <row r="16" spans="1:18" x14ac:dyDescent="0.25">
      <c r="A16" s="52" t="str">
        <f>'Step 2_Volumes'!A50</f>
        <v>11:00 - 12:00</v>
      </c>
      <c r="B16" s="25">
        <f t="shared" si="0"/>
        <v>4</v>
      </c>
      <c r="C16" s="25">
        <f>'Step 2_Volumes'!X50</f>
        <v>439.4379340800001</v>
      </c>
      <c r="D16" s="25">
        <f>'Step 2_Volumes'!U17*'Step 2_Volumes'!$K$32</f>
        <v>4.0814668800000007</v>
      </c>
      <c r="P16" s="64">
        <v>1</v>
      </c>
      <c r="Q16" s="65">
        <f>IF(Choice!$O$21,Q10,VLOOKUP(P16,$B$5:$D$28,2,FALSE))</f>
        <v>5</v>
      </c>
      <c r="R16" s="67">
        <f>IF(Choice!$O$21,R10,VLOOKUP(Q16,$B$5:$D$28,2,FALSE))</f>
        <v>4</v>
      </c>
    </row>
    <row r="17" spans="1:18" x14ac:dyDescent="0.25">
      <c r="A17" s="52" t="str">
        <f>'Step 2_Volumes'!A51</f>
        <v>12:00 - 13:00</v>
      </c>
      <c r="B17" s="25">
        <f t="shared" si="0"/>
        <v>13</v>
      </c>
      <c r="C17" s="25">
        <f>'Step 2_Volumes'!X51</f>
        <v>0</v>
      </c>
      <c r="D17" s="25">
        <f>'Step 2_Volumes'!U18*'Step 2_Volumes'!$K$32</f>
        <v>4.0814668800000007</v>
      </c>
      <c r="I17" s="47"/>
      <c r="P17" s="64">
        <v>2</v>
      </c>
      <c r="Q17" s="65">
        <f>IF(Choice!$O$21,Q11,VLOOKUP(P17,$B$5:$D$28,2,FALSE))</f>
        <v>500</v>
      </c>
      <c r="R17" s="67">
        <f>IF(Choice!$O$21,R11,VLOOKUP(Q17,$B$5:$D$28,2,FALSE))</f>
        <v>4</v>
      </c>
    </row>
    <row r="18" spans="1:18" ht="15.75" thickBot="1" x14ac:dyDescent="0.3">
      <c r="A18" s="52" t="str">
        <f>'Step 2_Volumes'!A52</f>
        <v>13:00 - 14:00</v>
      </c>
      <c r="B18" s="25">
        <f t="shared" si="0"/>
        <v>13</v>
      </c>
      <c r="C18" s="25">
        <f>'Step 2_Volumes'!X52</f>
        <v>0</v>
      </c>
      <c r="D18" s="25">
        <f>'Step 2_Volumes'!U19*'Step 2_Volumes'!$K$32</f>
        <v>4.0814668800000007</v>
      </c>
      <c r="P18" s="64">
        <v>3</v>
      </c>
      <c r="Q18" s="65">
        <f>IF(Choice!$O$21,Q12,VLOOKUP(P18,$B$5:$D$28,2,FALSE))</f>
        <v>200</v>
      </c>
      <c r="R18" s="67">
        <f>IF(Choice!$O$21,R12,VLOOKUP(Q18,$B$5:$D$28,2,FALSE))</f>
        <v>4</v>
      </c>
    </row>
    <row r="19" spans="1:18" ht="15.75" thickBot="1" x14ac:dyDescent="0.3">
      <c r="A19" s="52" t="str">
        <f>'Step 2_Volumes'!A53</f>
        <v>14:00 - 15:00</v>
      </c>
      <c r="B19" s="25">
        <f t="shared" si="0"/>
        <v>13</v>
      </c>
      <c r="C19" s="25">
        <f>'Step 2_Volumes'!X53</f>
        <v>0</v>
      </c>
      <c r="D19" s="25">
        <f>'Step 2_Volumes'!U20*'Step 2_Volumes'!$K$32</f>
        <v>4.0814668800000007</v>
      </c>
      <c r="F19" s="112" t="s">
        <v>83</v>
      </c>
      <c r="G19" s="113"/>
      <c r="H19" s="55" t="str">
        <f>IF(Choice!N21,"4C-6/8","4C-5/7")</f>
        <v>4C-6/8</v>
      </c>
      <c r="P19" s="66">
        <v>4</v>
      </c>
      <c r="Q19" s="68">
        <f>IF(Choice!$O$21,Q13,VLOOKUP(P19,$B$5:$D$28,2,FALSE))</f>
        <v>5</v>
      </c>
      <c r="R19" s="69">
        <f>IF(Choice!$O$21,R13,VLOOKUP(Q19,$B$5:$D$28,2,FALSE))</f>
        <v>4</v>
      </c>
    </row>
    <row r="20" spans="1:18" x14ac:dyDescent="0.25">
      <c r="A20" s="52" t="str">
        <f>'Step 2_Volumes'!A54</f>
        <v>15:00 - 16:00</v>
      </c>
      <c r="B20" s="25">
        <f t="shared" si="0"/>
        <v>13</v>
      </c>
      <c r="C20" s="25">
        <f>'Step 2_Volumes'!X54</f>
        <v>0</v>
      </c>
      <c r="D20" s="25">
        <f>'Step 2_Volumes'!U21*'Step 2_Volumes'!$K$32</f>
        <v>4.0814668800000007</v>
      </c>
    </row>
    <row r="21" spans="1:18" x14ac:dyDescent="0.25">
      <c r="A21" s="52" t="str">
        <f>'Step 2_Volumes'!A55</f>
        <v>16:00 - 17:00</v>
      </c>
      <c r="B21" s="25">
        <f t="shared" si="0"/>
        <v>13</v>
      </c>
      <c r="C21" s="25">
        <f>'Step 2_Volumes'!X55</f>
        <v>0</v>
      </c>
      <c r="D21" s="25">
        <f>'Step 2_Volumes'!U22*'Step 2_Volumes'!$K$32</f>
        <v>4.0814668800000007</v>
      </c>
    </row>
    <row r="22" spans="1:18" x14ac:dyDescent="0.25">
      <c r="A22" s="52" t="str">
        <f>'Step 2_Volumes'!A56</f>
        <v>17:00 - 18:00</v>
      </c>
      <c r="B22" s="25">
        <f t="shared" si="0"/>
        <v>13</v>
      </c>
      <c r="C22" s="25">
        <f>'Step 2_Volumes'!X56</f>
        <v>0</v>
      </c>
      <c r="D22" s="25">
        <f>'Step 2_Volumes'!U23*'Step 2_Volumes'!$K$32</f>
        <v>4.0814668800000007</v>
      </c>
    </row>
    <row r="23" spans="1:18" x14ac:dyDescent="0.25">
      <c r="A23" s="52" t="str">
        <f>'Step 2_Volumes'!A57</f>
        <v>18:00 - 19:00</v>
      </c>
      <c r="B23" s="25">
        <f t="shared" si="0"/>
        <v>13</v>
      </c>
      <c r="C23" s="25">
        <f>'Step 2_Volumes'!X57</f>
        <v>0</v>
      </c>
      <c r="D23" s="25">
        <f>'Step 2_Volumes'!U24*'Step 2_Volumes'!$K$32</f>
        <v>4.0814668800000007</v>
      </c>
    </row>
    <row r="24" spans="1:18" x14ac:dyDescent="0.25">
      <c r="A24" s="52" t="str">
        <f>'Step 2_Volumes'!A58</f>
        <v>19:00 - 20:00</v>
      </c>
      <c r="B24" s="25">
        <f t="shared" si="0"/>
        <v>13</v>
      </c>
      <c r="C24" s="25">
        <f>'Step 2_Volumes'!X58</f>
        <v>0</v>
      </c>
      <c r="D24" s="25">
        <f>'Step 2_Volumes'!U25*'Step 2_Volumes'!$K$32</f>
        <v>4.0814668800000007</v>
      </c>
    </row>
    <row r="25" spans="1:18" x14ac:dyDescent="0.25">
      <c r="A25" s="52" t="str">
        <f>'Step 2_Volumes'!A59</f>
        <v>20:00 - 21:00</v>
      </c>
      <c r="B25" s="25">
        <f t="shared" si="0"/>
        <v>13</v>
      </c>
      <c r="C25" s="25">
        <f>'Step 2_Volumes'!X59</f>
        <v>0</v>
      </c>
      <c r="D25" s="25">
        <f>'Step 2_Volumes'!U26*'Step 2_Volumes'!$K$32</f>
        <v>4.0814668800000007</v>
      </c>
    </row>
    <row r="26" spans="1:18" x14ac:dyDescent="0.25">
      <c r="A26" s="52" t="str">
        <f>'Step 2_Volumes'!A60</f>
        <v>21:00 - 22:00</v>
      </c>
      <c r="B26" s="25">
        <f t="shared" si="0"/>
        <v>13</v>
      </c>
      <c r="C26" s="25">
        <f>'Step 2_Volumes'!X60</f>
        <v>0</v>
      </c>
      <c r="D26" s="25">
        <f>'Step 2_Volumes'!U27*'Step 2_Volumes'!$K$32</f>
        <v>4.0814668800000007</v>
      </c>
    </row>
    <row r="27" spans="1:18" x14ac:dyDescent="0.25">
      <c r="A27" s="52" t="str">
        <f>'Step 2_Volumes'!A61</f>
        <v>22:00 - 23:00</v>
      </c>
      <c r="B27" s="25">
        <f t="shared" si="0"/>
        <v>13</v>
      </c>
      <c r="C27" s="25">
        <f>'Step 2_Volumes'!X61</f>
        <v>0</v>
      </c>
      <c r="D27" s="25">
        <f>'Step 2_Volumes'!U28*'Step 2_Volumes'!$K$32</f>
        <v>4.0814668800000007</v>
      </c>
    </row>
    <row r="28" spans="1:18" x14ac:dyDescent="0.25">
      <c r="A28" s="52" t="str">
        <f>'Step 2_Volumes'!A62</f>
        <v>23:00 - 24:00</v>
      </c>
      <c r="B28" s="25">
        <f t="shared" si="0"/>
        <v>13</v>
      </c>
      <c r="C28" s="25">
        <f>'Step 2_Volumes'!X62</f>
        <v>0</v>
      </c>
      <c r="D28" s="25">
        <f>'Step 2_Volumes'!U29*'Step 2_Volumes'!$K$32</f>
        <v>2.7209779200000006</v>
      </c>
    </row>
  </sheetData>
  <sheetProtection sheet="1" objects="1" scenarios="1"/>
  <mergeCells count="7">
    <mergeCell ref="F19:G19"/>
    <mergeCell ref="L15:O15"/>
    <mergeCell ref="A1:D1"/>
    <mergeCell ref="A2:A4"/>
    <mergeCell ref="B2:B4"/>
    <mergeCell ref="C3:C4"/>
    <mergeCell ref="D3:D4"/>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9217" r:id="rId3" name="Check Box 1">
              <controlPr defaultSize="0" autoFill="0" autoLine="0" autoPict="0">
                <anchor moveWithCells="1">
                  <from>
                    <xdr:col>8</xdr:col>
                    <xdr:colOff>104775</xdr:colOff>
                    <xdr:row>14</xdr:row>
                    <xdr:rowOff>0</xdr:rowOff>
                  </from>
                  <to>
                    <xdr:col>8</xdr:col>
                    <xdr:colOff>590550</xdr:colOff>
                    <xdr:row>15</xdr:row>
                    <xdr:rowOff>19050</xdr:rowOff>
                  </to>
                </anchor>
              </controlPr>
            </control>
          </mc:Choice>
        </mc:AlternateContent>
        <mc:AlternateContent xmlns:mc="http://schemas.openxmlformats.org/markup-compatibility/2006">
          <mc:Choice Requires="x14">
            <control shapeId="9218" r:id="rId4" name="Check Box 2">
              <controlPr defaultSize="0" autoFill="0" autoLine="0" autoPict="0">
                <anchor moveWithCells="1">
                  <from>
                    <xdr:col>8</xdr:col>
                    <xdr:colOff>76200</xdr:colOff>
                    <xdr:row>15</xdr:row>
                    <xdr:rowOff>180975</xdr:rowOff>
                  </from>
                  <to>
                    <xdr:col>8</xdr:col>
                    <xdr:colOff>561975</xdr:colOff>
                    <xdr:row>17</xdr:row>
                    <xdr:rowOff>9525</xdr:rowOff>
                  </to>
                </anchor>
              </controlPr>
            </control>
          </mc:Choice>
        </mc:AlternateContent>
        <mc:AlternateContent xmlns:mc="http://schemas.openxmlformats.org/markup-compatibility/2006">
          <mc:Choice Requires="x14">
            <control shapeId="9219" r:id="rId5" name="Check Box 3">
              <controlPr defaultSize="0" autoFill="0" autoLine="0" autoPict="0" altText="">
                <anchor moveWithCells="1">
                  <from>
                    <xdr:col>10</xdr:col>
                    <xdr:colOff>66675</xdr:colOff>
                    <xdr:row>8</xdr:row>
                    <xdr:rowOff>19050</xdr:rowOff>
                  </from>
                  <to>
                    <xdr:col>11</xdr:col>
                    <xdr:colOff>95250</xdr:colOff>
                    <xdr:row>9</xdr:row>
                    <xdr:rowOff>19050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Z25"/>
  <sheetViews>
    <sheetView workbookViewId="0">
      <selection activeCell="Q28" sqref="Q28"/>
    </sheetView>
  </sheetViews>
  <sheetFormatPr defaultRowHeight="15" x14ac:dyDescent="0.25"/>
  <sheetData>
    <row r="1" spans="1:26" x14ac:dyDescent="0.25">
      <c r="A1" s="84" t="s">
        <v>86</v>
      </c>
      <c r="B1" s="85"/>
      <c r="C1" s="85"/>
      <c r="D1" s="85"/>
      <c r="E1" s="85"/>
      <c r="F1" s="85"/>
      <c r="G1" s="85"/>
      <c r="H1" s="85"/>
      <c r="I1" s="85"/>
      <c r="J1" s="85"/>
      <c r="K1" s="85"/>
      <c r="L1" s="85"/>
      <c r="M1" s="85"/>
      <c r="N1" s="85"/>
      <c r="O1" s="85"/>
      <c r="P1" s="85"/>
      <c r="Q1" s="85"/>
      <c r="R1" s="85"/>
      <c r="S1" s="85"/>
      <c r="T1" s="85"/>
      <c r="U1" s="85"/>
      <c r="V1" s="85"/>
      <c r="W1" s="85"/>
      <c r="X1" s="85"/>
    </row>
    <row r="2" spans="1:26" x14ac:dyDescent="0.25">
      <c r="A2" s="47"/>
    </row>
    <row r="3" spans="1:26" x14ac:dyDescent="0.25">
      <c r="A3" s="47"/>
      <c r="V3" s="114" t="str">
        <f>IF(Choice!K12,"May meet Warrant 5","Does not meet Warrant 5")</f>
        <v>May meet Warrant 5</v>
      </c>
      <c r="W3" s="114"/>
      <c r="X3" s="114"/>
    </row>
    <row r="4" spans="1:26" x14ac:dyDescent="0.25">
      <c r="A4" s="47"/>
    </row>
    <row r="5" spans="1:26" x14ac:dyDescent="0.25">
      <c r="A5" s="47"/>
    </row>
    <row r="7" spans="1:26" x14ac:dyDescent="0.25">
      <c r="A7" s="84" t="s">
        <v>90</v>
      </c>
      <c r="B7" s="85"/>
      <c r="C7" s="85"/>
      <c r="D7" s="85"/>
      <c r="E7" s="85"/>
      <c r="F7" s="85"/>
      <c r="G7" s="85"/>
      <c r="H7" s="85"/>
      <c r="I7" s="85"/>
      <c r="J7" s="85"/>
      <c r="K7" s="85"/>
      <c r="L7" s="85"/>
      <c r="M7" s="85"/>
      <c r="N7" s="85"/>
      <c r="O7" s="85"/>
      <c r="P7" s="85"/>
      <c r="Q7" s="85"/>
      <c r="R7" s="85"/>
      <c r="S7" s="85"/>
      <c r="T7" s="85"/>
      <c r="U7" s="85"/>
      <c r="V7" s="85"/>
      <c r="W7" s="85"/>
      <c r="X7" s="85"/>
    </row>
    <row r="8" spans="1:26" x14ac:dyDescent="0.25">
      <c r="A8" s="47"/>
      <c r="X8" s="114" t="str">
        <f>IF(Choice!L15, "Does not apply",IF(Choice!K15,"May meet Warrant 6","Does not meet Warrant 6"))</f>
        <v>May meet Warrant 6</v>
      </c>
      <c r="Y8" s="114"/>
      <c r="Z8" s="114"/>
    </row>
    <row r="9" spans="1:26" x14ac:dyDescent="0.25">
      <c r="A9" s="47"/>
    </row>
    <row r="10" spans="1:26" x14ac:dyDescent="0.25">
      <c r="A10" s="47"/>
    </row>
    <row r="13" spans="1:26" x14ac:dyDescent="0.25">
      <c r="A13" s="84" t="s">
        <v>87</v>
      </c>
      <c r="B13" s="85"/>
      <c r="C13" s="85"/>
      <c r="D13" s="85"/>
      <c r="E13" s="85"/>
      <c r="F13" s="85"/>
      <c r="G13" s="85"/>
      <c r="H13" s="85"/>
      <c r="I13" s="85"/>
      <c r="J13" s="85"/>
      <c r="K13" s="85"/>
      <c r="L13" s="85"/>
      <c r="M13" s="85"/>
      <c r="N13" s="85"/>
      <c r="O13" s="85"/>
      <c r="P13" s="85"/>
      <c r="Q13" s="85"/>
      <c r="R13" s="85"/>
      <c r="S13" s="85"/>
      <c r="T13" s="85"/>
      <c r="U13" s="85"/>
      <c r="V13" s="85"/>
      <c r="W13" s="85"/>
      <c r="X13" s="85"/>
    </row>
    <row r="14" spans="1:26" x14ac:dyDescent="0.25">
      <c r="A14" s="47"/>
    </row>
    <row r="15" spans="1:26" x14ac:dyDescent="0.25">
      <c r="A15" s="22"/>
    </row>
    <row r="16" spans="1:26" x14ac:dyDescent="0.25">
      <c r="A16" s="47"/>
      <c r="U16" s="114" t="str">
        <f>IF(Choice!K18,"May meet Warrant 7","Does not meet Warrant 7")</f>
        <v>Does not meet Warrant 7</v>
      </c>
      <c r="V16" s="114"/>
      <c r="W16" s="114"/>
    </row>
    <row r="18" spans="1:8" x14ac:dyDescent="0.25">
      <c r="A18" s="47"/>
    </row>
    <row r="19" spans="1:8" x14ac:dyDescent="0.25">
      <c r="A19" s="84" t="s">
        <v>88</v>
      </c>
      <c r="B19" s="85"/>
      <c r="C19" s="85"/>
      <c r="D19" s="85"/>
      <c r="E19" s="85"/>
      <c r="F19" s="85"/>
      <c r="G19" s="85"/>
      <c r="H19" s="85"/>
    </row>
    <row r="25" spans="1:8" x14ac:dyDescent="0.25">
      <c r="A25" s="84" t="s">
        <v>89</v>
      </c>
      <c r="B25" s="85"/>
      <c r="C25" s="85"/>
      <c r="D25" s="85"/>
      <c r="E25" s="85"/>
      <c r="F25" s="85"/>
      <c r="G25" s="85"/>
      <c r="H25" s="85"/>
    </row>
  </sheetData>
  <mergeCells count="8">
    <mergeCell ref="A25:H25"/>
    <mergeCell ref="V3:X3"/>
    <mergeCell ref="X8:Z8"/>
    <mergeCell ref="A1:X1"/>
    <mergeCell ref="A7:X7"/>
    <mergeCell ref="A13:X13"/>
    <mergeCell ref="U16:W16"/>
    <mergeCell ref="A19:H19"/>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8193" r:id="rId3" name="Check Box 1">
              <controlPr defaultSize="0" autoFill="0" autoLine="0" autoPict="0">
                <anchor moveWithCells="1">
                  <from>
                    <xdr:col>0</xdr:col>
                    <xdr:colOff>95250</xdr:colOff>
                    <xdr:row>1</xdr:row>
                    <xdr:rowOff>9525</xdr:rowOff>
                  </from>
                  <to>
                    <xdr:col>0</xdr:col>
                    <xdr:colOff>581025</xdr:colOff>
                    <xdr:row>2</xdr:row>
                    <xdr:rowOff>28575</xdr:rowOff>
                  </to>
                </anchor>
              </controlPr>
            </control>
          </mc:Choice>
        </mc:AlternateContent>
        <mc:AlternateContent xmlns:mc="http://schemas.openxmlformats.org/markup-compatibility/2006">
          <mc:Choice Requires="x14">
            <control shapeId="8194" r:id="rId4" name="Check Box 2">
              <controlPr defaultSize="0" autoFill="0" autoLine="0" autoPict="0">
                <anchor moveWithCells="1">
                  <from>
                    <xdr:col>0</xdr:col>
                    <xdr:colOff>95250</xdr:colOff>
                    <xdr:row>2</xdr:row>
                    <xdr:rowOff>28575</xdr:rowOff>
                  </from>
                  <to>
                    <xdr:col>0</xdr:col>
                    <xdr:colOff>581025</xdr:colOff>
                    <xdr:row>3</xdr:row>
                    <xdr:rowOff>47625</xdr:rowOff>
                  </to>
                </anchor>
              </controlPr>
            </control>
          </mc:Choice>
        </mc:AlternateContent>
        <mc:AlternateContent xmlns:mc="http://schemas.openxmlformats.org/markup-compatibility/2006">
          <mc:Choice Requires="x14">
            <control shapeId="8195" r:id="rId5" name="Check Box 3">
              <controlPr defaultSize="0" autoFill="0" autoLine="0" autoPict="0">
                <anchor moveWithCells="1">
                  <from>
                    <xdr:col>0</xdr:col>
                    <xdr:colOff>95250</xdr:colOff>
                    <xdr:row>4</xdr:row>
                    <xdr:rowOff>19050</xdr:rowOff>
                  </from>
                  <to>
                    <xdr:col>0</xdr:col>
                    <xdr:colOff>581025</xdr:colOff>
                    <xdr:row>5</xdr:row>
                    <xdr:rowOff>38100</xdr:rowOff>
                  </to>
                </anchor>
              </controlPr>
            </control>
          </mc:Choice>
        </mc:AlternateContent>
        <mc:AlternateContent xmlns:mc="http://schemas.openxmlformats.org/markup-compatibility/2006">
          <mc:Choice Requires="x14">
            <control shapeId="8196" r:id="rId6" name="Check Box 4">
              <controlPr defaultSize="0" autoFill="0" autoLine="0" autoPict="0">
                <anchor moveWithCells="1">
                  <from>
                    <xdr:col>0</xdr:col>
                    <xdr:colOff>95250</xdr:colOff>
                    <xdr:row>3</xdr:row>
                    <xdr:rowOff>19050</xdr:rowOff>
                  </from>
                  <to>
                    <xdr:col>0</xdr:col>
                    <xdr:colOff>581025</xdr:colOff>
                    <xdr:row>4</xdr:row>
                    <xdr:rowOff>38100</xdr:rowOff>
                  </to>
                </anchor>
              </controlPr>
            </control>
          </mc:Choice>
        </mc:AlternateContent>
        <mc:AlternateContent xmlns:mc="http://schemas.openxmlformats.org/markup-compatibility/2006">
          <mc:Choice Requires="x14">
            <control shapeId="8198" r:id="rId7" name="Check Box 6">
              <controlPr defaultSize="0" autoFill="0" autoLine="0" autoPict="0">
                <anchor moveWithCells="1">
                  <from>
                    <xdr:col>0</xdr:col>
                    <xdr:colOff>95250</xdr:colOff>
                    <xdr:row>7</xdr:row>
                    <xdr:rowOff>19050</xdr:rowOff>
                  </from>
                  <to>
                    <xdr:col>0</xdr:col>
                    <xdr:colOff>581025</xdr:colOff>
                    <xdr:row>8</xdr:row>
                    <xdr:rowOff>38100</xdr:rowOff>
                  </to>
                </anchor>
              </controlPr>
            </control>
          </mc:Choice>
        </mc:AlternateContent>
        <mc:AlternateContent xmlns:mc="http://schemas.openxmlformats.org/markup-compatibility/2006">
          <mc:Choice Requires="x14">
            <control shapeId="8199" r:id="rId8" name="Check Box 7">
              <controlPr defaultSize="0" autoFill="0" autoLine="0" autoPict="0">
                <anchor moveWithCells="1">
                  <from>
                    <xdr:col>0</xdr:col>
                    <xdr:colOff>95250</xdr:colOff>
                    <xdr:row>8</xdr:row>
                    <xdr:rowOff>19050</xdr:rowOff>
                  </from>
                  <to>
                    <xdr:col>0</xdr:col>
                    <xdr:colOff>581025</xdr:colOff>
                    <xdr:row>9</xdr:row>
                    <xdr:rowOff>38100</xdr:rowOff>
                  </to>
                </anchor>
              </controlPr>
            </control>
          </mc:Choice>
        </mc:AlternateContent>
        <mc:AlternateContent xmlns:mc="http://schemas.openxmlformats.org/markup-compatibility/2006">
          <mc:Choice Requires="x14">
            <control shapeId="8200" r:id="rId9" name="Check Box 8">
              <controlPr defaultSize="0" autoFill="0" autoLine="0" autoPict="0">
                <anchor moveWithCells="1">
                  <from>
                    <xdr:col>0</xdr:col>
                    <xdr:colOff>95250</xdr:colOff>
                    <xdr:row>9</xdr:row>
                    <xdr:rowOff>19050</xdr:rowOff>
                  </from>
                  <to>
                    <xdr:col>0</xdr:col>
                    <xdr:colOff>581025</xdr:colOff>
                    <xdr:row>10</xdr:row>
                    <xdr:rowOff>38100</xdr:rowOff>
                  </to>
                </anchor>
              </controlPr>
            </control>
          </mc:Choice>
        </mc:AlternateContent>
        <mc:AlternateContent xmlns:mc="http://schemas.openxmlformats.org/markup-compatibility/2006">
          <mc:Choice Requires="x14">
            <control shapeId="8202" r:id="rId10" name="Check Box 10">
              <controlPr defaultSize="0" autoFill="0" autoLine="0" autoPict="0">
                <anchor moveWithCells="1">
                  <from>
                    <xdr:col>0</xdr:col>
                    <xdr:colOff>95250</xdr:colOff>
                    <xdr:row>13</xdr:row>
                    <xdr:rowOff>19050</xdr:rowOff>
                  </from>
                  <to>
                    <xdr:col>0</xdr:col>
                    <xdr:colOff>581025</xdr:colOff>
                    <xdr:row>14</xdr:row>
                    <xdr:rowOff>38100</xdr:rowOff>
                  </to>
                </anchor>
              </controlPr>
            </control>
          </mc:Choice>
        </mc:AlternateContent>
        <mc:AlternateContent xmlns:mc="http://schemas.openxmlformats.org/markup-compatibility/2006">
          <mc:Choice Requires="x14">
            <control shapeId="8204" r:id="rId11" name="Check Box 12">
              <controlPr defaultSize="0" autoFill="0" autoLine="0" autoPict="0">
                <anchor moveWithCells="1">
                  <from>
                    <xdr:col>0</xdr:col>
                    <xdr:colOff>95250</xdr:colOff>
                    <xdr:row>15</xdr:row>
                    <xdr:rowOff>19050</xdr:rowOff>
                  </from>
                  <to>
                    <xdr:col>0</xdr:col>
                    <xdr:colOff>581025</xdr:colOff>
                    <xdr:row>16</xdr:row>
                    <xdr:rowOff>38100</xdr:rowOff>
                  </to>
                </anchor>
              </controlPr>
            </control>
          </mc:Choice>
        </mc:AlternateContent>
        <mc:AlternateContent xmlns:mc="http://schemas.openxmlformats.org/markup-compatibility/2006">
          <mc:Choice Requires="x14">
            <control shapeId="8205" r:id="rId12" name="Check Box 13">
              <controlPr defaultSize="0" autoFill="0" autoLine="0" autoPict="0">
                <anchor moveWithCells="1">
                  <from>
                    <xdr:col>0</xdr:col>
                    <xdr:colOff>95250</xdr:colOff>
                    <xdr:row>17</xdr:row>
                    <xdr:rowOff>19050</xdr:rowOff>
                  </from>
                  <to>
                    <xdr:col>0</xdr:col>
                    <xdr:colOff>581025</xdr:colOff>
                    <xdr:row>18</xdr:row>
                    <xdr:rowOff>38100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A24"/>
  <sheetViews>
    <sheetView workbookViewId="0">
      <selection activeCell="N21" sqref="N21"/>
    </sheetView>
  </sheetViews>
  <sheetFormatPr defaultRowHeight="15" x14ac:dyDescent="0.25"/>
  <cols>
    <col min="1" max="1" width="10.5703125" customWidth="1"/>
    <col min="4" max="4" width="12" customWidth="1"/>
    <col min="11" max="11" width="23.7109375" customWidth="1"/>
  </cols>
  <sheetData>
    <row r="1" spans="1:27" x14ac:dyDescent="0.25">
      <c r="A1">
        <v>1</v>
      </c>
      <c r="B1" s="120" t="s">
        <v>23</v>
      </c>
      <c r="C1" s="120"/>
      <c r="D1" s="120"/>
      <c r="E1" s="120"/>
      <c r="F1" s="120"/>
      <c r="G1" s="120"/>
      <c r="K1" s="120" t="s">
        <v>54</v>
      </c>
      <c r="L1" s="120"/>
      <c r="M1" s="120"/>
      <c r="N1" s="120"/>
      <c r="O1" s="120"/>
      <c r="P1" s="120"/>
      <c r="Q1" s="120"/>
      <c r="R1" s="120"/>
      <c r="S1" s="120"/>
      <c r="T1" s="120"/>
      <c r="U1" s="120"/>
      <c r="V1" s="120"/>
      <c r="W1" s="120"/>
      <c r="X1" s="120"/>
      <c r="Y1" s="120"/>
      <c r="Z1" s="120"/>
      <c r="AA1" s="120"/>
    </row>
    <row r="2" spans="1:27" ht="15.75" thickBot="1" x14ac:dyDescent="0.3">
      <c r="A2" t="s">
        <v>15</v>
      </c>
      <c r="C2">
        <v>1</v>
      </c>
      <c r="D2" t="s">
        <v>4</v>
      </c>
      <c r="E2" t="s">
        <v>5</v>
      </c>
      <c r="F2" s="1" t="s">
        <v>6</v>
      </c>
      <c r="G2" s="1" t="s">
        <v>7</v>
      </c>
      <c r="L2" s="119" t="s">
        <v>46</v>
      </c>
      <c r="M2" s="119"/>
      <c r="N2" s="119"/>
      <c r="O2" s="119"/>
      <c r="P2" s="119" t="s">
        <v>49</v>
      </c>
      <c r="Q2" s="119"/>
      <c r="R2" s="119"/>
      <c r="S2" s="119"/>
      <c r="T2" s="119" t="s">
        <v>46</v>
      </c>
      <c r="U2" s="119"/>
      <c r="V2" s="119"/>
      <c r="W2" s="119"/>
      <c r="X2" s="119" t="s">
        <v>49</v>
      </c>
      <c r="Y2" s="119"/>
      <c r="Z2" s="119"/>
      <c r="AA2" s="119"/>
    </row>
    <row r="3" spans="1:27" ht="16.5" thickBot="1" x14ac:dyDescent="0.3">
      <c r="A3" t="s">
        <v>16</v>
      </c>
      <c r="C3">
        <v>2</v>
      </c>
      <c r="D3" s="1" t="s">
        <v>6</v>
      </c>
      <c r="E3" s="1" t="s">
        <v>7</v>
      </c>
      <c r="F3" t="s">
        <v>4</v>
      </c>
      <c r="G3" t="s">
        <v>5</v>
      </c>
      <c r="L3" s="18" t="s">
        <v>55</v>
      </c>
      <c r="M3" s="19" t="s">
        <v>56</v>
      </c>
      <c r="N3" s="19" t="s">
        <v>57</v>
      </c>
      <c r="O3" s="19" t="s">
        <v>58</v>
      </c>
      <c r="P3" s="18" t="s">
        <v>55</v>
      </c>
      <c r="Q3" s="19" t="s">
        <v>56</v>
      </c>
      <c r="R3" s="19" t="s">
        <v>57</v>
      </c>
      <c r="S3" s="19" t="s">
        <v>58</v>
      </c>
      <c r="T3" s="18" t="s">
        <v>55</v>
      </c>
      <c r="U3" s="19" t="s">
        <v>56</v>
      </c>
      <c r="V3" s="19" t="s">
        <v>57</v>
      </c>
      <c r="W3" s="19" t="s">
        <v>58</v>
      </c>
      <c r="X3" s="18" t="s">
        <v>55</v>
      </c>
      <c r="Y3" s="19" t="s">
        <v>56</v>
      </c>
      <c r="Z3" s="19" t="s">
        <v>57</v>
      </c>
      <c r="AA3" s="19" t="s">
        <v>58</v>
      </c>
    </row>
    <row r="4" spans="1:27" ht="15.75" thickBot="1" x14ac:dyDescent="0.3">
      <c r="K4" t="s">
        <v>60</v>
      </c>
      <c r="L4" s="20">
        <v>500</v>
      </c>
      <c r="M4" s="21">
        <v>400</v>
      </c>
      <c r="N4" s="21">
        <v>350</v>
      </c>
      <c r="O4" s="21">
        <v>280</v>
      </c>
      <c r="P4" s="20">
        <v>150</v>
      </c>
      <c r="Q4" s="21">
        <v>120</v>
      </c>
      <c r="R4" s="21">
        <v>105</v>
      </c>
      <c r="S4" s="21">
        <v>84</v>
      </c>
      <c r="T4" s="18">
        <v>750</v>
      </c>
      <c r="U4" s="19">
        <v>600</v>
      </c>
      <c r="V4" s="19">
        <v>525</v>
      </c>
      <c r="W4" s="19">
        <v>420</v>
      </c>
      <c r="X4" s="18">
        <v>75</v>
      </c>
      <c r="Y4" s="19">
        <v>60</v>
      </c>
      <c r="Z4" s="19">
        <v>53</v>
      </c>
      <c r="AA4" s="19">
        <v>42</v>
      </c>
    </row>
    <row r="5" spans="1:27" ht="15.75" thickBot="1" x14ac:dyDescent="0.3">
      <c r="A5" s="120" t="s">
        <v>22</v>
      </c>
      <c r="B5" s="120"/>
      <c r="C5" s="120"/>
      <c r="D5" s="120"/>
      <c r="K5" t="s">
        <v>62</v>
      </c>
      <c r="L5" s="20">
        <v>600</v>
      </c>
      <c r="M5" s="21">
        <v>480</v>
      </c>
      <c r="N5" s="21">
        <v>420</v>
      </c>
      <c r="O5" s="21">
        <v>336</v>
      </c>
      <c r="P5" s="20">
        <v>150</v>
      </c>
      <c r="Q5" s="21">
        <v>120</v>
      </c>
      <c r="R5" s="21">
        <v>105</v>
      </c>
      <c r="S5" s="21">
        <v>84</v>
      </c>
      <c r="T5" s="20">
        <v>900</v>
      </c>
      <c r="U5" s="21">
        <v>720</v>
      </c>
      <c r="V5" s="21">
        <v>630</v>
      </c>
      <c r="W5" s="21">
        <v>504</v>
      </c>
      <c r="X5" s="20">
        <v>75</v>
      </c>
      <c r="Y5" s="21">
        <v>60</v>
      </c>
      <c r="Z5" s="21">
        <v>53</v>
      </c>
      <c r="AA5" s="21">
        <v>42</v>
      </c>
    </row>
    <row r="6" spans="1:27" ht="15.75" thickBot="1" x14ac:dyDescent="0.3">
      <c r="A6">
        <f>'Step 1_Lanes'!B10</f>
        <v>1</v>
      </c>
      <c r="B6">
        <f>'Step 1_Lanes'!C10</f>
        <v>1</v>
      </c>
      <c r="C6">
        <f>'Step 1_Lanes'!D10</f>
        <v>0</v>
      </c>
      <c r="D6">
        <f>'Step 1_Lanes'!E10</f>
        <v>0</v>
      </c>
      <c r="K6" t="s">
        <v>61</v>
      </c>
      <c r="L6" s="20">
        <v>600</v>
      </c>
      <c r="M6" s="21">
        <v>480</v>
      </c>
      <c r="N6" s="21">
        <v>420</v>
      </c>
      <c r="O6" s="21">
        <v>336</v>
      </c>
      <c r="P6" s="20">
        <v>200</v>
      </c>
      <c r="Q6" s="21">
        <v>160</v>
      </c>
      <c r="R6" s="21">
        <v>140</v>
      </c>
      <c r="S6" s="21">
        <v>112</v>
      </c>
      <c r="T6" s="20">
        <v>900</v>
      </c>
      <c r="U6" s="21">
        <v>720</v>
      </c>
      <c r="V6" s="21">
        <v>630</v>
      </c>
      <c r="W6" s="21">
        <v>504</v>
      </c>
      <c r="X6" s="20">
        <v>100</v>
      </c>
      <c r="Y6" s="21">
        <v>80</v>
      </c>
      <c r="Z6" s="21">
        <v>70</v>
      </c>
      <c r="AA6" s="21">
        <v>56</v>
      </c>
    </row>
    <row r="7" spans="1:27" ht="15.75" thickBot="1" x14ac:dyDescent="0.3">
      <c r="A7">
        <f>'Step 1_Lanes'!B11</f>
        <v>1</v>
      </c>
      <c r="B7">
        <f>'Step 1_Lanes'!C11</f>
        <v>1</v>
      </c>
      <c r="C7">
        <f>'Step 1_Lanes'!D11</f>
        <v>0</v>
      </c>
      <c r="D7">
        <f>'Step 1_Lanes'!E11</f>
        <v>0</v>
      </c>
      <c r="K7" t="s">
        <v>59</v>
      </c>
      <c r="L7" s="20">
        <v>500</v>
      </c>
      <c r="M7" s="21">
        <v>400</v>
      </c>
      <c r="N7" s="21">
        <v>350</v>
      </c>
      <c r="O7" s="21">
        <v>280</v>
      </c>
      <c r="P7" s="20">
        <v>200</v>
      </c>
      <c r="Q7" s="21">
        <v>160</v>
      </c>
      <c r="R7" s="21">
        <v>140</v>
      </c>
      <c r="S7" s="21">
        <v>112</v>
      </c>
      <c r="T7" s="20">
        <v>750</v>
      </c>
      <c r="U7" s="21">
        <v>600</v>
      </c>
      <c r="V7" s="21">
        <v>525</v>
      </c>
      <c r="W7" s="21">
        <v>420</v>
      </c>
      <c r="X7" s="20">
        <v>100</v>
      </c>
      <c r="Y7" s="21">
        <v>80</v>
      </c>
      <c r="Z7" s="21">
        <v>70</v>
      </c>
      <c r="AA7" s="21">
        <v>56</v>
      </c>
    </row>
    <row r="8" spans="1:27" ht="15.75" thickBot="1" x14ac:dyDescent="0.3">
      <c r="A8">
        <f>'Step 1_Lanes'!B12</f>
        <v>1</v>
      </c>
      <c r="B8">
        <f>'Step 1_Lanes'!C12</f>
        <v>1</v>
      </c>
      <c r="C8">
        <f>'Step 1_Lanes'!D12</f>
        <v>1</v>
      </c>
      <c r="D8">
        <f>'Step 1_Lanes'!E12</f>
        <v>1</v>
      </c>
      <c r="L8" s="121" t="s">
        <v>74</v>
      </c>
      <c r="M8" s="122"/>
      <c r="N8" s="122"/>
      <c r="O8" s="122"/>
      <c r="P8" s="122"/>
      <c r="Q8" s="122"/>
      <c r="R8" s="122"/>
      <c r="S8" s="123"/>
      <c r="T8" s="122" t="s">
        <v>75</v>
      </c>
      <c r="U8" s="122"/>
      <c r="V8" s="122"/>
      <c r="W8" s="122"/>
      <c r="X8" s="122"/>
      <c r="Y8" s="122"/>
      <c r="Z8" s="122"/>
      <c r="AA8" s="123"/>
    </row>
    <row r="9" spans="1:27" x14ac:dyDescent="0.25">
      <c r="A9" t="b">
        <v>0</v>
      </c>
      <c r="B9" t="b">
        <v>1</v>
      </c>
      <c r="C9" t="b">
        <v>0</v>
      </c>
      <c r="D9" t="b">
        <v>0</v>
      </c>
      <c r="K9" t="s">
        <v>76</v>
      </c>
      <c r="L9" t="b">
        <v>0</v>
      </c>
      <c r="M9" t="b">
        <v>1</v>
      </c>
      <c r="N9" t="b">
        <f>OR(L9,M9)</f>
        <v>1</v>
      </c>
    </row>
    <row r="10" spans="1:27" x14ac:dyDescent="0.25">
      <c r="A10" t="b">
        <v>1</v>
      </c>
      <c r="B10" t="b">
        <v>0</v>
      </c>
      <c r="C10" t="b">
        <v>0</v>
      </c>
      <c r="D10" t="b">
        <v>0</v>
      </c>
    </row>
    <row r="11" spans="1:27" x14ac:dyDescent="0.25">
      <c r="A11">
        <f>'Step 1_Lanes'!B15</f>
        <v>0</v>
      </c>
      <c r="B11">
        <f>'Step 1_Lanes'!C15</f>
        <v>0</v>
      </c>
      <c r="C11">
        <f>'Step 1_Lanes'!D15</f>
        <v>0</v>
      </c>
      <c r="D11">
        <f>'Step 1_Lanes'!E15</f>
        <v>0</v>
      </c>
      <c r="K11" s="84" t="s">
        <v>86</v>
      </c>
      <c r="L11" s="85"/>
      <c r="M11" s="85"/>
      <c r="N11" s="85"/>
      <c r="O11" s="85"/>
      <c r="P11" s="85"/>
      <c r="Q11" s="85"/>
      <c r="R11" s="85"/>
    </row>
    <row r="12" spans="1:27" x14ac:dyDescent="0.25">
      <c r="A12">
        <f>'Step 1_Lanes'!B16</f>
        <v>0</v>
      </c>
      <c r="B12">
        <f>'Step 1_Lanes'!C16</f>
        <v>0</v>
      </c>
      <c r="C12">
        <f>'Step 1_Lanes'!D16</f>
        <v>1</v>
      </c>
      <c r="D12">
        <f>'Step 1_Lanes'!E16</f>
        <v>1</v>
      </c>
      <c r="K12" t="b">
        <f>AND(L12,M12,N12,O12)</f>
        <v>1</v>
      </c>
      <c r="L12" t="b">
        <v>1</v>
      </c>
      <c r="M12" t="b">
        <v>1</v>
      </c>
      <c r="N12" t="b">
        <v>1</v>
      </c>
      <c r="O12" t="b">
        <v>1</v>
      </c>
    </row>
    <row r="13" spans="1:27" x14ac:dyDescent="0.25">
      <c r="A13">
        <f>'Step 1_Lanes'!B17</f>
        <v>0</v>
      </c>
      <c r="B13">
        <f>'Step 1_Lanes'!C17</f>
        <v>0</v>
      </c>
      <c r="C13">
        <f>'Step 1_Lanes'!D17</f>
        <v>0</v>
      </c>
      <c r="D13">
        <f>'Step 1_Lanes'!E17</f>
        <v>0</v>
      </c>
    </row>
    <row r="14" spans="1:27" x14ac:dyDescent="0.25">
      <c r="A14">
        <f>SUM(A6:A13)</f>
        <v>3</v>
      </c>
      <c r="B14">
        <f t="shared" ref="B14:D14" si="0">SUM(B6:B13)</f>
        <v>3</v>
      </c>
      <c r="C14">
        <f t="shared" si="0"/>
        <v>2</v>
      </c>
      <c r="D14">
        <f t="shared" si="0"/>
        <v>2</v>
      </c>
      <c r="E14" s="3" t="s">
        <v>24</v>
      </c>
      <c r="K14" s="84" t="s">
        <v>90</v>
      </c>
      <c r="L14" s="85"/>
      <c r="M14" s="85"/>
      <c r="N14" s="85"/>
      <c r="O14" s="85"/>
      <c r="P14" s="85"/>
      <c r="Q14" s="85"/>
      <c r="R14" s="85"/>
    </row>
    <row r="15" spans="1:27" x14ac:dyDescent="0.25">
      <c r="A15">
        <f>IF(A9,A14,A14-A7)</f>
        <v>2</v>
      </c>
      <c r="B15">
        <f t="shared" ref="B15:C15" si="1">IF(B9,B14,B14-B7)</f>
        <v>3</v>
      </c>
      <c r="C15">
        <f t="shared" si="1"/>
        <v>2</v>
      </c>
      <c r="D15">
        <f>IF(D9,D14,D14-D7)</f>
        <v>2</v>
      </c>
      <c r="E15" s="3" t="s">
        <v>25</v>
      </c>
      <c r="K15" t="b">
        <f>OR(M15,N15)</f>
        <v>1</v>
      </c>
      <c r="L15" t="b">
        <v>0</v>
      </c>
      <c r="M15" t="b">
        <v>1</v>
      </c>
      <c r="N15" t="b">
        <v>0</v>
      </c>
    </row>
    <row r="16" spans="1:27" x14ac:dyDescent="0.25">
      <c r="A16">
        <f>IF(A10,A15,A15-A8)</f>
        <v>2</v>
      </c>
      <c r="B16">
        <f t="shared" ref="B16:D16" si="2">IF(B10,B15,B15-B8)</f>
        <v>2</v>
      </c>
      <c r="C16">
        <f t="shared" si="2"/>
        <v>1</v>
      </c>
      <c r="D16">
        <f t="shared" si="2"/>
        <v>1</v>
      </c>
      <c r="E16" s="3" t="s">
        <v>26</v>
      </c>
    </row>
    <row r="17" spans="1:18" x14ac:dyDescent="0.25">
      <c r="A17">
        <f>IF('Step 1_Lanes'!B19,'Step 1_Lanes'!B19,'Step 1_Lanes'!B18)</f>
        <v>2</v>
      </c>
      <c r="B17">
        <f>IF('Step 1_Lanes'!C19,'Step 1_Lanes'!C19,'Step 1_Lanes'!C18)</f>
        <v>2</v>
      </c>
      <c r="C17">
        <f>IF('Step 1_Lanes'!D19,'Step 1_Lanes'!D19,'Step 1_Lanes'!D18)</f>
        <v>1</v>
      </c>
      <c r="D17">
        <f>IF('Step 1_Lanes'!E19,'Step 1_Lanes'!E19,'Step 1_Lanes'!E18)</f>
        <v>1</v>
      </c>
      <c r="E17" s="3" t="s">
        <v>29</v>
      </c>
      <c r="K17" s="84" t="s">
        <v>87</v>
      </c>
      <c r="L17" s="85"/>
      <c r="M17" s="85"/>
      <c r="N17" s="85"/>
      <c r="O17" s="85"/>
      <c r="P17" s="85"/>
      <c r="Q17" s="85"/>
      <c r="R17" s="85"/>
    </row>
    <row r="18" spans="1:18" x14ac:dyDescent="0.25">
      <c r="A18">
        <f>MAX(A17:B17)</f>
        <v>2</v>
      </c>
      <c r="C18">
        <f>MAX(C17:D17)</f>
        <v>1</v>
      </c>
      <c r="K18" t="b">
        <f>AND(L18,M18,OR(N18,'Warrant 1'!$M$43,'Warrant 1'!$N$43))</f>
        <v>0</v>
      </c>
      <c r="L18" t="b">
        <v>1</v>
      </c>
      <c r="M18" t="b">
        <v>1</v>
      </c>
      <c r="N18" t="b">
        <v>0</v>
      </c>
    </row>
    <row r="19" spans="1:18" x14ac:dyDescent="0.25">
      <c r="A19">
        <v>0</v>
      </c>
      <c r="B19" s="4" t="s">
        <v>30</v>
      </c>
    </row>
    <row r="20" spans="1:18" x14ac:dyDescent="0.25">
      <c r="A20">
        <v>1</v>
      </c>
      <c r="B20" t="s">
        <v>31</v>
      </c>
      <c r="K20" s="84" t="s">
        <v>118</v>
      </c>
      <c r="L20" s="85"/>
      <c r="M20" s="85"/>
      <c r="N20" s="85"/>
      <c r="O20" s="85"/>
      <c r="P20" s="85"/>
      <c r="Q20" s="85"/>
      <c r="R20" s="85"/>
    </row>
    <row r="21" spans="1:18" x14ac:dyDescent="0.25">
      <c r="A21">
        <v>2</v>
      </c>
      <c r="B21" t="s">
        <v>12</v>
      </c>
      <c r="K21" t="s">
        <v>76</v>
      </c>
      <c r="L21" t="b">
        <v>1</v>
      </c>
      <c r="M21" t="b">
        <f>M9</f>
        <v>1</v>
      </c>
      <c r="N21" t="b">
        <f>OR(L21,M21)</f>
        <v>1</v>
      </c>
      <c r="O21" t="b">
        <v>1</v>
      </c>
    </row>
    <row r="23" spans="1:18" x14ac:dyDescent="0.25">
      <c r="A23" s="120" t="s">
        <v>51</v>
      </c>
      <c r="B23" s="120"/>
      <c r="C23" s="120"/>
      <c r="D23" s="120"/>
    </row>
    <row r="24" spans="1:18" x14ac:dyDescent="0.25">
      <c r="A24" t="b">
        <v>1</v>
      </c>
      <c r="B24" s="15">
        <f>(1+'Step 2_Volumes'!S31)^('Step 2_Volumes'!P31-'Step 2_Volumes'!M31)</f>
        <v>1.3604889600000003</v>
      </c>
      <c r="C24">
        <f>'Step 2_Volumes'!W31</f>
        <v>1</v>
      </c>
      <c r="D24" s="16">
        <f>IF(A24,B24,C24)</f>
        <v>1.3604889600000003</v>
      </c>
    </row>
  </sheetData>
  <sheetProtection selectLockedCells="1" selectUnlockedCells="1"/>
  <mergeCells count="14">
    <mergeCell ref="A5:D5"/>
    <mergeCell ref="B1:G1"/>
    <mergeCell ref="A23:D23"/>
    <mergeCell ref="L2:O2"/>
    <mergeCell ref="K11:R11"/>
    <mergeCell ref="K14:R14"/>
    <mergeCell ref="K17:R17"/>
    <mergeCell ref="P2:S2"/>
    <mergeCell ref="K20:R20"/>
    <mergeCell ref="T2:W2"/>
    <mergeCell ref="X2:AA2"/>
    <mergeCell ref="K1:AA1"/>
    <mergeCell ref="L8:S8"/>
    <mergeCell ref="T8:AA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Step 1_Lanes</vt:lpstr>
      <vt:lpstr>Step 2_Volumes</vt:lpstr>
      <vt:lpstr>Warrant 1</vt:lpstr>
      <vt:lpstr>Warrant 2</vt:lpstr>
      <vt:lpstr>Warrant 3</vt:lpstr>
      <vt:lpstr>Warrant 4</vt:lpstr>
      <vt:lpstr>Warrant 56789</vt:lpstr>
      <vt:lpstr>Choice</vt:lpstr>
      <vt:lpstr>Choice!PlaceM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 Jeremy Dai</dc:creator>
  <cp:lastModifiedBy>Y. Jeremy Dai</cp:lastModifiedBy>
  <dcterms:created xsi:type="dcterms:W3CDTF">2016-12-16T16:40:27Z</dcterms:created>
  <dcterms:modified xsi:type="dcterms:W3CDTF">2017-10-19T21:26:50Z</dcterms:modified>
</cp:coreProperties>
</file>